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worksheets/sheet113.xml" ContentType="application/vnd.openxmlformats-officedocument.spreadsheetml.worksheet+xml"/>
  <Override PartName="/xl/worksheets/sheet114.xml" ContentType="application/vnd.openxmlformats-officedocument.spreadsheetml.worksheet+xml"/>
  <Override PartName="/xl/worksheets/sheet115.xml" ContentType="application/vnd.openxmlformats-officedocument.spreadsheetml.worksheet+xml"/>
  <Override PartName="/xl/worksheets/sheet116.xml" ContentType="application/vnd.openxmlformats-officedocument.spreadsheetml.worksheet+xml"/>
  <Override PartName="/xl/worksheets/sheet117.xml" ContentType="application/vnd.openxmlformats-officedocument.spreadsheetml.worksheet+xml"/>
  <Override PartName="/xl/worksheets/sheet118.xml" ContentType="application/vnd.openxmlformats-officedocument.spreadsheetml.worksheet+xml"/>
  <Override PartName="/xl/worksheets/sheet119.xml" ContentType="application/vnd.openxmlformats-officedocument.spreadsheetml.worksheet+xml"/>
  <Override PartName="/xl/worksheets/sheet120.xml" ContentType="application/vnd.openxmlformats-officedocument.spreadsheetml.worksheet+xml"/>
  <Override PartName="/xl/worksheets/sheet121.xml" ContentType="application/vnd.openxmlformats-officedocument.spreadsheetml.worksheet+xml"/>
  <Override PartName="/xl/worksheets/sheet122.xml" ContentType="application/vnd.openxmlformats-officedocument.spreadsheetml.worksheet+xml"/>
  <Override PartName="/xl/worksheets/sheet123.xml" ContentType="application/vnd.openxmlformats-officedocument.spreadsheetml.worksheet+xml"/>
  <Override PartName="/xl/worksheets/sheet124.xml" ContentType="application/vnd.openxmlformats-officedocument.spreadsheetml.worksheet+xml"/>
  <Override PartName="/xl/worksheets/sheet125.xml" ContentType="application/vnd.openxmlformats-officedocument.spreadsheetml.worksheet+xml"/>
  <Override PartName="/xl/worksheets/sheet126.xml" ContentType="application/vnd.openxmlformats-officedocument.spreadsheetml.worksheet+xml"/>
  <Override PartName="/xl/worksheets/sheet127.xml" ContentType="application/vnd.openxmlformats-officedocument.spreadsheetml.worksheet+xml"/>
  <Override PartName="/xl/worksheets/sheet128.xml" ContentType="application/vnd.openxmlformats-officedocument.spreadsheetml.worksheet+xml"/>
  <Override PartName="/xl/worksheets/sheet129.xml" ContentType="application/vnd.openxmlformats-officedocument.spreadsheetml.worksheet+xml"/>
  <Override PartName="/xl/worksheets/sheet130.xml" ContentType="application/vnd.openxmlformats-officedocument.spreadsheetml.worksheet+xml"/>
  <Override PartName="/xl/worksheets/sheet131.xml" ContentType="application/vnd.openxmlformats-officedocument.spreadsheetml.worksheet+xml"/>
  <Override PartName="/xl/worksheets/sheet132.xml" ContentType="application/vnd.openxmlformats-officedocument.spreadsheetml.worksheet+xml"/>
  <Override PartName="/xl/worksheets/sheet133.xml" ContentType="application/vnd.openxmlformats-officedocument.spreadsheetml.worksheet+xml"/>
  <Override PartName="/xl/worksheets/sheet134.xml" ContentType="application/vnd.openxmlformats-officedocument.spreadsheetml.worksheet+xml"/>
  <Override PartName="/xl/worksheets/sheet135.xml" ContentType="application/vnd.openxmlformats-officedocument.spreadsheetml.worksheet+xml"/>
  <Override PartName="/xl/worksheets/sheet136.xml" ContentType="application/vnd.openxmlformats-officedocument.spreadsheetml.worksheet+xml"/>
  <Override PartName="/xl/worksheets/sheet137.xml" ContentType="application/vnd.openxmlformats-officedocument.spreadsheetml.worksheet+xml"/>
  <Override PartName="/xl/worksheets/sheet138.xml" ContentType="application/vnd.openxmlformats-officedocument.spreadsheetml.worksheet+xml"/>
  <Override PartName="/xl/worksheets/sheet139.xml" ContentType="application/vnd.openxmlformats-officedocument.spreadsheetml.worksheet+xml"/>
  <Override PartName="/xl/worksheets/sheet140.xml" ContentType="application/vnd.openxmlformats-officedocument.spreadsheetml.worksheet+xml"/>
  <Override PartName="/xl/worksheets/sheet141.xml" ContentType="application/vnd.openxmlformats-officedocument.spreadsheetml.worksheet+xml"/>
  <Override PartName="/xl/worksheets/sheet142.xml" ContentType="application/vnd.openxmlformats-officedocument.spreadsheetml.worksheet+xml"/>
  <Override PartName="/xl/worksheets/sheet143.xml" ContentType="application/vnd.openxmlformats-officedocument.spreadsheetml.worksheet+xml"/>
  <Override PartName="/xl/worksheets/sheet144.xml" ContentType="application/vnd.openxmlformats-officedocument.spreadsheetml.worksheet+xml"/>
  <Override PartName="/xl/worksheets/sheet145.xml" ContentType="application/vnd.openxmlformats-officedocument.spreadsheetml.worksheet+xml"/>
  <Override PartName="/xl/worksheets/sheet146.xml" ContentType="application/vnd.openxmlformats-officedocument.spreadsheetml.worksheet+xml"/>
  <Override PartName="/xl/worksheets/sheet147.xml" ContentType="application/vnd.openxmlformats-officedocument.spreadsheetml.worksheet+xml"/>
  <Override PartName="/xl/worksheets/sheet148.xml" ContentType="application/vnd.openxmlformats-officedocument.spreadsheetml.worksheet+xml"/>
  <Override PartName="/xl/worksheets/sheet149.xml" ContentType="application/vnd.openxmlformats-officedocument.spreadsheetml.worksheet+xml"/>
  <Override PartName="/xl/worksheets/sheet150.xml" ContentType="application/vnd.openxmlformats-officedocument.spreadsheetml.worksheet+xml"/>
  <Override PartName="/xl/worksheets/sheet151.xml" ContentType="application/vnd.openxmlformats-officedocument.spreadsheetml.worksheet+xml"/>
  <Override PartName="/xl/worksheets/sheet152.xml" ContentType="application/vnd.openxmlformats-officedocument.spreadsheetml.worksheet+xml"/>
  <Override PartName="/xl/worksheets/sheet153.xml" ContentType="application/vnd.openxmlformats-officedocument.spreadsheetml.worksheet+xml"/>
  <Override PartName="/xl/worksheets/sheet154.xml" ContentType="application/vnd.openxmlformats-officedocument.spreadsheetml.worksheet+xml"/>
  <Override PartName="/xl/worksheets/sheet155.xml" ContentType="application/vnd.openxmlformats-officedocument.spreadsheetml.worksheet+xml"/>
  <Override PartName="/xl/worksheets/sheet156.xml" ContentType="application/vnd.openxmlformats-officedocument.spreadsheetml.worksheet+xml"/>
  <Override PartName="/xl/worksheets/sheet157.xml" ContentType="application/vnd.openxmlformats-officedocument.spreadsheetml.worksheet+xml"/>
  <Override PartName="/xl/worksheets/sheet158.xml" ContentType="application/vnd.openxmlformats-officedocument.spreadsheetml.worksheet+xml"/>
  <Override PartName="/xl/worksheets/sheet159.xml" ContentType="application/vnd.openxmlformats-officedocument.spreadsheetml.worksheet+xml"/>
  <Override PartName="/xl/worksheets/sheet160.xml" ContentType="application/vnd.openxmlformats-officedocument.spreadsheetml.worksheet+xml"/>
  <Override PartName="/xl/worksheets/sheet161.xml" ContentType="application/vnd.openxmlformats-officedocument.spreadsheetml.worksheet+xml"/>
  <Override PartName="/xl/worksheets/sheet162.xml" ContentType="application/vnd.openxmlformats-officedocument.spreadsheetml.worksheet+xml"/>
  <Override PartName="/xl/worksheets/sheet163.xml" ContentType="application/vnd.openxmlformats-officedocument.spreadsheetml.worksheet+xml"/>
  <Override PartName="/xl/worksheets/sheet164.xml" ContentType="application/vnd.openxmlformats-officedocument.spreadsheetml.worksheet+xml"/>
  <Override PartName="/xl/worksheets/sheet165.xml" ContentType="application/vnd.openxmlformats-officedocument.spreadsheetml.worksheet+xml"/>
  <Override PartName="/xl/worksheets/sheet166.xml" ContentType="application/vnd.openxmlformats-officedocument.spreadsheetml.worksheet+xml"/>
  <Override PartName="/xl/worksheets/sheet167.xml" ContentType="application/vnd.openxmlformats-officedocument.spreadsheetml.worksheet+xml"/>
  <Override PartName="/xl/worksheets/sheet168.xml" ContentType="application/vnd.openxmlformats-officedocument.spreadsheetml.worksheet+xml"/>
  <Override PartName="/xl/worksheets/sheet169.xml" ContentType="application/vnd.openxmlformats-officedocument.spreadsheetml.worksheet+xml"/>
  <Override PartName="/xl/worksheets/sheet170.xml" ContentType="application/vnd.openxmlformats-officedocument.spreadsheetml.worksheet+xml"/>
  <Override PartName="/xl/worksheets/sheet171.xml" ContentType="application/vnd.openxmlformats-officedocument.spreadsheetml.worksheet+xml"/>
  <Override PartName="/xl/worksheets/sheet172.xml" ContentType="application/vnd.openxmlformats-officedocument.spreadsheetml.worksheet+xml"/>
  <Override PartName="/xl/worksheets/sheet173.xml" ContentType="application/vnd.openxmlformats-officedocument.spreadsheetml.worksheet+xml"/>
  <Override PartName="/xl/worksheets/sheet174.xml" ContentType="application/vnd.openxmlformats-officedocument.spreadsheetml.worksheet+xml"/>
  <Override PartName="/xl/worksheets/sheet175.xml" ContentType="application/vnd.openxmlformats-officedocument.spreadsheetml.worksheet+xml"/>
  <Override PartName="/xl/worksheets/sheet176.xml" ContentType="application/vnd.openxmlformats-officedocument.spreadsheetml.worksheet+xml"/>
  <Override PartName="/xl/worksheets/sheet177.xml" ContentType="application/vnd.openxmlformats-officedocument.spreadsheetml.worksheet+xml"/>
  <Override PartName="/xl/worksheets/sheet178.xml" ContentType="application/vnd.openxmlformats-officedocument.spreadsheetml.worksheet+xml"/>
  <Override PartName="/xl/worksheets/sheet179.xml" ContentType="application/vnd.openxmlformats-officedocument.spreadsheetml.worksheet+xml"/>
  <Override PartName="/xl/worksheets/sheet180.xml" ContentType="application/vnd.openxmlformats-officedocument.spreadsheetml.worksheet+xml"/>
  <Override PartName="/xl/worksheets/sheet181.xml" ContentType="application/vnd.openxmlformats-officedocument.spreadsheetml.worksheet+xml"/>
  <Override PartName="/xl/worksheets/sheet182.xml" ContentType="application/vnd.openxmlformats-officedocument.spreadsheetml.worksheet+xml"/>
  <Override PartName="/xl/worksheets/sheet183.xml" ContentType="application/vnd.openxmlformats-officedocument.spreadsheetml.worksheet+xml"/>
  <Override PartName="/xl/worksheets/sheet184.xml" ContentType="application/vnd.openxmlformats-officedocument.spreadsheetml.worksheet+xml"/>
  <Override PartName="/xl/worksheets/sheet185.xml" ContentType="application/vnd.openxmlformats-officedocument.spreadsheetml.worksheet+xml"/>
  <Override PartName="/xl/worksheets/sheet186.xml" ContentType="application/vnd.openxmlformats-officedocument.spreadsheetml.worksheet+xml"/>
  <Override PartName="/xl/worksheets/sheet187.xml" ContentType="application/vnd.openxmlformats-officedocument.spreadsheetml.worksheet+xml"/>
  <Override PartName="/xl/worksheets/sheet188.xml" ContentType="application/vnd.openxmlformats-officedocument.spreadsheetml.worksheet+xml"/>
  <Override PartName="/xl/worksheets/sheet189.xml" ContentType="application/vnd.openxmlformats-officedocument.spreadsheetml.worksheet+xml"/>
  <Override PartName="/xl/worksheets/sheet190.xml" ContentType="application/vnd.openxmlformats-officedocument.spreadsheetml.worksheet+xml"/>
  <Override PartName="/xl/worksheets/sheet191.xml" ContentType="application/vnd.openxmlformats-officedocument.spreadsheetml.worksheet+xml"/>
  <Override PartName="/xl/worksheets/sheet192.xml" ContentType="application/vnd.openxmlformats-officedocument.spreadsheetml.worksheet+xml"/>
  <Override PartName="/xl/worksheets/sheet193.xml" ContentType="application/vnd.openxmlformats-officedocument.spreadsheetml.worksheet+xml"/>
  <Override PartName="/xl/worksheets/sheet194.xml" ContentType="application/vnd.openxmlformats-officedocument.spreadsheetml.worksheet+xml"/>
  <Override PartName="/xl/worksheets/sheet195.xml" ContentType="application/vnd.openxmlformats-officedocument.spreadsheetml.worksheet+xml"/>
  <Override PartName="/xl/worksheets/sheet196.xml" ContentType="application/vnd.openxmlformats-officedocument.spreadsheetml.worksheet+xml"/>
  <Override PartName="/xl/worksheets/sheet197.xml" ContentType="application/vnd.openxmlformats-officedocument.spreadsheetml.worksheet+xml"/>
  <Override PartName="/xl/worksheets/sheet198.xml" ContentType="application/vnd.openxmlformats-officedocument.spreadsheetml.worksheet+xml"/>
  <Override PartName="/xl/worksheets/sheet199.xml" ContentType="application/vnd.openxmlformats-officedocument.spreadsheetml.worksheet+xml"/>
  <Override PartName="/xl/worksheets/sheet200.xml" ContentType="application/vnd.openxmlformats-officedocument.spreadsheetml.worksheet+xml"/>
  <Override PartName="/xl/worksheets/sheet201.xml" ContentType="application/vnd.openxmlformats-officedocument.spreadsheetml.worksheet+xml"/>
  <Override PartName="/xl/worksheets/sheet202.xml" ContentType="application/vnd.openxmlformats-officedocument.spreadsheetml.worksheet+xml"/>
  <Override PartName="/xl/worksheets/sheet20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xternalLinks/externalLink1.xml" ContentType="application/vnd.openxmlformats-officedocument.spreadsheetml.externalLink+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tables/table32.xml" ContentType="application/vnd.openxmlformats-officedocument.spreadsheetml.table+xml"/>
  <Override PartName="/xl/tables/table33.xml" ContentType="application/vnd.openxmlformats-officedocument.spreadsheetml.table+xml"/>
  <Override PartName="/xl/tables/table34.xml" ContentType="application/vnd.openxmlformats-officedocument.spreadsheetml.table+xml"/>
  <Override PartName="/xl/tables/table35.xml" ContentType="application/vnd.openxmlformats-officedocument.spreadsheetml.table+xml"/>
  <Override PartName="/xl/tables/table36.xml" ContentType="application/vnd.openxmlformats-officedocument.spreadsheetml.table+xml"/>
  <Override PartName="/xl/tables/table37.xml" ContentType="application/vnd.openxmlformats-officedocument.spreadsheetml.table+xml"/>
  <Override PartName="/xl/tables/table38.xml" ContentType="application/vnd.openxmlformats-officedocument.spreadsheetml.table+xml"/>
  <Override PartName="/xl/tables/table39.xml" ContentType="application/vnd.openxmlformats-officedocument.spreadsheetml.table+xml"/>
  <Override PartName="/xl/tables/table40.xml" ContentType="application/vnd.openxmlformats-officedocument.spreadsheetml.table+xml"/>
  <Override PartName="/xl/tables/table41.xml" ContentType="application/vnd.openxmlformats-officedocument.spreadsheetml.table+xml"/>
  <Override PartName="/xl/tables/table42.xml" ContentType="application/vnd.openxmlformats-officedocument.spreadsheetml.table+xml"/>
  <Override PartName="/xl/tables/table43.xml" ContentType="application/vnd.openxmlformats-officedocument.spreadsheetml.table+xml"/>
  <Override PartName="/xl/tables/table44.xml" ContentType="application/vnd.openxmlformats-officedocument.spreadsheetml.table+xml"/>
  <Override PartName="/xl/tables/table45.xml" ContentType="application/vnd.openxmlformats-officedocument.spreadsheetml.table+xml"/>
  <Override PartName="/xl/tables/table46.xml" ContentType="application/vnd.openxmlformats-officedocument.spreadsheetml.table+xml"/>
  <Override PartName="/xl/tables/table47.xml" ContentType="application/vnd.openxmlformats-officedocument.spreadsheetml.table+xml"/>
  <Override PartName="/xl/tables/table48.xml" ContentType="application/vnd.openxmlformats-officedocument.spreadsheetml.table+xml"/>
  <Override PartName="/xl/tables/table49.xml" ContentType="application/vnd.openxmlformats-officedocument.spreadsheetml.table+xml"/>
  <Override PartName="/xl/tables/table50.xml" ContentType="application/vnd.openxmlformats-officedocument.spreadsheetml.table+xml"/>
  <Override PartName="/xl/tables/table51.xml" ContentType="application/vnd.openxmlformats-officedocument.spreadsheetml.table+xml"/>
  <Override PartName="/xl/tables/table52.xml" ContentType="application/vnd.openxmlformats-officedocument.spreadsheetml.table+xml"/>
  <Override PartName="/xl/tables/table53.xml" ContentType="application/vnd.openxmlformats-officedocument.spreadsheetml.table+xml"/>
  <Override PartName="/xl/tables/table54.xml" ContentType="application/vnd.openxmlformats-officedocument.spreadsheetml.table+xml"/>
  <Override PartName="/xl/tables/table55.xml" ContentType="application/vnd.openxmlformats-officedocument.spreadsheetml.table+xml"/>
  <Override PartName="/xl/tables/table56.xml" ContentType="application/vnd.openxmlformats-officedocument.spreadsheetml.table+xml"/>
  <Override PartName="/xl/tables/table57.xml" ContentType="application/vnd.openxmlformats-officedocument.spreadsheetml.table+xml"/>
  <Override PartName="/xl/tables/table58.xml" ContentType="application/vnd.openxmlformats-officedocument.spreadsheetml.table+xml"/>
  <Override PartName="/xl/tables/table59.xml" ContentType="application/vnd.openxmlformats-officedocument.spreadsheetml.table+xml"/>
  <Override PartName="/xl/tables/table60.xml" ContentType="application/vnd.openxmlformats-officedocument.spreadsheetml.table+xml"/>
  <Override PartName="/xl/tables/table61.xml" ContentType="application/vnd.openxmlformats-officedocument.spreadsheetml.table+xml"/>
  <Override PartName="/xl/tables/table62.xml" ContentType="application/vnd.openxmlformats-officedocument.spreadsheetml.table+xml"/>
  <Override PartName="/xl/tables/table63.xml" ContentType="application/vnd.openxmlformats-officedocument.spreadsheetml.table+xml"/>
  <Override PartName="/xl/tables/table64.xml" ContentType="application/vnd.openxmlformats-officedocument.spreadsheetml.table+xml"/>
  <Override PartName="/xl/tables/table65.xml" ContentType="application/vnd.openxmlformats-officedocument.spreadsheetml.table+xml"/>
  <Override PartName="/xl/tables/table66.xml" ContentType="application/vnd.openxmlformats-officedocument.spreadsheetml.table+xml"/>
  <Override PartName="/xl/tables/table67.xml" ContentType="application/vnd.openxmlformats-officedocument.spreadsheetml.table+xml"/>
  <Override PartName="/xl/tables/table68.xml" ContentType="application/vnd.openxmlformats-officedocument.spreadsheetml.table+xml"/>
  <Override PartName="/xl/tables/table69.xml" ContentType="application/vnd.openxmlformats-officedocument.spreadsheetml.table+xml"/>
  <Override PartName="/xl/tables/table70.xml" ContentType="application/vnd.openxmlformats-officedocument.spreadsheetml.table+xml"/>
  <Override PartName="/xl/tables/table71.xml" ContentType="application/vnd.openxmlformats-officedocument.spreadsheetml.table+xml"/>
  <Override PartName="/xl/tables/table72.xml" ContentType="application/vnd.openxmlformats-officedocument.spreadsheetml.table+xml"/>
  <Override PartName="/xl/tables/table73.xml" ContentType="application/vnd.openxmlformats-officedocument.spreadsheetml.table+xml"/>
  <Override PartName="/xl/tables/table74.xml" ContentType="application/vnd.openxmlformats-officedocument.spreadsheetml.table+xml"/>
  <Override PartName="/xl/tables/table75.xml" ContentType="application/vnd.openxmlformats-officedocument.spreadsheetml.table+xml"/>
  <Override PartName="/xl/tables/table76.xml" ContentType="application/vnd.openxmlformats-officedocument.spreadsheetml.table+xml"/>
  <Override PartName="/xl/tables/table77.xml" ContentType="application/vnd.openxmlformats-officedocument.spreadsheetml.table+xml"/>
  <Override PartName="/xl/tables/table78.xml" ContentType="application/vnd.openxmlformats-officedocument.spreadsheetml.table+xml"/>
  <Override PartName="/xl/tables/table79.xml" ContentType="application/vnd.openxmlformats-officedocument.spreadsheetml.table+xml"/>
  <Override PartName="/xl/tables/table80.xml" ContentType="application/vnd.openxmlformats-officedocument.spreadsheetml.table+xml"/>
  <Override PartName="/xl/tables/table81.xml" ContentType="application/vnd.openxmlformats-officedocument.spreadsheetml.table+xml"/>
  <Override PartName="/xl/tables/table82.xml" ContentType="application/vnd.openxmlformats-officedocument.spreadsheetml.table+xml"/>
  <Override PartName="/xl/tables/table83.xml" ContentType="application/vnd.openxmlformats-officedocument.spreadsheetml.table+xml"/>
  <Override PartName="/xl/tables/table84.xml" ContentType="application/vnd.openxmlformats-officedocument.spreadsheetml.table+xml"/>
  <Override PartName="/xl/tables/table85.xml" ContentType="application/vnd.openxmlformats-officedocument.spreadsheetml.table+xml"/>
  <Override PartName="/xl/tables/table86.xml" ContentType="application/vnd.openxmlformats-officedocument.spreadsheetml.table+xml"/>
  <Override PartName="/xl/tables/table87.xml" ContentType="application/vnd.openxmlformats-officedocument.spreadsheetml.table+xml"/>
  <Override PartName="/xl/tables/table88.xml" ContentType="application/vnd.openxmlformats-officedocument.spreadsheetml.table+xml"/>
  <Override PartName="/xl/tables/table149.xml" ContentType="application/vnd.openxmlformats-officedocument.spreadsheetml.table+xml"/>
  <Override PartName="/xl/tables/table150.xml" ContentType="application/vnd.openxmlformats-officedocument.spreadsheetml.table+xml"/>
  <Override PartName="/xl/tables/table151.xml" ContentType="application/vnd.openxmlformats-officedocument.spreadsheetml.table+xml"/>
  <Override PartName="/xl/tables/table152.xml" ContentType="application/vnd.openxmlformats-officedocument.spreadsheetml.table+xml"/>
  <Override PartName="/xl/tables/table153.xml" ContentType="application/vnd.openxmlformats-officedocument.spreadsheetml.table+xml"/>
  <Override PartName="/xl/tables/table154.xml" ContentType="application/vnd.openxmlformats-officedocument.spreadsheetml.table+xml"/>
  <Override PartName="/xl/tables/table155.xml" ContentType="application/vnd.openxmlformats-officedocument.spreadsheetml.table+xml"/>
  <Override PartName="/xl/tables/table156.xml" ContentType="application/vnd.openxmlformats-officedocument.spreadsheetml.table+xml"/>
  <Override PartName="/xl/tables/table157.xml" ContentType="application/vnd.openxmlformats-officedocument.spreadsheetml.table+xml"/>
  <Override PartName="/xl/tables/table158.xml" ContentType="application/vnd.openxmlformats-officedocument.spreadsheetml.table+xml"/>
  <Override PartName="/xl/tables/table159.xml" ContentType="application/vnd.openxmlformats-officedocument.spreadsheetml.table+xml"/>
  <Override PartName="/xl/tables/table160.xml" ContentType="application/vnd.openxmlformats-officedocument.spreadsheetml.table+xml"/>
  <Override PartName="/xl/tables/table161.xml" ContentType="application/vnd.openxmlformats-officedocument.spreadsheetml.table+xml"/>
  <Override PartName="/xl/tables/table162.xml" ContentType="application/vnd.openxmlformats-officedocument.spreadsheetml.table+xml"/>
  <Override PartName="/xl/tables/table163.xml" ContentType="application/vnd.openxmlformats-officedocument.spreadsheetml.table+xml"/>
  <Override PartName="/xl/tables/table164.xml" ContentType="application/vnd.openxmlformats-officedocument.spreadsheetml.table+xml"/>
  <Override PartName="/xl/tables/table165.xml" ContentType="application/vnd.openxmlformats-officedocument.spreadsheetml.table+xml"/>
  <Override PartName="/xl/tables/table166.xml" ContentType="application/vnd.openxmlformats-officedocument.spreadsheetml.table+xml"/>
  <Override PartName="/xl/tables/table167.xml" ContentType="application/vnd.openxmlformats-officedocument.spreadsheetml.table+xml"/>
  <Override PartName="/xl/tables/table168.xml" ContentType="application/vnd.openxmlformats-officedocument.spreadsheetml.table+xml"/>
  <Override PartName="/xl/tables/table169.xml" ContentType="application/vnd.openxmlformats-officedocument.spreadsheetml.table+xml"/>
  <Override PartName="/xl/tables/table170.xml" ContentType="application/vnd.openxmlformats-officedocument.spreadsheetml.table+xml"/>
  <Override PartName="/xl/tables/table171.xml" ContentType="application/vnd.openxmlformats-officedocument.spreadsheetml.table+xml"/>
  <Override PartName="/xl/tables/table172.xml" ContentType="application/vnd.openxmlformats-officedocument.spreadsheetml.table+xml"/>
  <Override PartName="/xl/tables/table173.xml" ContentType="application/vnd.openxmlformats-officedocument.spreadsheetml.table+xml"/>
  <Override PartName="/xl/tables/table174.xml" ContentType="application/vnd.openxmlformats-officedocument.spreadsheetml.table+xml"/>
  <Override PartName="/xl/tables/table175.xml" ContentType="application/vnd.openxmlformats-officedocument.spreadsheetml.table+xml"/>
  <Override PartName="/xl/tables/table176.xml" ContentType="application/vnd.openxmlformats-officedocument.spreadsheetml.table+xml"/>
  <Override PartName="/xl/tables/table177.xml" ContentType="application/vnd.openxmlformats-officedocument.spreadsheetml.table+xml"/>
  <Override PartName="/xl/tables/table178.xml" ContentType="application/vnd.openxmlformats-officedocument.spreadsheetml.table+xml"/>
  <Override PartName="/xl/tables/table179.xml" ContentType="application/vnd.openxmlformats-officedocument.spreadsheetml.table+xml"/>
  <Override PartName="/xl/tables/table180.xml" ContentType="application/vnd.openxmlformats-officedocument.spreadsheetml.table+xml"/>
  <Override PartName="/xl/tables/table181.xml" ContentType="application/vnd.openxmlformats-officedocument.spreadsheetml.table+xml"/>
  <Override PartName="/xl/tables/table182.xml" ContentType="application/vnd.openxmlformats-officedocument.spreadsheetml.table+xml"/>
  <Override PartName="/xl/tables/table183.xml" ContentType="application/vnd.openxmlformats-officedocument.spreadsheetml.table+xml"/>
  <Override PartName="/xl/tables/table184.xml" ContentType="application/vnd.openxmlformats-officedocument.spreadsheetml.table+xml"/>
  <Override PartName="/xl/tables/table185.xml" ContentType="application/vnd.openxmlformats-officedocument.spreadsheetml.table+xml"/>
  <Override PartName="/xl/tables/table186.xml" ContentType="application/vnd.openxmlformats-officedocument.spreadsheetml.table+xml"/>
  <Override PartName="/xl/tables/table187.xml" ContentType="application/vnd.openxmlformats-officedocument.spreadsheetml.table+xml"/>
  <Override PartName="/xl/tables/table188.xml" ContentType="application/vnd.openxmlformats-officedocument.spreadsheetml.table+xml"/>
  <Override PartName="/xl/tables/table189.xml" ContentType="application/vnd.openxmlformats-officedocument.spreadsheetml.table+xml"/>
  <Override PartName="/xl/tables/table190.xml" ContentType="application/vnd.openxmlformats-officedocument.spreadsheetml.table+xml"/>
  <Override PartName="/xl/tables/table191.xml" ContentType="application/vnd.openxmlformats-officedocument.spreadsheetml.table+xml"/>
  <Override PartName="/xl/tables/table192.xml" ContentType="application/vnd.openxmlformats-officedocument.spreadsheetml.table+xml"/>
  <Override PartName="/xl/tables/table193.xml" ContentType="application/vnd.openxmlformats-officedocument.spreadsheetml.table+xml"/>
  <Override PartName="/xl/tables/table194.xml" ContentType="application/vnd.openxmlformats-officedocument.spreadsheetml.table+xml"/>
  <Override PartName="/xl/tables/table195.xml" ContentType="application/vnd.openxmlformats-officedocument.spreadsheetml.table+xml"/>
  <Override PartName="/xl/tables/table196.xml" ContentType="application/vnd.openxmlformats-officedocument.spreadsheetml.table+xml"/>
  <Override PartName="/xl/tables/table197.xml" ContentType="application/vnd.openxmlformats-officedocument.spreadsheetml.table+xml"/>
  <Override PartName="/xl/tables/table198.xml" ContentType="application/vnd.openxmlformats-officedocument.spreadsheetml.table+xml"/>
  <Override PartName="/xl/tables/table92.xml" ContentType="application/vnd.openxmlformats-officedocument.spreadsheetml.table+xml"/>
  <Override PartName="/xl/tables/table199.xml" ContentType="application/vnd.openxmlformats-officedocument.spreadsheetml.table+xml"/>
  <Override PartName="/xl/tables/table200.xml" ContentType="application/vnd.openxmlformats-officedocument.spreadsheetml.table+xml"/>
  <Override PartName="/xl/tables/table201.xml" ContentType="application/vnd.openxmlformats-officedocument.spreadsheetml.table+xml"/>
  <Override PartName="/xl/tables/table202.xml" ContentType="application/vnd.openxmlformats-officedocument.spreadsheetml.table+xml"/>
  <Override PartName="/xl/tables/table203.xml" ContentType="application/vnd.openxmlformats-officedocument.spreadsheetml.table+xml"/>
  <Override PartName="/xl/tables/table204.xml" ContentType="application/vnd.openxmlformats-officedocument.spreadsheetml.table+xml"/>
  <Override PartName="/xl/tables/table205.xml" ContentType="application/vnd.openxmlformats-officedocument.spreadsheetml.table+xml"/>
  <Override PartName="/xl/tables/table206.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tables/table91.xml" ContentType="application/vnd.openxmlformats-officedocument.spreadsheetml.table+xml"/>
  <Override PartName="/xl/tables/table90.xml" ContentType="application/vnd.openxmlformats-officedocument.spreadsheetml.table+xml"/>
  <Override PartName="/xl/tables/table93.xml" ContentType="application/vnd.openxmlformats-officedocument.spreadsheetml.table+xml"/>
  <Override PartName="/xl/tables/table94.xml" ContentType="application/vnd.openxmlformats-officedocument.spreadsheetml.table+xml"/>
  <Override PartName="/xl/tables/table95.xml" ContentType="application/vnd.openxmlformats-officedocument.spreadsheetml.table+xml"/>
  <Override PartName="/xl/tables/table96.xml" ContentType="application/vnd.openxmlformats-officedocument.spreadsheetml.table+xml"/>
  <Override PartName="/xl/tables/table97.xml" ContentType="application/vnd.openxmlformats-officedocument.spreadsheetml.table+xml"/>
  <Override PartName="/xl/tables/table98.xml" ContentType="application/vnd.openxmlformats-officedocument.spreadsheetml.table+xml"/>
  <Override PartName="/xl/tables/table99.xml" ContentType="application/vnd.openxmlformats-officedocument.spreadsheetml.table+xml"/>
  <Override PartName="/xl/tables/table100.xml" ContentType="application/vnd.openxmlformats-officedocument.spreadsheetml.table+xml"/>
  <Override PartName="/xl/tables/table101.xml" ContentType="application/vnd.openxmlformats-officedocument.spreadsheetml.table+xml"/>
  <Override PartName="/xl/tables/table102.xml" ContentType="application/vnd.openxmlformats-officedocument.spreadsheetml.table+xml"/>
  <Override PartName="/xl/tables/table103.xml" ContentType="application/vnd.openxmlformats-officedocument.spreadsheetml.table+xml"/>
  <Override PartName="/xl/tables/table104.xml" ContentType="application/vnd.openxmlformats-officedocument.spreadsheetml.table+xml"/>
  <Override PartName="/xl/tables/table105.xml" ContentType="application/vnd.openxmlformats-officedocument.spreadsheetml.table+xml"/>
  <Override PartName="/xl/tables/table106.xml" ContentType="application/vnd.openxmlformats-officedocument.spreadsheetml.table+xml"/>
  <Override PartName="/xl/tables/table107.xml" ContentType="application/vnd.openxmlformats-officedocument.spreadsheetml.table+xml"/>
  <Override PartName="/xl/tables/table108.xml" ContentType="application/vnd.openxmlformats-officedocument.spreadsheetml.table+xml"/>
  <Override PartName="/xl/tables/table109.xml" ContentType="application/vnd.openxmlformats-officedocument.spreadsheetml.table+xml"/>
  <Override PartName="/xl/tables/table110.xml" ContentType="application/vnd.openxmlformats-officedocument.spreadsheetml.table+xml"/>
  <Override PartName="/xl/tables/table111.xml" ContentType="application/vnd.openxmlformats-officedocument.spreadsheetml.table+xml"/>
  <Override PartName="/xl/tables/table112.xml" ContentType="application/vnd.openxmlformats-officedocument.spreadsheetml.table+xml"/>
  <Override PartName="/xl/tables/table113.xml" ContentType="application/vnd.openxmlformats-officedocument.spreadsheetml.table+xml"/>
  <Override PartName="/xl/tables/table114.xml" ContentType="application/vnd.openxmlformats-officedocument.spreadsheetml.table+xml"/>
  <Override PartName="/xl/tables/table115.xml" ContentType="application/vnd.openxmlformats-officedocument.spreadsheetml.table+xml"/>
  <Override PartName="/xl/tables/table116.xml" ContentType="application/vnd.openxmlformats-officedocument.spreadsheetml.table+xml"/>
  <Override PartName="/xl/tables/table117.xml" ContentType="application/vnd.openxmlformats-officedocument.spreadsheetml.table+xml"/>
  <Override PartName="/xl/tables/table118.xml" ContentType="application/vnd.openxmlformats-officedocument.spreadsheetml.table+xml"/>
  <Override PartName="/xl/tables/table119.xml" ContentType="application/vnd.openxmlformats-officedocument.spreadsheetml.table+xml"/>
  <Override PartName="/xl/tables/table120.xml" ContentType="application/vnd.openxmlformats-officedocument.spreadsheetml.table+xml"/>
  <Override PartName="/xl/tables/table89.xml" ContentType="application/vnd.openxmlformats-officedocument.spreadsheetml.table+xml"/>
  <Override PartName="/xl/tables/table121.xml" ContentType="application/vnd.openxmlformats-officedocument.spreadsheetml.table+xml"/>
  <Override PartName="/xl/tables/table122.xml" ContentType="application/vnd.openxmlformats-officedocument.spreadsheetml.table+xml"/>
  <Override PartName="/xl/tables/table123.xml" ContentType="application/vnd.openxmlformats-officedocument.spreadsheetml.table+xml"/>
  <Override PartName="/xl/tables/table124.xml" ContentType="application/vnd.openxmlformats-officedocument.spreadsheetml.table+xml"/>
  <Override PartName="/xl/tables/table125.xml" ContentType="application/vnd.openxmlformats-officedocument.spreadsheetml.table+xml"/>
  <Override PartName="/xl/tables/table126.xml" ContentType="application/vnd.openxmlformats-officedocument.spreadsheetml.table+xml"/>
  <Override PartName="/xl/tables/table127.xml" ContentType="application/vnd.openxmlformats-officedocument.spreadsheetml.table+xml"/>
  <Override PartName="/xl/tables/table128.xml" ContentType="application/vnd.openxmlformats-officedocument.spreadsheetml.table+xml"/>
  <Override PartName="/xl/tables/table129.xml" ContentType="application/vnd.openxmlformats-officedocument.spreadsheetml.table+xml"/>
  <Override PartName="/xl/tables/table130.xml" ContentType="application/vnd.openxmlformats-officedocument.spreadsheetml.table+xml"/>
  <Override PartName="/xl/tables/table131.xml" ContentType="application/vnd.openxmlformats-officedocument.spreadsheetml.table+xml"/>
  <Override PartName="/xl/tables/table132.xml" ContentType="application/vnd.openxmlformats-officedocument.spreadsheetml.table+xml"/>
  <Override PartName="/xl/tables/table133.xml" ContentType="application/vnd.openxmlformats-officedocument.spreadsheetml.table+xml"/>
  <Override PartName="/xl/tables/table134.xml" ContentType="application/vnd.openxmlformats-officedocument.spreadsheetml.table+xml"/>
  <Override PartName="/xl/tables/table135.xml" ContentType="application/vnd.openxmlformats-officedocument.spreadsheetml.table+xml"/>
  <Override PartName="/xl/tables/table136.xml" ContentType="application/vnd.openxmlformats-officedocument.spreadsheetml.table+xml"/>
  <Override PartName="/xl/tables/table137.xml" ContentType="application/vnd.openxmlformats-officedocument.spreadsheetml.table+xml"/>
  <Override PartName="/xl/tables/table138.xml" ContentType="application/vnd.openxmlformats-officedocument.spreadsheetml.table+xml"/>
  <Override PartName="/xl/tables/table139.xml" ContentType="application/vnd.openxmlformats-officedocument.spreadsheetml.table+xml"/>
  <Override PartName="/xl/tables/table140.xml" ContentType="application/vnd.openxmlformats-officedocument.spreadsheetml.table+xml"/>
  <Override PartName="/xl/tables/table141.xml" ContentType="application/vnd.openxmlformats-officedocument.spreadsheetml.table+xml"/>
  <Override PartName="/xl/tables/table142.xml" ContentType="application/vnd.openxmlformats-officedocument.spreadsheetml.table+xml"/>
  <Override PartName="/xl/tables/table143.xml" ContentType="application/vnd.openxmlformats-officedocument.spreadsheetml.table+xml"/>
  <Override PartName="/xl/tables/table144.xml" ContentType="application/vnd.openxmlformats-officedocument.spreadsheetml.table+xml"/>
  <Override PartName="/xl/tables/table145.xml" ContentType="application/vnd.openxmlformats-officedocument.spreadsheetml.table+xml"/>
  <Override PartName="/xl/tables/table146.xml" ContentType="application/vnd.openxmlformats-officedocument.spreadsheetml.table+xml"/>
  <Override PartName="/xl/tables/table147.xml" ContentType="application/vnd.openxmlformats-officedocument.spreadsheetml.table+xml"/>
  <Override PartName="/xl/tables/table148.xml" ContentType="application/vnd.openxmlformats-officedocument.spreadsheetml.table+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127"/>
  <workbookPr codeName="ThisWorkbook" defaultThemeVersion="124226"/>
  <mc:AlternateContent xmlns:mc="http://schemas.openxmlformats.org/markup-compatibility/2006">
    <mc:Choice Requires="x15">
      <x15ac:absPath xmlns:x15ac="http://schemas.microsoft.com/office/spreadsheetml/2010/11/ac" url="C:\Users\carolyn.daugherty\Documents\LA Care\Testing\"/>
    </mc:Choice>
  </mc:AlternateContent>
  <xr:revisionPtr revIDLastSave="0" documentId="13_ncr:1_{C3083A34-279E-427F-BF22-ECED18F29E0B}" xr6:coauthVersionLast="45" xr6:coauthVersionMax="45" xr10:uidLastSave="{00000000-0000-0000-0000-000000000000}"/>
  <bookViews>
    <workbookView xWindow="13545" yWindow="-16425" windowWidth="29040" windowHeight="15840" tabRatio="870" xr2:uid="{00000000-000D-0000-FFFF-FFFF00000000}"/>
  </bookViews>
  <sheets>
    <sheet name="Test Case Overview" sheetId="1" r:id="rId1"/>
    <sheet name="TC1" sheetId="2" r:id="rId2"/>
    <sheet name="TC2" sheetId="4" r:id="rId3"/>
    <sheet name="TC3" sheetId="5" r:id="rId4"/>
    <sheet name="TC4" sheetId="6" r:id="rId5"/>
    <sheet name="TC5" sheetId="7" r:id="rId6"/>
    <sheet name="TC6" sheetId="8" r:id="rId7"/>
    <sheet name="TC7" sheetId="9" r:id="rId8"/>
    <sheet name="TC8" sheetId="10" r:id="rId9"/>
    <sheet name="TC9" sheetId="11" r:id="rId10"/>
    <sheet name="TC10" sheetId="12" r:id="rId11"/>
    <sheet name="TC11" sheetId="13" r:id="rId12"/>
    <sheet name="TC12" sheetId="14" r:id="rId13"/>
    <sheet name="TC13" sheetId="15" r:id="rId14"/>
    <sheet name="TC14" sheetId="16" r:id="rId15"/>
    <sheet name="TC15" sheetId="17" r:id="rId16"/>
    <sheet name="TC16" sheetId="18" r:id="rId17"/>
    <sheet name="TC17" sheetId="19" r:id="rId18"/>
    <sheet name="TC18" sheetId="20" r:id="rId19"/>
    <sheet name="TC19" sheetId="21" r:id="rId20"/>
    <sheet name="TC20" sheetId="22" r:id="rId21"/>
    <sheet name="TC21" sheetId="23" r:id="rId22"/>
    <sheet name="TC22" sheetId="24" r:id="rId23"/>
    <sheet name="TC23" sheetId="25" r:id="rId24"/>
    <sheet name="TC24" sheetId="26" r:id="rId25"/>
    <sheet name="TC25" sheetId="27" r:id="rId26"/>
    <sheet name="TC26" sheetId="28" r:id="rId27"/>
    <sheet name="TC27" sheetId="29" r:id="rId28"/>
    <sheet name="TC28" sheetId="30" r:id="rId29"/>
    <sheet name="TC29" sheetId="31" r:id="rId30"/>
    <sheet name="TC30" sheetId="32" r:id="rId31"/>
    <sheet name="TC31" sheetId="33" r:id="rId32"/>
    <sheet name="TC32" sheetId="34" r:id="rId33"/>
    <sheet name="TC33" sheetId="35" r:id="rId34"/>
    <sheet name="TC34" sheetId="36" r:id="rId35"/>
    <sheet name="TC35" sheetId="37" r:id="rId36"/>
    <sheet name="TC36" sheetId="38" r:id="rId37"/>
    <sheet name="TC37" sheetId="39" r:id="rId38"/>
    <sheet name="TC38" sheetId="40" r:id="rId39"/>
    <sheet name="TC39" sheetId="41" r:id="rId40"/>
    <sheet name="TC40" sheetId="42" r:id="rId41"/>
    <sheet name="TC41" sheetId="43" r:id="rId42"/>
    <sheet name="TC42" sheetId="44" r:id="rId43"/>
    <sheet name="TC43" sheetId="45" r:id="rId44"/>
    <sheet name="TC44" sheetId="46" r:id="rId45"/>
    <sheet name="TC45" sheetId="47" r:id="rId46"/>
    <sheet name="TC46" sheetId="48" r:id="rId47"/>
    <sheet name="TC47" sheetId="49" r:id="rId48"/>
    <sheet name="TC48" sheetId="50" r:id="rId49"/>
    <sheet name="TC49" sheetId="51" r:id="rId50"/>
    <sheet name="TC50" sheetId="52" r:id="rId51"/>
    <sheet name="TC51" sheetId="53" r:id="rId52"/>
    <sheet name="TC52" sheetId="54" r:id="rId53"/>
    <sheet name="TC53" sheetId="55" r:id="rId54"/>
    <sheet name="TC54" sheetId="56" r:id="rId55"/>
    <sheet name="TC55" sheetId="57" r:id="rId56"/>
    <sheet name="TC56" sheetId="58" r:id="rId57"/>
    <sheet name="TC57" sheetId="59" r:id="rId58"/>
    <sheet name="TC58" sheetId="60" r:id="rId59"/>
    <sheet name="TC59" sheetId="61" r:id="rId60"/>
    <sheet name="TC60" sheetId="62" r:id="rId61"/>
    <sheet name="TC61" sheetId="63" r:id="rId62"/>
    <sheet name="TC62" sheetId="64" r:id="rId63"/>
    <sheet name="TC63" sheetId="65" r:id="rId64"/>
    <sheet name="TC64" sheetId="66" r:id="rId65"/>
    <sheet name="TC65" sheetId="67" r:id="rId66"/>
    <sheet name="TC66" sheetId="68" r:id="rId67"/>
    <sheet name="TC67" sheetId="69" r:id="rId68"/>
    <sheet name="TC68" sheetId="70" r:id="rId69"/>
    <sheet name="TC69" sheetId="71" r:id="rId70"/>
    <sheet name="TC70" sheetId="72" r:id="rId71"/>
    <sheet name="TC71" sheetId="73" r:id="rId72"/>
    <sheet name="TC72" sheetId="74" r:id="rId73"/>
    <sheet name="TC73" sheetId="75" r:id="rId74"/>
    <sheet name="TC74" sheetId="76" r:id="rId75"/>
    <sheet name="TC75" sheetId="77" r:id="rId76"/>
    <sheet name="TC76" sheetId="78" r:id="rId77"/>
    <sheet name="TC77" sheetId="79" r:id="rId78"/>
    <sheet name="TC78" sheetId="80" r:id="rId79"/>
    <sheet name="TC79" sheetId="81" r:id="rId80"/>
    <sheet name="TC80" sheetId="82" r:id="rId81"/>
    <sheet name="TC81" sheetId="83" r:id="rId82"/>
    <sheet name="TC82" sheetId="84" r:id="rId83"/>
    <sheet name="TC83" sheetId="85" r:id="rId84"/>
    <sheet name="TC84" sheetId="86" r:id="rId85"/>
    <sheet name="TC85" sheetId="87" r:id="rId86"/>
    <sheet name="TC86" sheetId="88" r:id="rId87"/>
    <sheet name="TC87" sheetId="89" r:id="rId88"/>
    <sheet name="TC88" sheetId="90" r:id="rId89"/>
    <sheet name="TC89" sheetId="91" r:id="rId90"/>
    <sheet name="TC90" sheetId="92" r:id="rId91"/>
    <sheet name="TC91" sheetId="93" r:id="rId92"/>
    <sheet name="TC92" sheetId="94" r:id="rId93"/>
    <sheet name="TC93" sheetId="95" r:id="rId94"/>
    <sheet name="TC94" sheetId="96" r:id="rId95"/>
    <sheet name="TC95" sheetId="97" r:id="rId96"/>
    <sheet name="TC96" sheetId="98" r:id="rId97"/>
    <sheet name="TC97" sheetId="99" r:id="rId98"/>
    <sheet name="TC98" sheetId="100" r:id="rId99"/>
    <sheet name="TC99" sheetId="101" r:id="rId100"/>
    <sheet name="TC100" sheetId="102" r:id="rId101"/>
    <sheet name="TC101" sheetId="103" r:id="rId102"/>
    <sheet name="TC102" sheetId="104" r:id="rId103"/>
    <sheet name="TC103" sheetId="105" r:id="rId104"/>
    <sheet name="TC104" sheetId="106" r:id="rId105"/>
    <sheet name="TC105" sheetId="107" r:id="rId106"/>
    <sheet name="TC106" sheetId="108" r:id="rId107"/>
    <sheet name="TC107" sheetId="109" r:id="rId108"/>
    <sheet name="TC108" sheetId="110" r:id="rId109"/>
    <sheet name="TC109" sheetId="111" r:id="rId110"/>
    <sheet name="TC110" sheetId="112" r:id="rId111"/>
    <sheet name="TC111" sheetId="113" r:id="rId112"/>
    <sheet name="TC112" sheetId="114" r:id="rId113"/>
    <sheet name="TC113" sheetId="115" r:id="rId114"/>
    <sheet name="TC114" sheetId="116" r:id="rId115"/>
    <sheet name="TC115" sheetId="117" r:id="rId116"/>
    <sheet name="TC116" sheetId="118" r:id="rId117"/>
    <sheet name="TC117" sheetId="119" r:id="rId118"/>
    <sheet name="TC118" sheetId="120" r:id="rId119"/>
    <sheet name="TC119" sheetId="121" r:id="rId120"/>
    <sheet name="TC120" sheetId="122" r:id="rId121"/>
    <sheet name="TC121" sheetId="123" r:id="rId122"/>
    <sheet name="TC122" sheetId="124" r:id="rId123"/>
    <sheet name="TC123" sheetId="125" r:id="rId124"/>
    <sheet name="TC124" sheetId="126" r:id="rId125"/>
    <sheet name="TC125" sheetId="127" r:id="rId126"/>
    <sheet name="TC126" sheetId="128" r:id="rId127"/>
    <sheet name="TC127" sheetId="129" r:id="rId128"/>
    <sheet name="TC128" sheetId="130" r:id="rId129"/>
    <sheet name="TC129" sheetId="131" r:id="rId130"/>
    <sheet name="TC130" sheetId="132" r:id="rId131"/>
    <sheet name="TC131" sheetId="133" r:id="rId132"/>
    <sheet name="TC132" sheetId="134" r:id="rId133"/>
    <sheet name="TC133" sheetId="135" r:id="rId134"/>
    <sheet name="TC134" sheetId="136" r:id="rId135"/>
    <sheet name="TC135" sheetId="137" r:id="rId136"/>
    <sheet name="TC136" sheetId="138" r:id="rId137"/>
    <sheet name="TC137" sheetId="139" r:id="rId138"/>
    <sheet name="TC138" sheetId="140" r:id="rId139"/>
    <sheet name="TC139" sheetId="141" r:id="rId140"/>
    <sheet name="TC140" sheetId="142" r:id="rId141"/>
    <sheet name="TC141" sheetId="143" r:id="rId142"/>
    <sheet name="TC142" sheetId="144" r:id="rId143"/>
    <sheet name="TC143" sheetId="145" r:id="rId144"/>
    <sheet name="TC144" sheetId="146" r:id="rId145"/>
    <sheet name="TC145" sheetId="147" r:id="rId146"/>
    <sheet name="TC146" sheetId="148" r:id="rId147"/>
    <sheet name="TC147" sheetId="149" r:id="rId148"/>
    <sheet name="TC148" sheetId="150" r:id="rId149"/>
    <sheet name="TC149" sheetId="151" r:id="rId150"/>
    <sheet name="TC150" sheetId="152" r:id="rId151"/>
    <sheet name="TC151" sheetId="153" r:id="rId152"/>
    <sheet name="TC152" sheetId="154" r:id="rId153"/>
    <sheet name="TC153" sheetId="155" r:id="rId154"/>
    <sheet name="TC154" sheetId="156" r:id="rId155"/>
    <sheet name="TC155" sheetId="157" r:id="rId156"/>
    <sheet name="TC156" sheetId="158" r:id="rId157"/>
    <sheet name="TC157" sheetId="159" r:id="rId158"/>
    <sheet name="TC158" sheetId="160" r:id="rId159"/>
    <sheet name="TC159" sheetId="161" r:id="rId160"/>
    <sheet name="TC160" sheetId="162" r:id="rId161"/>
    <sheet name="TC161" sheetId="163" r:id="rId162"/>
    <sheet name="TC162" sheetId="164" r:id="rId163"/>
    <sheet name="TC163" sheetId="165" r:id="rId164"/>
    <sheet name="TC164" sheetId="166" r:id="rId165"/>
    <sheet name="TC165" sheetId="167" r:id="rId166"/>
    <sheet name="TC166" sheetId="168" r:id="rId167"/>
    <sheet name="TC167" sheetId="169" r:id="rId168"/>
    <sheet name="TC168" sheetId="170" r:id="rId169"/>
    <sheet name="TC169" sheetId="171" r:id="rId170"/>
    <sheet name="TC170" sheetId="172" r:id="rId171"/>
    <sheet name="TC171" sheetId="173" r:id="rId172"/>
    <sheet name="TC172" sheetId="174" r:id="rId173"/>
    <sheet name="TC173" sheetId="175" r:id="rId174"/>
    <sheet name="TC174" sheetId="176" r:id="rId175"/>
    <sheet name="TC175" sheetId="177" r:id="rId176"/>
    <sheet name="TC176" sheetId="178" r:id="rId177"/>
    <sheet name="TC177" sheetId="179" r:id="rId178"/>
    <sheet name="TC178" sheetId="180" r:id="rId179"/>
    <sheet name="TC179" sheetId="181" r:id="rId180"/>
    <sheet name="TC180" sheetId="182" r:id="rId181"/>
    <sheet name="TC181" sheetId="183" r:id="rId182"/>
    <sheet name="TC182" sheetId="184" r:id="rId183"/>
    <sheet name="TC183" sheetId="185" r:id="rId184"/>
    <sheet name="TC184" sheetId="186" r:id="rId185"/>
    <sheet name="TC185" sheetId="187" r:id="rId186"/>
    <sheet name="TC186" sheetId="188" r:id="rId187"/>
    <sheet name="TC187" sheetId="189" r:id="rId188"/>
    <sheet name="TC188" sheetId="190" r:id="rId189"/>
    <sheet name="TC189" sheetId="191" r:id="rId190"/>
    <sheet name="TC190" sheetId="192" r:id="rId191"/>
    <sheet name="TC191" sheetId="193" r:id="rId192"/>
    <sheet name="TC192" sheetId="194" r:id="rId193"/>
    <sheet name="TC193" sheetId="195" r:id="rId194"/>
    <sheet name="TC194" sheetId="196" r:id="rId195"/>
    <sheet name="TC195" sheetId="197" r:id="rId196"/>
    <sheet name="TC196" sheetId="198" r:id="rId197"/>
    <sheet name="TC197" sheetId="199" r:id="rId198"/>
    <sheet name="TC198" sheetId="200" r:id="rId199"/>
    <sheet name="TC199" sheetId="201" r:id="rId200"/>
    <sheet name="TC200" sheetId="202" r:id="rId201"/>
    <sheet name="TC201" sheetId="203" r:id="rId202"/>
    <sheet name="PEG DICTIONARY" sheetId="3" r:id="rId203"/>
  </sheets>
  <externalReferences>
    <externalReference r:id="rId204"/>
  </externalReferences>
  <definedNames>
    <definedName name="_xlnm._FilterDatabase" localSheetId="0" hidden="1">'Test Case Overview'!$A$4:$F$4</definedName>
    <definedName name="_Toc489362546" localSheetId="202">'PEG DICTIONARY'!$B$14</definedName>
    <definedName name="_Toc489362555" localSheetId="202">'PEG DICTIONARY'!$B$19</definedName>
    <definedName name="_Toc489362616" localSheetId="202">'PEG DICTIONARY'!$B$53</definedName>
    <definedName name="_Toc489362651" localSheetId="202">'PEG DICTIONARY'!$A$49</definedName>
    <definedName name="_Toc489362687" localSheetId="202">'PEG DICTIONARY'!$B$168</definedName>
    <definedName name="_Toc489362752" localSheetId="202">'PEG DICTIONARY'!$B$97</definedName>
    <definedName name="_Toc489362803" localSheetId="202">'PEG DICTIONARY'!$B$197</definedName>
    <definedName name="Overview_Table" localSheetId="1">'[1]Test Case Overview'!$A$6:$F$325</definedName>
    <definedName name="Overview_Table">'Test Case Overview'!$A$6:$F$151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34" i="58" l="1"/>
  <c r="C27" i="58"/>
  <c r="C25" i="58"/>
  <c r="C42" i="69"/>
  <c r="C31" i="69"/>
  <c r="C25" i="19"/>
  <c r="C26" i="18"/>
  <c r="C42" i="55" l="1"/>
  <c r="C40" i="55"/>
  <c r="C39" i="55"/>
  <c r="C30" i="55"/>
  <c r="C36" i="55"/>
  <c r="C34" i="55"/>
  <c r="C32" i="55"/>
  <c r="C31" i="55"/>
  <c r="C36" i="53"/>
  <c r="C34" i="53"/>
  <c r="C33" i="53"/>
  <c r="C31" i="53"/>
  <c r="C30" i="53"/>
  <c r="C21" i="52" l="1"/>
  <c r="E47" i="51"/>
  <c r="C47" i="51"/>
  <c r="E46" i="51"/>
  <c r="E45" i="51"/>
  <c r="C45" i="51"/>
  <c r="E44" i="51"/>
  <c r="C44" i="51"/>
  <c r="E43" i="51"/>
  <c r="E42" i="51"/>
  <c r="C42" i="51"/>
  <c r="E33" i="12"/>
  <c r="E32" i="12"/>
  <c r="E31" i="12"/>
  <c r="E30" i="12"/>
  <c r="E29" i="12"/>
  <c r="C32" i="12"/>
  <c r="E24" i="9" l="1"/>
  <c r="E23" i="9"/>
  <c r="C23" i="9"/>
  <c r="E22" i="9"/>
  <c r="E21" i="9"/>
  <c r="C21" i="9"/>
  <c r="E25" i="39"/>
  <c r="E24" i="39"/>
  <c r="C24" i="39"/>
  <c r="C23" i="39"/>
  <c r="C20" i="39"/>
  <c r="C30" i="38"/>
  <c r="C28" i="38"/>
  <c r="C27" i="38"/>
  <c r="C25" i="38"/>
  <c r="C22" i="38"/>
  <c r="E21" i="7"/>
  <c r="E20" i="7"/>
  <c r="E19" i="7"/>
  <c r="C21" i="7"/>
  <c r="E31" i="38"/>
  <c r="E26" i="38"/>
  <c r="E25" i="38"/>
  <c r="E24" i="38"/>
  <c r="C24" i="38"/>
  <c r="C20" i="38"/>
  <c r="C16" i="42" l="1"/>
  <c r="C9" i="22"/>
  <c r="C32" i="32" l="1"/>
  <c r="C30" i="32"/>
  <c r="C24" i="32"/>
  <c r="C22" i="32"/>
  <c r="C17" i="34"/>
  <c r="C37" i="32"/>
  <c r="C11" i="28"/>
  <c r="C11" i="27"/>
  <c r="C11" i="26"/>
  <c r="E11" i="25"/>
  <c r="C11" i="25"/>
  <c r="C11" i="24"/>
  <c r="E32" i="23"/>
  <c r="E31" i="23"/>
  <c r="E30" i="23"/>
  <c r="E29" i="23"/>
  <c r="E28" i="23"/>
  <c r="E27" i="23"/>
  <c r="E26" i="23"/>
  <c r="E25" i="23"/>
  <c r="E24" i="23"/>
  <c r="E23" i="23"/>
  <c r="E22" i="23"/>
  <c r="E21" i="23"/>
  <c r="E20" i="23"/>
  <c r="E19" i="23"/>
  <c r="E18" i="23"/>
  <c r="E17" i="23"/>
  <c r="E16" i="23"/>
  <c r="E15" i="23"/>
  <c r="E14" i="23"/>
  <c r="E13" i="23"/>
  <c r="E12" i="23"/>
  <c r="E11" i="23"/>
  <c r="E10" i="23"/>
  <c r="E9" i="23"/>
  <c r="C30" i="23"/>
  <c r="C28" i="23"/>
  <c r="C27" i="23"/>
  <c r="C26" i="23"/>
  <c r="C24" i="23"/>
  <c r="C22" i="23"/>
  <c r="C19" i="23"/>
  <c r="C15" i="23"/>
  <c r="C11" i="23"/>
  <c r="C13" i="26"/>
  <c r="C22" i="24"/>
  <c r="C14" i="2"/>
  <c r="C13" i="2"/>
  <c r="C28" i="21" l="1"/>
  <c r="C33" i="21"/>
  <c r="C32" i="21"/>
  <c r="C31" i="21"/>
  <c r="C30" i="21"/>
  <c r="C26" i="21"/>
  <c r="C15" i="21"/>
  <c r="C42" i="21"/>
  <c r="C45" i="20"/>
  <c r="C43" i="20"/>
  <c r="C42" i="20"/>
  <c r="C41" i="20"/>
  <c r="C40" i="20"/>
  <c r="C38" i="20"/>
  <c r="C36" i="20"/>
  <c r="C34" i="20"/>
  <c r="C32" i="20"/>
  <c r="C30" i="20"/>
  <c r="C23" i="20"/>
  <c r="E28" i="18" l="1"/>
  <c r="E27" i="18"/>
  <c r="C27" i="18"/>
  <c r="C31" i="12"/>
  <c r="C29" i="12"/>
  <c r="C19" i="8"/>
  <c r="C17" i="8"/>
  <c r="C19" i="7"/>
  <c r="C17" i="7"/>
  <c r="C17" i="6"/>
  <c r="C13" i="6"/>
  <c r="C33" i="9" l="1"/>
  <c r="E34" i="9"/>
  <c r="E33" i="9"/>
  <c r="C34" i="9"/>
  <c r="C19" i="9"/>
  <c r="E19" i="9"/>
  <c r="E20" i="9"/>
  <c r="C25" i="9"/>
  <c r="E25" i="9"/>
  <c r="E26" i="9"/>
  <c r="C27" i="9"/>
  <c r="E27" i="9"/>
  <c r="E28" i="9"/>
  <c r="C29" i="9"/>
  <c r="E29" i="9"/>
  <c r="E30" i="9"/>
  <c r="C31" i="9"/>
  <c r="E31" i="9"/>
  <c r="E32" i="9"/>
  <c r="C15" i="6" l="1"/>
  <c r="C11" i="5"/>
  <c r="C19" i="4"/>
  <c r="C15" i="4"/>
  <c r="C11" i="4"/>
  <c r="C9" i="6"/>
  <c r="E43" i="203" l="1"/>
  <c r="C43" i="203"/>
  <c r="E42" i="203"/>
  <c r="C42" i="203"/>
  <c r="E41" i="203"/>
  <c r="C41" i="203"/>
  <c r="E40" i="203"/>
  <c r="C40" i="203"/>
  <c r="E39" i="203"/>
  <c r="C39" i="203"/>
  <c r="E38" i="203"/>
  <c r="C38" i="203"/>
  <c r="E37" i="203"/>
  <c r="C37" i="203"/>
  <c r="E36" i="203"/>
  <c r="C36" i="203"/>
  <c r="E35" i="203"/>
  <c r="C35" i="203"/>
  <c r="E34" i="203"/>
  <c r="C34" i="203"/>
  <c r="E33" i="203"/>
  <c r="C33" i="203"/>
  <c r="E32" i="203"/>
  <c r="C32" i="203"/>
  <c r="E31" i="203"/>
  <c r="C31" i="203"/>
  <c r="E30" i="203"/>
  <c r="C30" i="203"/>
  <c r="E29" i="203"/>
  <c r="C29" i="203"/>
  <c r="E28" i="203"/>
  <c r="C28" i="203"/>
  <c r="E27" i="203"/>
  <c r="C27" i="203"/>
  <c r="E26" i="203"/>
  <c r="C26" i="203"/>
  <c r="E25" i="203"/>
  <c r="C25" i="203"/>
  <c r="E24" i="203"/>
  <c r="C24" i="203"/>
  <c r="E23" i="203"/>
  <c r="C23" i="203"/>
  <c r="E22" i="203"/>
  <c r="C22" i="203"/>
  <c r="E21" i="203"/>
  <c r="C21" i="203"/>
  <c r="E20" i="203"/>
  <c r="C20" i="203"/>
  <c r="E19" i="203"/>
  <c r="C19" i="203"/>
  <c r="E18" i="203"/>
  <c r="C18" i="203"/>
  <c r="E17" i="203"/>
  <c r="C17" i="203"/>
  <c r="E16" i="203"/>
  <c r="C16" i="203"/>
  <c r="E15" i="203"/>
  <c r="C15" i="203"/>
  <c r="E14" i="203"/>
  <c r="C14" i="203"/>
  <c r="E13" i="203"/>
  <c r="C13" i="203"/>
  <c r="E12" i="203"/>
  <c r="C12" i="203"/>
  <c r="E11" i="203"/>
  <c r="C11" i="203"/>
  <c r="E10" i="203"/>
  <c r="C10" i="203"/>
  <c r="E9" i="203"/>
  <c r="C9" i="203"/>
  <c r="B2" i="203"/>
  <c r="B3" i="203" s="1"/>
  <c r="E43" i="202"/>
  <c r="C43" i="202"/>
  <c r="E42" i="202"/>
  <c r="C42" i="202"/>
  <c r="E41" i="202"/>
  <c r="C41" i="202"/>
  <c r="E40" i="202"/>
  <c r="C40" i="202"/>
  <c r="E39" i="202"/>
  <c r="C39" i="202"/>
  <c r="E38" i="202"/>
  <c r="C38" i="202"/>
  <c r="E37" i="202"/>
  <c r="C37" i="202"/>
  <c r="E36" i="202"/>
  <c r="C36" i="202"/>
  <c r="E35" i="202"/>
  <c r="C35" i="202"/>
  <c r="E34" i="202"/>
  <c r="C34" i="202"/>
  <c r="E33" i="202"/>
  <c r="C33" i="202"/>
  <c r="E32" i="202"/>
  <c r="C32" i="202"/>
  <c r="E31" i="202"/>
  <c r="C31" i="202"/>
  <c r="E30" i="202"/>
  <c r="C30" i="202"/>
  <c r="E29" i="202"/>
  <c r="C29" i="202"/>
  <c r="E28" i="202"/>
  <c r="C28" i="202"/>
  <c r="E27" i="202"/>
  <c r="C27" i="202"/>
  <c r="E26" i="202"/>
  <c r="C26" i="202"/>
  <c r="E25" i="202"/>
  <c r="C25" i="202"/>
  <c r="E24" i="202"/>
  <c r="C24" i="202"/>
  <c r="E23" i="202"/>
  <c r="C23" i="202"/>
  <c r="E22" i="202"/>
  <c r="C22" i="202"/>
  <c r="E21" i="202"/>
  <c r="C21" i="202"/>
  <c r="E20" i="202"/>
  <c r="C20" i="202"/>
  <c r="E19" i="202"/>
  <c r="C19" i="202"/>
  <c r="E18" i="202"/>
  <c r="C18" i="202"/>
  <c r="E17" i="202"/>
  <c r="C17" i="202"/>
  <c r="E16" i="202"/>
  <c r="C16" i="202"/>
  <c r="E15" i="202"/>
  <c r="C15" i="202"/>
  <c r="E14" i="202"/>
  <c r="C14" i="202"/>
  <c r="E13" i="202"/>
  <c r="C13" i="202"/>
  <c r="E12" i="202"/>
  <c r="C12" i="202"/>
  <c r="E11" i="202"/>
  <c r="C11" i="202"/>
  <c r="E10" i="202"/>
  <c r="C10" i="202"/>
  <c r="E9" i="202"/>
  <c r="C9" i="202"/>
  <c r="B2" i="202"/>
  <c r="B3" i="202" s="1"/>
  <c r="E43" i="201"/>
  <c r="C43" i="201"/>
  <c r="E42" i="201"/>
  <c r="C42" i="201"/>
  <c r="E41" i="201"/>
  <c r="C41" i="201"/>
  <c r="E40" i="201"/>
  <c r="C40" i="201"/>
  <c r="E39" i="201"/>
  <c r="C39" i="201"/>
  <c r="E38" i="201"/>
  <c r="C38" i="201"/>
  <c r="E37" i="201"/>
  <c r="C37" i="201"/>
  <c r="E36" i="201"/>
  <c r="C36" i="201"/>
  <c r="E35" i="201"/>
  <c r="C35" i="201"/>
  <c r="E34" i="201"/>
  <c r="C34" i="201"/>
  <c r="E33" i="201"/>
  <c r="C33" i="201"/>
  <c r="E32" i="201"/>
  <c r="C32" i="201"/>
  <c r="E31" i="201"/>
  <c r="C31" i="201"/>
  <c r="E30" i="201"/>
  <c r="C30" i="201"/>
  <c r="E29" i="201"/>
  <c r="C29" i="201"/>
  <c r="E28" i="201"/>
  <c r="C28" i="201"/>
  <c r="E27" i="201"/>
  <c r="C27" i="201"/>
  <c r="E26" i="201"/>
  <c r="C26" i="201"/>
  <c r="E25" i="201"/>
  <c r="C25" i="201"/>
  <c r="E24" i="201"/>
  <c r="C24" i="201"/>
  <c r="E23" i="201"/>
  <c r="C23" i="201"/>
  <c r="E22" i="201"/>
  <c r="C22" i="201"/>
  <c r="E21" i="201"/>
  <c r="C21" i="201"/>
  <c r="E20" i="201"/>
  <c r="C20" i="201"/>
  <c r="E19" i="201"/>
  <c r="C19" i="201"/>
  <c r="E18" i="201"/>
  <c r="C18" i="201"/>
  <c r="E17" i="201"/>
  <c r="C17" i="201"/>
  <c r="E16" i="201"/>
  <c r="C16" i="201"/>
  <c r="E15" i="201"/>
  <c r="C15" i="201"/>
  <c r="E14" i="201"/>
  <c r="C14" i="201"/>
  <c r="E13" i="201"/>
  <c r="C13" i="201"/>
  <c r="E12" i="201"/>
  <c r="C12" i="201"/>
  <c r="E11" i="201"/>
  <c r="C11" i="201"/>
  <c r="E10" i="201"/>
  <c r="C10" i="201"/>
  <c r="E9" i="201"/>
  <c r="C9" i="201"/>
  <c r="B2" i="201"/>
  <c r="B3" i="201" s="1"/>
  <c r="E43" i="200"/>
  <c r="C43" i="200"/>
  <c r="E42" i="200"/>
  <c r="C42" i="200"/>
  <c r="E41" i="200"/>
  <c r="C41" i="200"/>
  <c r="E40" i="200"/>
  <c r="C40" i="200"/>
  <c r="E39" i="200"/>
  <c r="C39" i="200"/>
  <c r="E38" i="200"/>
  <c r="C38" i="200"/>
  <c r="E37" i="200"/>
  <c r="C37" i="200"/>
  <c r="E36" i="200"/>
  <c r="C36" i="200"/>
  <c r="E35" i="200"/>
  <c r="C35" i="200"/>
  <c r="E34" i="200"/>
  <c r="C34" i="200"/>
  <c r="E33" i="200"/>
  <c r="C33" i="200"/>
  <c r="E32" i="200"/>
  <c r="C32" i="200"/>
  <c r="E31" i="200"/>
  <c r="C31" i="200"/>
  <c r="E30" i="200"/>
  <c r="C30" i="200"/>
  <c r="E29" i="200"/>
  <c r="C29" i="200"/>
  <c r="E28" i="200"/>
  <c r="C28" i="200"/>
  <c r="E27" i="200"/>
  <c r="C27" i="200"/>
  <c r="E26" i="200"/>
  <c r="C26" i="200"/>
  <c r="E25" i="200"/>
  <c r="C25" i="200"/>
  <c r="E24" i="200"/>
  <c r="C24" i="200"/>
  <c r="E23" i="200"/>
  <c r="C23" i="200"/>
  <c r="E22" i="200"/>
  <c r="C22" i="200"/>
  <c r="E21" i="200"/>
  <c r="C21" i="200"/>
  <c r="E20" i="200"/>
  <c r="C20" i="200"/>
  <c r="E19" i="200"/>
  <c r="C19" i="200"/>
  <c r="E18" i="200"/>
  <c r="C18" i="200"/>
  <c r="E17" i="200"/>
  <c r="C17" i="200"/>
  <c r="E16" i="200"/>
  <c r="C16" i="200"/>
  <c r="E15" i="200"/>
  <c r="C15" i="200"/>
  <c r="E14" i="200"/>
  <c r="C14" i="200"/>
  <c r="E13" i="200"/>
  <c r="C13" i="200"/>
  <c r="E12" i="200"/>
  <c r="C12" i="200"/>
  <c r="E11" i="200"/>
  <c r="C11" i="200"/>
  <c r="E10" i="200"/>
  <c r="C10" i="200"/>
  <c r="E9" i="200"/>
  <c r="C9" i="200"/>
  <c r="B2" i="200"/>
  <c r="B5" i="200" s="1"/>
  <c r="E43" i="199"/>
  <c r="C43" i="199"/>
  <c r="E42" i="199"/>
  <c r="C42" i="199"/>
  <c r="E41" i="199"/>
  <c r="C41" i="199"/>
  <c r="E40" i="199"/>
  <c r="C40" i="199"/>
  <c r="E39" i="199"/>
  <c r="C39" i="199"/>
  <c r="E38" i="199"/>
  <c r="C38" i="199"/>
  <c r="E37" i="199"/>
  <c r="C37" i="199"/>
  <c r="E36" i="199"/>
  <c r="C36" i="199"/>
  <c r="E35" i="199"/>
  <c r="C35" i="199"/>
  <c r="E34" i="199"/>
  <c r="C34" i="199"/>
  <c r="E33" i="199"/>
  <c r="C33" i="199"/>
  <c r="E32" i="199"/>
  <c r="C32" i="199"/>
  <c r="E31" i="199"/>
  <c r="C31" i="199"/>
  <c r="E30" i="199"/>
  <c r="C30" i="199"/>
  <c r="E29" i="199"/>
  <c r="C29" i="199"/>
  <c r="E28" i="199"/>
  <c r="C28" i="199"/>
  <c r="E27" i="199"/>
  <c r="C27" i="199"/>
  <c r="E26" i="199"/>
  <c r="C26" i="199"/>
  <c r="E25" i="199"/>
  <c r="C25" i="199"/>
  <c r="E24" i="199"/>
  <c r="C24" i="199"/>
  <c r="E23" i="199"/>
  <c r="C23" i="199"/>
  <c r="E22" i="199"/>
  <c r="C22" i="199"/>
  <c r="E21" i="199"/>
  <c r="C21" i="199"/>
  <c r="E20" i="199"/>
  <c r="C20" i="199"/>
  <c r="E19" i="199"/>
  <c r="C19" i="199"/>
  <c r="E18" i="199"/>
  <c r="C18" i="199"/>
  <c r="E17" i="199"/>
  <c r="C17" i="199"/>
  <c r="E16" i="199"/>
  <c r="C16" i="199"/>
  <c r="E15" i="199"/>
  <c r="C15" i="199"/>
  <c r="E14" i="199"/>
  <c r="C14" i="199"/>
  <c r="E13" i="199"/>
  <c r="C13" i="199"/>
  <c r="E12" i="199"/>
  <c r="C12" i="199"/>
  <c r="E11" i="199"/>
  <c r="C11" i="199"/>
  <c r="E10" i="199"/>
  <c r="C10" i="199"/>
  <c r="E9" i="199"/>
  <c r="C9" i="199"/>
  <c r="B2" i="199"/>
  <c r="B3" i="199" s="1"/>
  <c r="E43" i="198"/>
  <c r="C43" i="198"/>
  <c r="E42" i="198"/>
  <c r="C42" i="198"/>
  <c r="E41" i="198"/>
  <c r="C41" i="198"/>
  <c r="E40" i="198"/>
  <c r="C40" i="198"/>
  <c r="E39" i="198"/>
  <c r="C39" i="198"/>
  <c r="E38" i="198"/>
  <c r="C38" i="198"/>
  <c r="E37" i="198"/>
  <c r="C37" i="198"/>
  <c r="E36" i="198"/>
  <c r="C36" i="198"/>
  <c r="E35" i="198"/>
  <c r="C35" i="198"/>
  <c r="E34" i="198"/>
  <c r="C34" i="198"/>
  <c r="E33" i="198"/>
  <c r="C33" i="198"/>
  <c r="E32" i="198"/>
  <c r="C32" i="198"/>
  <c r="E31" i="198"/>
  <c r="C31" i="198"/>
  <c r="E30" i="198"/>
  <c r="C30" i="198"/>
  <c r="E29" i="198"/>
  <c r="C29" i="198"/>
  <c r="E28" i="198"/>
  <c r="C28" i="198"/>
  <c r="E27" i="198"/>
  <c r="C27" i="198"/>
  <c r="E26" i="198"/>
  <c r="C26" i="198"/>
  <c r="E25" i="198"/>
  <c r="C25" i="198"/>
  <c r="E24" i="198"/>
  <c r="C24" i="198"/>
  <c r="E23" i="198"/>
  <c r="C23" i="198"/>
  <c r="E22" i="198"/>
  <c r="C22" i="198"/>
  <c r="E21" i="198"/>
  <c r="C21" i="198"/>
  <c r="E20" i="198"/>
  <c r="C20" i="198"/>
  <c r="E19" i="198"/>
  <c r="C19" i="198"/>
  <c r="E18" i="198"/>
  <c r="C18" i="198"/>
  <c r="E17" i="198"/>
  <c r="C17" i="198"/>
  <c r="E16" i="198"/>
  <c r="C16" i="198"/>
  <c r="E15" i="198"/>
  <c r="C15" i="198"/>
  <c r="E14" i="198"/>
  <c r="C14" i="198"/>
  <c r="E13" i="198"/>
  <c r="C13" i="198"/>
  <c r="E12" i="198"/>
  <c r="C12" i="198"/>
  <c r="E11" i="198"/>
  <c r="C11" i="198"/>
  <c r="E10" i="198"/>
  <c r="C10" i="198"/>
  <c r="E9" i="198"/>
  <c r="C9" i="198"/>
  <c r="B2" i="198"/>
  <c r="B3" i="198" s="1"/>
  <c r="E43" i="197"/>
  <c r="C43" i="197"/>
  <c r="E42" i="197"/>
  <c r="C42" i="197"/>
  <c r="E41" i="197"/>
  <c r="C41" i="197"/>
  <c r="E40" i="197"/>
  <c r="C40" i="197"/>
  <c r="E39" i="197"/>
  <c r="C39" i="197"/>
  <c r="E38" i="197"/>
  <c r="C38" i="197"/>
  <c r="E37" i="197"/>
  <c r="C37" i="197"/>
  <c r="E36" i="197"/>
  <c r="C36" i="197"/>
  <c r="E35" i="197"/>
  <c r="C35" i="197"/>
  <c r="E34" i="197"/>
  <c r="C34" i="197"/>
  <c r="E33" i="197"/>
  <c r="C33" i="197"/>
  <c r="E32" i="197"/>
  <c r="C32" i="197"/>
  <c r="E31" i="197"/>
  <c r="C31" i="197"/>
  <c r="E30" i="197"/>
  <c r="C30" i="197"/>
  <c r="E29" i="197"/>
  <c r="C29" i="197"/>
  <c r="E28" i="197"/>
  <c r="C28" i="197"/>
  <c r="E27" i="197"/>
  <c r="C27" i="197"/>
  <c r="E26" i="197"/>
  <c r="C26" i="197"/>
  <c r="E25" i="197"/>
  <c r="C25" i="197"/>
  <c r="E24" i="197"/>
  <c r="C24" i="197"/>
  <c r="E23" i="197"/>
  <c r="C23" i="197"/>
  <c r="E22" i="197"/>
  <c r="C22" i="197"/>
  <c r="E21" i="197"/>
  <c r="C21" i="197"/>
  <c r="E20" i="197"/>
  <c r="C20" i="197"/>
  <c r="E19" i="197"/>
  <c r="C19" i="197"/>
  <c r="E18" i="197"/>
  <c r="C18" i="197"/>
  <c r="E17" i="197"/>
  <c r="C17" i="197"/>
  <c r="E16" i="197"/>
  <c r="C16" i="197"/>
  <c r="E15" i="197"/>
  <c r="C15" i="197"/>
  <c r="E14" i="197"/>
  <c r="C14" i="197"/>
  <c r="E13" i="197"/>
  <c r="C13" i="197"/>
  <c r="E12" i="197"/>
  <c r="C12" i="197"/>
  <c r="E11" i="197"/>
  <c r="C11" i="197"/>
  <c r="E10" i="197"/>
  <c r="C10" i="197"/>
  <c r="E9" i="197"/>
  <c r="C9" i="197"/>
  <c r="B2" i="197"/>
  <c r="B3" i="197" s="1"/>
  <c r="E43" i="196"/>
  <c r="C43" i="196"/>
  <c r="E42" i="196"/>
  <c r="C42" i="196"/>
  <c r="E41" i="196"/>
  <c r="C41" i="196"/>
  <c r="E40" i="196"/>
  <c r="C40" i="196"/>
  <c r="E39" i="196"/>
  <c r="C39" i="196"/>
  <c r="E38" i="196"/>
  <c r="C38" i="196"/>
  <c r="E37" i="196"/>
  <c r="C37" i="196"/>
  <c r="E36" i="196"/>
  <c r="C36" i="196"/>
  <c r="E35" i="196"/>
  <c r="C35" i="196"/>
  <c r="E34" i="196"/>
  <c r="C34" i="196"/>
  <c r="E33" i="196"/>
  <c r="C33" i="196"/>
  <c r="E32" i="196"/>
  <c r="C32" i="196"/>
  <c r="E31" i="196"/>
  <c r="C31" i="196"/>
  <c r="E30" i="196"/>
  <c r="C30" i="196"/>
  <c r="E29" i="196"/>
  <c r="C29" i="196"/>
  <c r="E28" i="196"/>
  <c r="C28" i="196"/>
  <c r="E27" i="196"/>
  <c r="C27" i="196"/>
  <c r="E26" i="196"/>
  <c r="C26" i="196"/>
  <c r="E25" i="196"/>
  <c r="C25" i="196"/>
  <c r="E24" i="196"/>
  <c r="C24" i="196"/>
  <c r="E23" i="196"/>
  <c r="C23" i="196"/>
  <c r="E22" i="196"/>
  <c r="C22" i="196"/>
  <c r="E21" i="196"/>
  <c r="C21" i="196"/>
  <c r="E20" i="196"/>
  <c r="C20" i="196"/>
  <c r="E19" i="196"/>
  <c r="C19" i="196"/>
  <c r="E18" i="196"/>
  <c r="C18" i="196"/>
  <c r="E17" i="196"/>
  <c r="C17" i="196"/>
  <c r="E16" i="196"/>
  <c r="C16" i="196"/>
  <c r="E15" i="196"/>
  <c r="C15" i="196"/>
  <c r="E14" i="196"/>
  <c r="C14" i="196"/>
  <c r="E13" i="196"/>
  <c r="C13" i="196"/>
  <c r="E12" i="196"/>
  <c r="C12" i="196"/>
  <c r="E11" i="196"/>
  <c r="C11" i="196"/>
  <c r="E10" i="196"/>
  <c r="C10" i="196"/>
  <c r="E9" i="196"/>
  <c r="C9" i="196"/>
  <c r="B2" i="196"/>
  <c r="B3" i="196" s="1"/>
  <c r="E43" i="195"/>
  <c r="C43" i="195"/>
  <c r="E42" i="195"/>
  <c r="C42" i="195"/>
  <c r="E41" i="195"/>
  <c r="C41" i="195"/>
  <c r="E40" i="195"/>
  <c r="C40" i="195"/>
  <c r="E39" i="195"/>
  <c r="C39" i="195"/>
  <c r="E38" i="195"/>
  <c r="C38" i="195"/>
  <c r="E37" i="195"/>
  <c r="C37" i="195"/>
  <c r="E36" i="195"/>
  <c r="C36" i="195"/>
  <c r="E35" i="195"/>
  <c r="C35" i="195"/>
  <c r="E34" i="195"/>
  <c r="C34" i="195"/>
  <c r="E33" i="195"/>
  <c r="C33" i="195"/>
  <c r="E32" i="195"/>
  <c r="C32" i="195"/>
  <c r="E31" i="195"/>
  <c r="C31" i="195"/>
  <c r="E30" i="195"/>
  <c r="C30" i="195"/>
  <c r="E29" i="195"/>
  <c r="C29" i="195"/>
  <c r="E28" i="195"/>
  <c r="C28" i="195"/>
  <c r="E27" i="195"/>
  <c r="C27" i="195"/>
  <c r="E26" i="195"/>
  <c r="C26" i="195"/>
  <c r="E25" i="195"/>
  <c r="C25" i="195"/>
  <c r="E24" i="195"/>
  <c r="C24" i="195"/>
  <c r="E23" i="195"/>
  <c r="C23" i="195"/>
  <c r="E22" i="195"/>
  <c r="C22" i="195"/>
  <c r="E21" i="195"/>
  <c r="C21" i="195"/>
  <c r="E20" i="195"/>
  <c r="C20" i="195"/>
  <c r="E19" i="195"/>
  <c r="C19" i="195"/>
  <c r="E18" i="195"/>
  <c r="C18" i="195"/>
  <c r="E17" i="195"/>
  <c r="C17" i="195"/>
  <c r="E16" i="195"/>
  <c r="C16" i="195"/>
  <c r="E15" i="195"/>
  <c r="C15" i="195"/>
  <c r="E14" i="195"/>
  <c r="C14" i="195"/>
  <c r="E13" i="195"/>
  <c r="C13" i="195"/>
  <c r="E12" i="195"/>
  <c r="C12" i="195"/>
  <c r="E11" i="195"/>
  <c r="C11" i="195"/>
  <c r="E10" i="195"/>
  <c r="C10" i="195"/>
  <c r="E9" i="195"/>
  <c r="C9" i="195"/>
  <c r="B2" i="195"/>
  <c r="B3" i="195" s="1"/>
  <c r="E43" i="194"/>
  <c r="C43" i="194"/>
  <c r="E42" i="194"/>
  <c r="C42" i="194"/>
  <c r="E41" i="194"/>
  <c r="C41" i="194"/>
  <c r="E40" i="194"/>
  <c r="C40" i="194"/>
  <c r="E39" i="194"/>
  <c r="C39" i="194"/>
  <c r="E38" i="194"/>
  <c r="C38" i="194"/>
  <c r="E37" i="194"/>
  <c r="C37" i="194"/>
  <c r="E36" i="194"/>
  <c r="C36" i="194"/>
  <c r="E35" i="194"/>
  <c r="C35" i="194"/>
  <c r="E34" i="194"/>
  <c r="C34" i="194"/>
  <c r="E33" i="194"/>
  <c r="C33" i="194"/>
  <c r="E32" i="194"/>
  <c r="C32" i="194"/>
  <c r="E31" i="194"/>
  <c r="C31" i="194"/>
  <c r="E30" i="194"/>
  <c r="C30" i="194"/>
  <c r="E29" i="194"/>
  <c r="C29" i="194"/>
  <c r="E28" i="194"/>
  <c r="C28" i="194"/>
  <c r="E27" i="194"/>
  <c r="C27" i="194"/>
  <c r="E26" i="194"/>
  <c r="C26" i="194"/>
  <c r="E25" i="194"/>
  <c r="C25" i="194"/>
  <c r="E24" i="194"/>
  <c r="C24" i="194"/>
  <c r="E23" i="194"/>
  <c r="C23" i="194"/>
  <c r="E22" i="194"/>
  <c r="C22" i="194"/>
  <c r="E21" i="194"/>
  <c r="C21" i="194"/>
  <c r="E20" i="194"/>
  <c r="C20" i="194"/>
  <c r="E19" i="194"/>
  <c r="C19" i="194"/>
  <c r="E18" i="194"/>
  <c r="C18" i="194"/>
  <c r="E17" i="194"/>
  <c r="C17" i="194"/>
  <c r="E16" i="194"/>
  <c r="C16" i="194"/>
  <c r="E15" i="194"/>
  <c r="C15" i="194"/>
  <c r="E14" i="194"/>
  <c r="C14" i="194"/>
  <c r="E13" i="194"/>
  <c r="C13" i="194"/>
  <c r="E12" i="194"/>
  <c r="C12" i="194"/>
  <c r="E11" i="194"/>
  <c r="C11" i="194"/>
  <c r="E10" i="194"/>
  <c r="C10" i="194"/>
  <c r="E9" i="194"/>
  <c r="C9" i="194"/>
  <c r="B2" i="194"/>
  <c r="B3" i="194" s="1"/>
  <c r="E43" i="193"/>
  <c r="C43" i="193"/>
  <c r="E42" i="193"/>
  <c r="C42" i="193"/>
  <c r="E41" i="193"/>
  <c r="C41" i="193"/>
  <c r="E40" i="193"/>
  <c r="C40" i="193"/>
  <c r="E39" i="193"/>
  <c r="C39" i="193"/>
  <c r="E38" i="193"/>
  <c r="C38" i="193"/>
  <c r="E37" i="193"/>
  <c r="C37" i="193"/>
  <c r="E36" i="193"/>
  <c r="C36" i="193"/>
  <c r="E35" i="193"/>
  <c r="C35" i="193"/>
  <c r="E34" i="193"/>
  <c r="C34" i="193"/>
  <c r="E33" i="193"/>
  <c r="C33" i="193"/>
  <c r="E32" i="193"/>
  <c r="C32" i="193"/>
  <c r="E31" i="193"/>
  <c r="C31" i="193"/>
  <c r="E30" i="193"/>
  <c r="C30" i="193"/>
  <c r="E29" i="193"/>
  <c r="C29" i="193"/>
  <c r="E28" i="193"/>
  <c r="C28" i="193"/>
  <c r="E27" i="193"/>
  <c r="C27" i="193"/>
  <c r="E26" i="193"/>
  <c r="C26" i="193"/>
  <c r="E25" i="193"/>
  <c r="C25" i="193"/>
  <c r="E24" i="193"/>
  <c r="C24" i="193"/>
  <c r="E23" i="193"/>
  <c r="C23" i="193"/>
  <c r="E22" i="193"/>
  <c r="C22" i="193"/>
  <c r="E21" i="193"/>
  <c r="C21" i="193"/>
  <c r="E20" i="193"/>
  <c r="C20" i="193"/>
  <c r="E19" i="193"/>
  <c r="C19" i="193"/>
  <c r="E18" i="193"/>
  <c r="C18" i="193"/>
  <c r="E17" i="193"/>
  <c r="C17" i="193"/>
  <c r="E16" i="193"/>
  <c r="C16" i="193"/>
  <c r="E15" i="193"/>
  <c r="C15" i="193"/>
  <c r="E14" i="193"/>
  <c r="C14" i="193"/>
  <c r="E13" i="193"/>
  <c r="C13" i="193"/>
  <c r="E12" i="193"/>
  <c r="C12" i="193"/>
  <c r="E11" i="193"/>
  <c r="C11" i="193"/>
  <c r="E10" i="193"/>
  <c r="C10" i="193"/>
  <c r="E9" i="193"/>
  <c r="C9" i="193"/>
  <c r="B2" i="193"/>
  <c r="B3" i="193" s="1"/>
  <c r="E43" i="192"/>
  <c r="C43" i="192"/>
  <c r="E42" i="192"/>
  <c r="C42" i="192"/>
  <c r="E41" i="192"/>
  <c r="C41" i="192"/>
  <c r="E40" i="192"/>
  <c r="C40" i="192"/>
  <c r="E39" i="192"/>
  <c r="C39" i="192"/>
  <c r="E38" i="192"/>
  <c r="C38" i="192"/>
  <c r="E37" i="192"/>
  <c r="C37" i="192"/>
  <c r="E36" i="192"/>
  <c r="C36" i="192"/>
  <c r="E35" i="192"/>
  <c r="C35" i="192"/>
  <c r="E34" i="192"/>
  <c r="C34" i="192"/>
  <c r="E33" i="192"/>
  <c r="C33" i="192"/>
  <c r="E32" i="192"/>
  <c r="C32" i="192"/>
  <c r="E31" i="192"/>
  <c r="C31" i="192"/>
  <c r="E30" i="192"/>
  <c r="C30" i="192"/>
  <c r="E29" i="192"/>
  <c r="C29" i="192"/>
  <c r="E28" i="192"/>
  <c r="C28" i="192"/>
  <c r="E27" i="192"/>
  <c r="C27" i="192"/>
  <c r="E26" i="192"/>
  <c r="C26" i="192"/>
  <c r="E25" i="192"/>
  <c r="C25" i="192"/>
  <c r="E24" i="192"/>
  <c r="C24" i="192"/>
  <c r="E23" i="192"/>
  <c r="C23" i="192"/>
  <c r="E22" i="192"/>
  <c r="C22" i="192"/>
  <c r="E21" i="192"/>
  <c r="C21" i="192"/>
  <c r="E20" i="192"/>
  <c r="C20" i="192"/>
  <c r="E19" i="192"/>
  <c r="C19" i="192"/>
  <c r="E18" i="192"/>
  <c r="C18" i="192"/>
  <c r="E17" i="192"/>
  <c r="C17" i="192"/>
  <c r="E16" i="192"/>
  <c r="C16" i="192"/>
  <c r="E15" i="192"/>
  <c r="C15" i="192"/>
  <c r="E14" i="192"/>
  <c r="C14" i="192"/>
  <c r="E13" i="192"/>
  <c r="C13" i="192"/>
  <c r="E12" i="192"/>
  <c r="C12" i="192"/>
  <c r="E11" i="192"/>
  <c r="C11" i="192"/>
  <c r="E10" i="192"/>
  <c r="C10" i="192"/>
  <c r="E9" i="192"/>
  <c r="C9" i="192"/>
  <c r="B2" i="192"/>
  <c r="B3" i="192" s="1"/>
  <c r="E43" i="191"/>
  <c r="C43" i="191"/>
  <c r="E42" i="191"/>
  <c r="C42" i="191"/>
  <c r="E41" i="191"/>
  <c r="C41" i="191"/>
  <c r="E40" i="191"/>
  <c r="C40" i="191"/>
  <c r="E39" i="191"/>
  <c r="C39" i="191"/>
  <c r="E38" i="191"/>
  <c r="C38" i="191"/>
  <c r="E37" i="191"/>
  <c r="C37" i="191"/>
  <c r="E36" i="191"/>
  <c r="C36" i="191"/>
  <c r="E35" i="191"/>
  <c r="C35" i="191"/>
  <c r="E34" i="191"/>
  <c r="C34" i="191"/>
  <c r="E33" i="191"/>
  <c r="C33" i="191"/>
  <c r="E32" i="191"/>
  <c r="C32" i="191"/>
  <c r="E31" i="191"/>
  <c r="C31" i="191"/>
  <c r="E30" i="191"/>
  <c r="C30" i="191"/>
  <c r="E29" i="191"/>
  <c r="C29" i="191"/>
  <c r="E28" i="191"/>
  <c r="C28" i="191"/>
  <c r="E27" i="191"/>
  <c r="C27" i="191"/>
  <c r="E26" i="191"/>
  <c r="C26" i="191"/>
  <c r="E25" i="191"/>
  <c r="C25" i="191"/>
  <c r="E24" i="191"/>
  <c r="C24" i="191"/>
  <c r="E23" i="191"/>
  <c r="C23" i="191"/>
  <c r="E22" i="191"/>
  <c r="C22" i="191"/>
  <c r="E21" i="191"/>
  <c r="C21" i="191"/>
  <c r="E20" i="191"/>
  <c r="C20" i="191"/>
  <c r="E19" i="191"/>
  <c r="C19" i="191"/>
  <c r="E18" i="191"/>
  <c r="C18" i="191"/>
  <c r="E17" i="191"/>
  <c r="C17" i="191"/>
  <c r="E16" i="191"/>
  <c r="C16" i="191"/>
  <c r="E15" i="191"/>
  <c r="C15" i="191"/>
  <c r="E14" i="191"/>
  <c r="C14" i="191"/>
  <c r="E13" i="191"/>
  <c r="C13" i="191"/>
  <c r="E12" i="191"/>
  <c r="C12" i="191"/>
  <c r="E11" i="191"/>
  <c r="C11" i="191"/>
  <c r="E10" i="191"/>
  <c r="C10" i="191"/>
  <c r="E9" i="191"/>
  <c r="C9" i="191"/>
  <c r="B2" i="191"/>
  <c r="B3" i="191" s="1"/>
  <c r="E43" i="190"/>
  <c r="C43" i="190"/>
  <c r="E42" i="190"/>
  <c r="C42" i="190"/>
  <c r="E41" i="190"/>
  <c r="C41" i="190"/>
  <c r="E40" i="190"/>
  <c r="C40" i="190"/>
  <c r="E39" i="190"/>
  <c r="C39" i="190"/>
  <c r="E38" i="190"/>
  <c r="C38" i="190"/>
  <c r="E37" i="190"/>
  <c r="C37" i="190"/>
  <c r="E36" i="190"/>
  <c r="C36" i="190"/>
  <c r="E35" i="190"/>
  <c r="C35" i="190"/>
  <c r="E34" i="190"/>
  <c r="C34" i="190"/>
  <c r="E33" i="190"/>
  <c r="C33" i="190"/>
  <c r="E32" i="190"/>
  <c r="C32" i="190"/>
  <c r="E31" i="190"/>
  <c r="C31" i="190"/>
  <c r="E30" i="190"/>
  <c r="C30" i="190"/>
  <c r="E29" i="190"/>
  <c r="C29" i="190"/>
  <c r="E28" i="190"/>
  <c r="C28" i="190"/>
  <c r="E27" i="190"/>
  <c r="C27" i="190"/>
  <c r="E26" i="190"/>
  <c r="C26" i="190"/>
  <c r="E25" i="190"/>
  <c r="C25" i="190"/>
  <c r="E24" i="190"/>
  <c r="C24" i="190"/>
  <c r="E23" i="190"/>
  <c r="C23" i="190"/>
  <c r="E22" i="190"/>
  <c r="C22" i="190"/>
  <c r="E21" i="190"/>
  <c r="C21" i="190"/>
  <c r="E20" i="190"/>
  <c r="C20" i="190"/>
  <c r="E19" i="190"/>
  <c r="C19" i="190"/>
  <c r="E18" i="190"/>
  <c r="C18" i="190"/>
  <c r="E17" i="190"/>
  <c r="C17" i="190"/>
  <c r="E16" i="190"/>
  <c r="C16" i="190"/>
  <c r="E15" i="190"/>
  <c r="C15" i="190"/>
  <c r="E14" i="190"/>
  <c r="C14" i="190"/>
  <c r="E13" i="190"/>
  <c r="C13" i="190"/>
  <c r="E12" i="190"/>
  <c r="C12" i="190"/>
  <c r="E11" i="190"/>
  <c r="C11" i="190"/>
  <c r="E10" i="190"/>
  <c r="C10" i="190"/>
  <c r="E9" i="190"/>
  <c r="C9" i="190"/>
  <c r="B2" i="190"/>
  <c r="B3" i="190" s="1"/>
  <c r="E43" i="189"/>
  <c r="C43" i="189"/>
  <c r="E42" i="189"/>
  <c r="C42" i="189"/>
  <c r="E41" i="189"/>
  <c r="C41" i="189"/>
  <c r="E40" i="189"/>
  <c r="C40" i="189"/>
  <c r="E39" i="189"/>
  <c r="C39" i="189"/>
  <c r="E38" i="189"/>
  <c r="C38" i="189"/>
  <c r="E37" i="189"/>
  <c r="C37" i="189"/>
  <c r="E36" i="189"/>
  <c r="C36" i="189"/>
  <c r="E35" i="189"/>
  <c r="C35" i="189"/>
  <c r="E34" i="189"/>
  <c r="C34" i="189"/>
  <c r="E33" i="189"/>
  <c r="C33" i="189"/>
  <c r="E32" i="189"/>
  <c r="C32" i="189"/>
  <c r="E31" i="189"/>
  <c r="C31" i="189"/>
  <c r="E30" i="189"/>
  <c r="C30" i="189"/>
  <c r="E29" i="189"/>
  <c r="C29" i="189"/>
  <c r="E28" i="189"/>
  <c r="C28" i="189"/>
  <c r="E27" i="189"/>
  <c r="C27" i="189"/>
  <c r="E26" i="189"/>
  <c r="C26" i="189"/>
  <c r="E25" i="189"/>
  <c r="C25" i="189"/>
  <c r="E24" i="189"/>
  <c r="C24" i="189"/>
  <c r="E23" i="189"/>
  <c r="C23" i="189"/>
  <c r="E22" i="189"/>
  <c r="C22" i="189"/>
  <c r="E21" i="189"/>
  <c r="C21" i="189"/>
  <c r="E20" i="189"/>
  <c r="C20" i="189"/>
  <c r="E19" i="189"/>
  <c r="C19" i="189"/>
  <c r="E18" i="189"/>
  <c r="C18" i="189"/>
  <c r="E17" i="189"/>
  <c r="C17" i="189"/>
  <c r="E16" i="189"/>
  <c r="C16" i="189"/>
  <c r="E15" i="189"/>
  <c r="C15" i="189"/>
  <c r="E14" i="189"/>
  <c r="C14" i="189"/>
  <c r="E13" i="189"/>
  <c r="C13" i="189"/>
  <c r="E12" i="189"/>
  <c r="C12" i="189"/>
  <c r="E11" i="189"/>
  <c r="C11" i="189"/>
  <c r="E10" i="189"/>
  <c r="C10" i="189"/>
  <c r="E9" i="189"/>
  <c r="C9" i="189"/>
  <c r="B2" i="189"/>
  <c r="B3" i="189" s="1"/>
  <c r="E43" i="188"/>
  <c r="C43" i="188"/>
  <c r="E42" i="188"/>
  <c r="C42" i="188"/>
  <c r="E41" i="188"/>
  <c r="C41" i="188"/>
  <c r="E40" i="188"/>
  <c r="C40" i="188"/>
  <c r="E39" i="188"/>
  <c r="C39" i="188"/>
  <c r="E38" i="188"/>
  <c r="C38" i="188"/>
  <c r="E37" i="188"/>
  <c r="C37" i="188"/>
  <c r="E36" i="188"/>
  <c r="C36" i="188"/>
  <c r="E35" i="188"/>
  <c r="C35" i="188"/>
  <c r="E34" i="188"/>
  <c r="C34" i="188"/>
  <c r="E33" i="188"/>
  <c r="C33" i="188"/>
  <c r="E32" i="188"/>
  <c r="C32" i="188"/>
  <c r="E31" i="188"/>
  <c r="C31" i="188"/>
  <c r="E30" i="188"/>
  <c r="C30" i="188"/>
  <c r="E29" i="188"/>
  <c r="C29" i="188"/>
  <c r="E28" i="188"/>
  <c r="C28" i="188"/>
  <c r="E27" i="188"/>
  <c r="C27" i="188"/>
  <c r="E26" i="188"/>
  <c r="C26" i="188"/>
  <c r="E25" i="188"/>
  <c r="C25" i="188"/>
  <c r="E24" i="188"/>
  <c r="C24" i="188"/>
  <c r="E23" i="188"/>
  <c r="C23" i="188"/>
  <c r="E22" i="188"/>
  <c r="C22" i="188"/>
  <c r="E21" i="188"/>
  <c r="C21" i="188"/>
  <c r="E20" i="188"/>
  <c r="C20" i="188"/>
  <c r="E19" i="188"/>
  <c r="C19" i="188"/>
  <c r="E18" i="188"/>
  <c r="C18" i="188"/>
  <c r="E17" i="188"/>
  <c r="C17" i="188"/>
  <c r="E16" i="188"/>
  <c r="C16" i="188"/>
  <c r="E15" i="188"/>
  <c r="C15" i="188"/>
  <c r="E14" i="188"/>
  <c r="C14" i="188"/>
  <c r="E13" i="188"/>
  <c r="C13" i="188"/>
  <c r="E12" i="188"/>
  <c r="C12" i="188"/>
  <c r="E11" i="188"/>
  <c r="C11" i="188"/>
  <c r="E10" i="188"/>
  <c r="C10" i="188"/>
  <c r="E9" i="188"/>
  <c r="C9" i="188"/>
  <c r="B2" i="188"/>
  <c r="B3" i="188" s="1"/>
  <c r="E43" i="187"/>
  <c r="C43" i="187"/>
  <c r="E42" i="187"/>
  <c r="C42" i="187"/>
  <c r="E41" i="187"/>
  <c r="C41" i="187"/>
  <c r="E40" i="187"/>
  <c r="C40" i="187"/>
  <c r="E39" i="187"/>
  <c r="C39" i="187"/>
  <c r="E38" i="187"/>
  <c r="C38" i="187"/>
  <c r="E37" i="187"/>
  <c r="C37" i="187"/>
  <c r="E36" i="187"/>
  <c r="C36" i="187"/>
  <c r="E35" i="187"/>
  <c r="C35" i="187"/>
  <c r="E34" i="187"/>
  <c r="C34" i="187"/>
  <c r="E33" i="187"/>
  <c r="C33" i="187"/>
  <c r="E32" i="187"/>
  <c r="C32" i="187"/>
  <c r="E31" i="187"/>
  <c r="C31" i="187"/>
  <c r="E30" i="187"/>
  <c r="C30" i="187"/>
  <c r="E29" i="187"/>
  <c r="C29" i="187"/>
  <c r="E28" i="187"/>
  <c r="C28" i="187"/>
  <c r="E27" i="187"/>
  <c r="C27" i="187"/>
  <c r="E26" i="187"/>
  <c r="C26" i="187"/>
  <c r="E25" i="187"/>
  <c r="C25" i="187"/>
  <c r="E24" i="187"/>
  <c r="C24" i="187"/>
  <c r="E23" i="187"/>
  <c r="C23" i="187"/>
  <c r="E22" i="187"/>
  <c r="C22" i="187"/>
  <c r="E21" i="187"/>
  <c r="C21" i="187"/>
  <c r="E20" i="187"/>
  <c r="C20" i="187"/>
  <c r="E19" i="187"/>
  <c r="C19" i="187"/>
  <c r="E18" i="187"/>
  <c r="C18" i="187"/>
  <c r="E17" i="187"/>
  <c r="C17" i="187"/>
  <c r="E16" i="187"/>
  <c r="C16" i="187"/>
  <c r="E15" i="187"/>
  <c r="C15" i="187"/>
  <c r="E14" i="187"/>
  <c r="C14" i="187"/>
  <c r="E13" i="187"/>
  <c r="C13" i="187"/>
  <c r="E12" i="187"/>
  <c r="C12" i="187"/>
  <c r="E11" i="187"/>
  <c r="C11" i="187"/>
  <c r="E10" i="187"/>
  <c r="C10" i="187"/>
  <c r="E9" i="187"/>
  <c r="C9" i="187"/>
  <c r="B2" i="187"/>
  <c r="B3" i="187" s="1"/>
  <c r="E43" i="186"/>
  <c r="C43" i="186"/>
  <c r="E42" i="186"/>
  <c r="C42" i="186"/>
  <c r="E41" i="186"/>
  <c r="C41" i="186"/>
  <c r="E40" i="186"/>
  <c r="C40" i="186"/>
  <c r="E39" i="186"/>
  <c r="C39" i="186"/>
  <c r="E38" i="186"/>
  <c r="C38" i="186"/>
  <c r="E37" i="186"/>
  <c r="C37" i="186"/>
  <c r="E36" i="186"/>
  <c r="C36" i="186"/>
  <c r="E35" i="186"/>
  <c r="C35" i="186"/>
  <c r="E34" i="186"/>
  <c r="C34" i="186"/>
  <c r="E33" i="186"/>
  <c r="C33" i="186"/>
  <c r="E32" i="186"/>
  <c r="C32" i="186"/>
  <c r="E31" i="186"/>
  <c r="C31" i="186"/>
  <c r="E30" i="186"/>
  <c r="C30" i="186"/>
  <c r="E29" i="186"/>
  <c r="C29" i="186"/>
  <c r="E28" i="186"/>
  <c r="C28" i="186"/>
  <c r="E27" i="186"/>
  <c r="C27" i="186"/>
  <c r="E26" i="186"/>
  <c r="C26" i="186"/>
  <c r="E25" i="186"/>
  <c r="C25" i="186"/>
  <c r="E24" i="186"/>
  <c r="C24" i="186"/>
  <c r="E23" i="186"/>
  <c r="C23" i="186"/>
  <c r="E22" i="186"/>
  <c r="C22" i="186"/>
  <c r="E21" i="186"/>
  <c r="C21" i="186"/>
  <c r="E20" i="186"/>
  <c r="C20" i="186"/>
  <c r="E19" i="186"/>
  <c r="C19" i="186"/>
  <c r="E18" i="186"/>
  <c r="C18" i="186"/>
  <c r="E17" i="186"/>
  <c r="C17" i="186"/>
  <c r="E16" i="186"/>
  <c r="C16" i="186"/>
  <c r="E15" i="186"/>
  <c r="C15" i="186"/>
  <c r="E14" i="186"/>
  <c r="C14" i="186"/>
  <c r="E13" i="186"/>
  <c r="C13" i="186"/>
  <c r="E12" i="186"/>
  <c r="C12" i="186"/>
  <c r="E11" i="186"/>
  <c r="C11" i="186"/>
  <c r="E10" i="186"/>
  <c r="C10" i="186"/>
  <c r="E9" i="186"/>
  <c r="C9" i="186"/>
  <c r="B2" i="186"/>
  <c r="B3" i="186" s="1"/>
  <c r="E43" i="185"/>
  <c r="C43" i="185"/>
  <c r="E42" i="185"/>
  <c r="C42" i="185"/>
  <c r="E41" i="185"/>
  <c r="C41" i="185"/>
  <c r="E40" i="185"/>
  <c r="C40" i="185"/>
  <c r="E39" i="185"/>
  <c r="C39" i="185"/>
  <c r="E38" i="185"/>
  <c r="C38" i="185"/>
  <c r="E37" i="185"/>
  <c r="C37" i="185"/>
  <c r="E36" i="185"/>
  <c r="C36" i="185"/>
  <c r="E35" i="185"/>
  <c r="C35" i="185"/>
  <c r="E34" i="185"/>
  <c r="C34" i="185"/>
  <c r="E33" i="185"/>
  <c r="C33" i="185"/>
  <c r="E32" i="185"/>
  <c r="C32" i="185"/>
  <c r="E31" i="185"/>
  <c r="C31" i="185"/>
  <c r="E30" i="185"/>
  <c r="C30" i="185"/>
  <c r="E29" i="185"/>
  <c r="C29" i="185"/>
  <c r="E28" i="185"/>
  <c r="C28" i="185"/>
  <c r="E27" i="185"/>
  <c r="C27" i="185"/>
  <c r="E26" i="185"/>
  <c r="C26" i="185"/>
  <c r="E25" i="185"/>
  <c r="C25" i="185"/>
  <c r="E24" i="185"/>
  <c r="C24" i="185"/>
  <c r="E23" i="185"/>
  <c r="C23" i="185"/>
  <c r="E22" i="185"/>
  <c r="C22" i="185"/>
  <c r="E21" i="185"/>
  <c r="C21" i="185"/>
  <c r="E20" i="185"/>
  <c r="C20" i="185"/>
  <c r="E19" i="185"/>
  <c r="C19" i="185"/>
  <c r="E18" i="185"/>
  <c r="C18" i="185"/>
  <c r="E17" i="185"/>
  <c r="C17" i="185"/>
  <c r="E16" i="185"/>
  <c r="C16" i="185"/>
  <c r="E15" i="185"/>
  <c r="C15" i="185"/>
  <c r="E14" i="185"/>
  <c r="C14" i="185"/>
  <c r="E13" i="185"/>
  <c r="C13" i="185"/>
  <c r="E12" i="185"/>
  <c r="C12" i="185"/>
  <c r="E11" i="185"/>
  <c r="C11" i="185"/>
  <c r="E10" i="185"/>
  <c r="C10" i="185"/>
  <c r="E9" i="185"/>
  <c r="C9" i="185"/>
  <c r="B2" i="185"/>
  <c r="B3" i="185" s="1"/>
  <c r="E43" i="184"/>
  <c r="C43" i="184"/>
  <c r="E42" i="184"/>
  <c r="C42" i="184"/>
  <c r="E41" i="184"/>
  <c r="C41" i="184"/>
  <c r="E40" i="184"/>
  <c r="C40" i="184"/>
  <c r="E39" i="184"/>
  <c r="C39" i="184"/>
  <c r="E38" i="184"/>
  <c r="C38" i="184"/>
  <c r="E37" i="184"/>
  <c r="C37" i="184"/>
  <c r="E36" i="184"/>
  <c r="C36" i="184"/>
  <c r="E35" i="184"/>
  <c r="C35" i="184"/>
  <c r="E34" i="184"/>
  <c r="C34" i="184"/>
  <c r="E33" i="184"/>
  <c r="C33" i="184"/>
  <c r="E32" i="184"/>
  <c r="C32" i="184"/>
  <c r="E31" i="184"/>
  <c r="C31" i="184"/>
  <c r="E30" i="184"/>
  <c r="C30" i="184"/>
  <c r="E29" i="184"/>
  <c r="C29" i="184"/>
  <c r="E28" i="184"/>
  <c r="C28" i="184"/>
  <c r="E27" i="184"/>
  <c r="C27" i="184"/>
  <c r="E26" i="184"/>
  <c r="C26" i="184"/>
  <c r="E25" i="184"/>
  <c r="C25" i="184"/>
  <c r="E24" i="184"/>
  <c r="C24" i="184"/>
  <c r="E23" i="184"/>
  <c r="C23" i="184"/>
  <c r="E22" i="184"/>
  <c r="C22" i="184"/>
  <c r="E21" i="184"/>
  <c r="C21" i="184"/>
  <c r="E20" i="184"/>
  <c r="C20" i="184"/>
  <c r="E19" i="184"/>
  <c r="C19" i="184"/>
  <c r="E18" i="184"/>
  <c r="C18" i="184"/>
  <c r="E17" i="184"/>
  <c r="C17" i="184"/>
  <c r="E16" i="184"/>
  <c r="C16" i="184"/>
  <c r="E15" i="184"/>
  <c r="C15" i="184"/>
  <c r="E14" i="184"/>
  <c r="C14" i="184"/>
  <c r="E13" i="184"/>
  <c r="C13" i="184"/>
  <c r="E12" i="184"/>
  <c r="C12" i="184"/>
  <c r="E11" i="184"/>
  <c r="C11" i="184"/>
  <c r="E10" i="184"/>
  <c r="C10" i="184"/>
  <c r="E9" i="184"/>
  <c r="C9" i="184"/>
  <c r="B2" i="184"/>
  <c r="B3" i="184" s="1"/>
  <c r="E43" i="183"/>
  <c r="C43" i="183"/>
  <c r="E42" i="183"/>
  <c r="C42" i="183"/>
  <c r="E41" i="183"/>
  <c r="C41" i="183"/>
  <c r="E40" i="183"/>
  <c r="C40" i="183"/>
  <c r="E39" i="183"/>
  <c r="C39" i="183"/>
  <c r="E38" i="183"/>
  <c r="C38" i="183"/>
  <c r="E37" i="183"/>
  <c r="C37" i="183"/>
  <c r="E36" i="183"/>
  <c r="C36" i="183"/>
  <c r="E35" i="183"/>
  <c r="C35" i="183"/>
  <c r="E34" i="183"/>
  <c r="C34" i="183"/>
  <c r="E33" i="183"/>
  <c r="C33" i="183"/>
  <c r="E32" i="183"/>
  <c r="C32" i="183"/>
  <c r="E31" i="183"/>
  <c r="C31" i="183"/>
  <c r="E30" i="183"/>
  <c r="C30" i="183"/>
  <c r="E29" i="183"/>
  <c r="C29" i="183"/>
  <c r="E28" i="183"/>
  <c r="C28" i="183"/>
  <c r="E27" i="183"/>
  <c r="C27" i="183"/>
  <c r="E26" i="183"/>
  <c r="C26" i="183"/>
  <c r="E25" i="183"/>
  <c r="C25" i="183"/>
  <c r="E24" i="183"/>
  <c r="C24" i="183"/>
  <c r="E23" i="183"/>
  <c r="C23" i="183"/>
  <c r="E22" i="183"/>
  <c r="C22" i="183"/>
  <c r="E21" i="183"/>
  <c r="C21" i="183"/>
  <c r="E20" i="183"/>
  <c r="C20" i="183"/>
  <c r="E19" i="183"/>
  <c r="C19" i="183"/>
  <c r="E18" i="183"/>
  <c r="C18" i="183"/>
  <c r="E17" i="183"/>
  <c r="C17" i="183"/>
  <c r="E16" i="183"/>
  <c r="C16" i="183"/>
  <c r="E15" i="183"/>
  <c r="C15" i="183"/>
  <c r="E14" i="183"/>
  <c r="C14" i="183"/>
  <c r="E13" i="183"/>
  <c r="C13" i="183"/>
  <c r="E12" i="183"/>
  <c r="C12" i="183"/>
  <c r="E11" i="183"/>
  <c r="C11" i="183"/>
  <c r="E10" i="183"/>
  <c r="C10" i="183"/>
  <c r="E9" i="183"/>
  <c r="C9" i="183"/>
  <c r="B2" i="183"/>
  <c r="B3" i="183" s="1"/>
  <c r="E43" i="182"/>
  <c r="C43" i="182"/>
  <c r="E42" i="182"/>
  <c r="C42" i="182"/>
  <c r="E41" i="182"/>
  <c r="C41" i="182"/>
  <c r="E40" i="182"/>
  <c r="C40" i="182"/>
  <c r="E39" i="182"/>
  <c r="C39" i="182"/>
  <c r="E38" i="182"/>
  <c r="C38" i="182"/>
  <c r="E37" i="182"/>
  <c r="C37" i="182"/>
  <c r="E36" i="182"/>
  <c r="C36" i="182"/>
  <c r="E35" i="182"/>
  <c r="C35" i="182"/>
  <c r="E34" i="182"/>
  <c r="C34" i="182"/>
  <c r="E33" i="182"/>
  <c r="C33" i="182"/>
  <c r="E32" i="182"/>
  <c r="C32" i="182"/>
  <c r="E31" i="182"/>
  <c r="C31" i="182"/>
  <c r="E30" i="182"/>
  <c r="C30" i="182"/>
  <c r="E29" i="182"/>
  <c r="C29" i="182"/>
  <c r="E28" i="182"/>
  <c r="C28" i="182"/>
  <c r="E27" i="182"/>
  <c r="C27" i="182"/>
  <c r="E26" i="182"/>
  <c r="C26" i="182"/>
  <c r="E25" i="182"/>
  <c r="C25" i="182"/>
  <c r="E24" i="182"/>
  <c r="C24" i="182"/>
  <c r="E23" i="182"/>
  <c r="C23" i="182"/>
  <c r="E22" i="182"/>
  <c r="C22" i="182"/>
  <c r="E21" i="182"/>
  <c r="C21" i="182"/>
  <c r="E20" i="182"/>
  <c r="C20" i="182"/>
  <c r="E19" i="182"/>
  <c r="C19" i="182"/>
  <c r="E18" i="182"/>
  <c r="C18" i="182"/>
  <c r="E17" i="182"/>
  <c r="C17" i="182"/>
  <c r="E16" i="182"/>
  <c r="C16" i="182"/>
  <c r="E15" i="182"/>
  <c r="C15" i="182"/>
  <c r="E14" i="182"/>
  <c r="C14" i="182"/>
  <c r="E13" i="182"/>
  <c r="C13" i="182"/>
  <c r="E12" i="182"/>
  <c r="C12" i="182"/>
  <c r="E11" i="182"/>
  <c r="C11" i="182"/>
  <c r="E10" i="182"/>
  <c r="C10" i="182"/>
  <c r="E9" i="182"/>
  <c r="C9" i="182"/>
  <c r="B2" i="182"/>
  <c r="B3" i="182" s="1"/>
  <c r="E43" i="181"/>
  <c r="C43" i="181"/>
  <c r="E42" i="181"/>
  <c r="C42" i="181"/>
  <c r="E41" i="181"/>
  <c r="C41" i="181"/>
  <c r="E40" i="181"/>
  <c r="C40" i="181"/>
  <c r="E39" i="181"/>
  <c r="C39" i="181"/>
  <c r="E38" i="181"/>
  <c r="C38" i="181"/>
  <c r="E37" i="181"/>
  <c r="C37" i="181"/>
  <c r="E36" i="181"/>
  <c r="C36" i="181"/>
  <c r="E35" i="181"/>
  <c r="C35" i="181"/>
  <c r="E34" i="181"/>
  <c r="C34" i="181"/>
  <c r="E33" i="181"/>
  <c r="C33" i="181"/>
  <c r="E32" i="181"/>
  <c r="C32" i="181"/>
  <c r="E31" i="181"/>
  <c r="C31" i="181"/>
  <c r="E30" i="181"/>
  <c r="C30" i="181"/>
  <c r="E29" i="181"/>
  <c r="C29" i="181"/>
  <c r="E28" i="181"/>
  <c r="C28" i="181"/>
  <c r="E27" i="181"/>
  <c r="C27" i="181"/>
  <c r="E26" i="181"/>
  <c r="C26" i="181"/>
  <c r="E25" i="181"/>
  <c r="C25" i="181"/>
  <c r="E24" i="181"/>
  <c r="C24" i="181"/>
  <c r="E23" i="181"/>
  <c r="C23" i="181"/>
  <c r="E22" i="181"/>
  <c r="C22" i="181"/>
  <c r="E21" i="181"/>
  <c r="C21" i="181"/>
  <c r="E20" i="181"/>
  <c r="C20" i="181"/>
  <c r="E19" i="181"/>
  <c r="C19" i="181"/>
  <c r="E18" i="181"/>
  <c r="C18" i="181"/>
  <c r="E17" i="181"/>
  <c r="C17" i="181"/>
  <c r="E16" i="181"/>
  <c r="C16" i="181"/>
  <c r="E15" i="181"/>
  <c r="C15" i="181"/>
  <c r="E14" i="181"/>
  <c r="C14" i="181"/>
  <c r="E13" i="181"/>
  <c r="C13" i="181"/>
  <c r="E12" i="181"/>
  <c r="C12" i="181"/>
  <c r="E11" i="181"/>
  <c r="C11" i="181"/>
  <c r="E10" i="181"/>
  <c r="C10" i="181"/>
  <c r="E9" i="181"/>
  <c r="C9" i="181"/>
  <c r="B2" i="181"/>
  <c r="B3" i="181" s="1"/>
  <c r="E43" i="180"/>
  <c r="C43" i="180"/>
  <c r="E42" i="180"/>
  <c r="C42" i="180"/>
  <c r="E41" i="180"/>
  <c r="C41" i="180"/>
  <c r="E40" i="180"/>
  <c r="C40" i="180"/>
  <c r="E39" i="180"/>
  <c r="C39" i="180"/>
  <c r="E38" i="180"/>
  <c r="C38" i="180"/>
  <c r="E37" i="180"/>
  <c r="C37" i="180"/>
  <c r="E36" i="180"/>
  <c r="C36" i="180"/>
  <c r="E35" i="180"/>
  <c r="C35" i="180"/>
  <c r="E34" i="180"/>
  <c r="C34" i="180"/>
  <c r="E33" i="180"/>
  <c r="C33" i="180"/>
  <c r="E32" i="180"/>
  <c r="C32" i="180"/>
  <c r="E31" i="180"/>
  <c r="C31" i="180"/>
  <c r="E30" i="180"/>
  <c r="C30" i="180"/>
  <c r="E29" i="180"/>
  <c r="C29" i="180"/>
  <c r="E28" i="180"/>
  <c r="C28" i="180"/>
  <c r="E27" i="180"/>
  <c r="C27" i="180"/>
  <c r="E26" i="180"/>
  <c r="C26" i="180"/>
  <c r="E25" i="180"/>
  <c r="C25" i="180"/>
  <c r="E24" i="180"/>
  <c r="C24" i="180"/>
  <c r="E23" i="180"/>
  <c r="C23" i="180"/>
  <c r="E22" i="180"/>
  <c r="C22" i="180"/>
  <c r="E21" i="180"/>
  <c r="C21" i="180"/>
  <c r="E20" i="180"/>
  <c r="C20" i="180"/>
  <c r="E19" i="180"/>
  <c r="C19" i="180"/>
  <c r="E18" i="180"/>
  <c r="C18" i="180"/>
  <c r="E17" i="180"/>
  <c r="C17" i="180"/>
  <c r="E16" i="180"/>
  <c r="C16" i="180"/>
  <c r="E15" i="180"/>
  <c r="C15" i="180"/>
  <c r="E14" i="180"/>
  <c r="C14" i="180"/>
  <c r="E13" i="180"/>
  <c r="C13" i="180"/>
  <c r="E12" i="180"/>
  <c r="C12" i="180"/>
  <c r="E11" i="180"/>
  <c r="C11" i="180"/>
  <c r="E10" i="180"/>
  <c r="C10" i="180"/>
  <c r="E9" i="180"/>
  <c r="C9" i="180"/>
  <c r="B2" i="180"/>
  <c r="B3" i="180" s="1"/>
  <c r="E43" i="179"/>
  <c r="C43" i="179"/>
  <c r="E42" i="179"/>
  <c r="C42" i="179"/>
  <c r="E41" i="179"/>
  <c r="C41" i="179"/>
  <c r="E40" i="179"/>
  <c r="C40" i="179"/>
  <c r="E39" i="179"/>
  <c r="C39" i="179"/>
  <c r="E38" i="179"/>
  <c r="C38" i="179"/>
  <c r="E37" i="179"/>
  <c r="C37" i="179"/>
  <c r="E36" i="179"/>
  <c r="C36" i="179"/>
  <c r="E35" i="179"/>
  <c r="C35" i="179"/>
  <c r="E34" i="179"/>
  <c r="C34" i="179"/>
  <c r="E33" i="179"/>
  <c r="C33" i="179"/>
  <c r="E32" i="179"/>
  <c r="C32" i="179"/>
  <c r="E31" i="179"/>
  <c r="C31" i="179"/>
  <c r="E30" i="179"/>
  <c r="C30" i="179"/>
  <c r="E29" i="179"/>
  <c r="C29" i="179"/>
  <c r="E28" i="179"/>
  <c r="C28" i="179"/>
  <c r="E27" i="179"/>
  <c r="C27" i="179"/>
  <c r="E26" i="179"/>
  <c r="C26" i="179"/>
  <c r="E25" i="179"/>
  <c r="C25" i="179"/>
  <c r="E24" i="179"/>
  <c r="C24" i="179"/>
  <c r="E23" i="179"/>
  <c r="C23" i="179"/>
  <c r="E22" i="179"/>
  <c r="C22" i="179"/>
  <c r="E21" i="179"/>
  <c r="C21" i="179"/>
  <c r="E20" i="179"/>
  <c r="C20" i="179"/>
  <c r="E19" i="179"/>
  <c r="C19" i="179"/>
  <c r="E18" i="179"/>
  <c r="C18" i="179"/>
  <c r="E17" i="179"/>
  <c r="C17" i="179"/>
  <c r="E16" i="179"/>
  <c r="C16" i="179"/>
  <c r="E15" i="179"/>
  <c r="C15" i="179"/>
  <c r="E14" i="179"/>
  <c r="C14" i="179"/>
  <c r="E13" i="179"/>
  <c r="C13" i="179"/>
  <c r="E12" i="179"/>
  <c r="C12" i="179"/>
  <c r="E11" i="179"/>
  <c r="C11" i="179"/>
  <c r="E10" i="179"/>
  <c r="C10" i="179"/>
  <c r="E9" i="179"/>
  <c r="C9" i="179"/>
  <c r="B2" i="179"/>
  <c r="B3" i="179" s="1"/>
  <c r="E43" i="178"/>
  <c r="C43" i="178"/>
  <c r="E42" i="178"/>
  <c r="C42" i="178"/>
  <c r="E41" i="178"/>
  <c r="C41" i="178"/>
  <c r="E40" i="178"/>
  <c r="C40" i="178"/>
  <c r="E39" i="178"/>
  <c r="C39" i="178"/>
  <c r="E38" i="178"/>
  <c r="C38" i="178"/>
  <c r="E37" i="178"/>
  <c r="C37" i="178"/>
  <c r="E36" i="178"/>
  <c r="C36" i="178"/>
  <c r="E35" i="178"/>
  <c r="C35" i="178"/>
  <c r="E34" i="178"/>
  <c r="C34" i="178"/>
  <c r="E33" i="178"/>
  <c r="C33" i="178"/>
  <c r="E32" i="178"/>
  <c r="C32" i="178"/>
  <c r="E31" i="178"/>
  <c r="C31" i="178"/>
  <c r="E30" i="178"/>
  <c r="C30" i="178"/>
  <c r="E29" i="178"/>
  <c r="C29" i="178"/>
  <c r="E28" i="178"/>
  <c r="C28" i="178"/>
  <c r="E27" i="178"/>
  <c r="C27" i="178"/>
  <c r="E26" i="178"/>
  <c r="C26" i="178"/>
  <c r="E25" i="178"/>
  <c r="C25" i="178"/>
  <c r="E24" i="178"/>
  <c r="C24" i="178"/>
  <c r="E23" i="178"/>
  <c r="C23" i="178"/>
  <c r="E22" i="178"/>
  <c r="C22" i="178"/>
  <c r="E21" i="178"/>
  <c r="C21" i="178"/>
  <c r="E20" i="178"/>
  <c r="C20" i="178"/>
  <c r="E19" i="178"/>
  <c r="C19" i="178"/>
  <c r="E18" i="178"/>
  <c r="C18" i="178"/>
  <c r="E17" i="178"/>
  <c r="C17" i="178"/>
  <c r="E16" i="178"/>
  <c r="C16" i="178"/>
  <c r="E15" i="178"/>
  <c r="C15" i="178"/>
  <c r="E14" i="178"/>
  <c r="C14" i="178"/>
  <c r="E13" i="178"/>
  <c r="C13" i="178"/>
  <c r="E12" i="178"/>
  <c r="C12" i="178"/>
  <c r="E11" i="178"/>
  <c r="C11" i="178"/>
  <c r="E10" i="178"/>
  <c r="C10" i="178"/>
  <c r="E9" i="178"/>
  <c r="C9" i="178"/>
  <c r="B2" i="178"/>
  <c r="B3" i="178" s="1"/>
  <c r="E43" i="177"/>
  <c r="C43" i="177"/>
  <c r="E42" i="177"/>
  <c r="C42" i="177"/>
  <c r="E41" i="177"/>
  <c r="C41" i="177"/>
  <c r="E40" i="177"/>
  <c r="C40" i="177"/>
  <c r="E39" i="177"/>
  <c r="C39" i="177"/>
  <c r="E38" i="177"/>
  <c r="C38" i="177"/>
  <c r="E37" i="177"/>
  <c r="C37" i="177"/>
  <c r="E36" i="177"/>
  <c r="C36" i="177"/>
  <c r="E35" i="177"/>
  <c r="C35" i="177"/>
  <c r="E34" i="177"/>
  <c r="C34" i="177"/>
  <c r="E33" i="177"/>
  <c r="C33" i="177"/>
  <c r="E32" i="177"/>
  <c r="C32" i="177"/>
  <c r="E31" i="177"/>
  <c r="C31" i="177"/>
  <c r="E30" i="177"/>
  <c r="C30" i="177"/>
  <c r="E29" i="177"/>
  <c r="C29" i="177"/>
  <c r="E28" i="177"/>
  <c r="C28" i="177"/>
  <c r="E27" i="177"/>
  <c r="C27" i="177"/>
  <c r="E26" i="177"/>
  <c r="C26" i="177"/>
  <c r="E25" i="177"/>
  <c r="C25" i="177"/>
  <c r="E24" i="177"/>
  <c r="C24" i="177"/>
  <c r="E23" i="177"/>
  <c r="C23" i="177"/>
  <c r="E22" i="177"/>
  <c r="C22" i="177"/>
  <c r="E21" i="177"/>
  <c r="C21" i="177"/>
  <c r="E20" i="177"/>
  <c r="C20" i="177"/>
  <c r="E19" i="177"/>
  <c r="C19" i="177"/>
  <c r="E18" i="177"/>
  <c r="C18" i="177"/>
  <c r="E17" i="177"/>
  <c r="C17" i="177"/>
  <c r="E16" i="177"/>
  <c r="C16" i="177"/>
  <c r="E15" i="177"/>
  <c r="C15" i="177"/>
  <c r="E14" i="177"/>
  <c r="C14" i="177"/>
  <c r="E13" i="177"/>
  <c r="C13" i="177"/>
  <c r="E12" i="177"/>
  <c r="C12" i="177"/>
  <c r="E11" i="177"/>
  <c r="C11" i="177"/>
  <c r="E10" i="177"/>
  <c r="C10" i="177"/>
  <c r="E9" i="177"/>
  <c r="C9" i="177"/>
  <c r="B2" i="177"/>
  <c r="B3" i="177" s="1"/>
  <c r="E43" i="176"/>
  <c r="C43" i="176"/>
  <c r="E42" i="176"/>
  <c r="C42" i="176"/>
  <c r="E41" i="176"/>
  <c r="C41" i="176"/>
  <c r="E40" i="176"/>
  <c r="C40" i="176"/>
  <c r="E39" i="176"/>
  <c r="C39" i="176"/>
  <c r="E38" i="176"/>
  <c r="C38" i="176"/>
  <c r="E37" i="176"/>
  <c r="C37" i="176"/>
  <c r="E36" i="176"/>
  <c r="C36" i="176"/>
  <c r="E35" i="176"/>
  <c r="C35" i="176"/>
  <c r="E34" i="176"/>
  <c r="C34" i="176"/>
  <c r="E33" i="176"/>
  <c r="C33" i="176"/>
  <c r="E32" i="176"/>
  <c r="C32" i="176"/>
  <c r="E31" i="176"/>
  <c r="C31" i="176"/>
  <c r="E30" i="176"/>
  <c r="C30" i="176"/>
  <c r="E29" i="176"/>
  <c r="C29" i="176"/>
  <c r="E28" i="176"/>
  <c r="C28" i="176"/>
  <c r="E27" i="176"/>
  <c r="C27" i="176"/>
  <c r="E26" i="176"/>
  <c r="C26" i="176"/>
  <c r="E25" i="176"/>
  <c r="C25" i="176"/>
  <c r="E24" i="176"/>
  <c r="C24" i="176"/>
  <c r="E23" i="176"/>
  <c r="C23" i="176"/>
  <c r="E22" i="176"/>
  <c r="C22" i="176"/>
  <c r="E21" i="176"/>
  <c r="C21" i="176"/>
  <c r="E20" i="176"/>
  <c r="C20" i="176"/>
  <c r="E19" i="176"/>
  <c r="C19" i="176"/>
  <c r="E18" i="176"/>
  <c r="C18" i="176"/>
  <c r="E17" i="176"/>
  <c r="C17" i="176"/>
  <c r="E16" i="176"/>
  <c r="C16" i="176"/>
  <c r="E15" i="176"/>
  <c r="C15" i="176"/>
  <c r="E14" i="176"/>
  <c r="C14" i="176"/>
  <c r="E13" i="176"/>
  <c r="C13" i="176"/>
  <c r="E12" i="176"/>
  <c r="C12" i="176"/>
  <c r="E11" i="176"/>
  <c r="C11" i="176"/>
  <c r="E10" i="176"/>
  <c r="C10" i="176"/>
  <c r="E9" i="176"/>
  <c r="C9" i="176"/>
  <c r="B2" i="176"/>
  <c r="B3" i="176" s="1"/>
  <c r="E43" i="175"/>
  <c r="C43" i="175"/>
  <c r="E42" i="175"/>
  <c r="C42" i="175"/>
  <c r="E41" i="175"/>
  <c r="C41" i="175"/>
  <c r="E40" i="175"/>
  <c r="C40" i="175"/>
  <c r="E39" i="175"/>
  <c r="C39" i="175"/>
  <c r="E38" i="175"/>
  <c r="C38" i="175"/>
  <c r="E37" i="175"/>
  <c r="C37" i="175"/>
  <c r="E36" i="175"/>
  <c r="C36" i="175"/>
  <c r="E35" i="175"/>
  <c r="C35" i="175"/>
  <c r="E34" i="175"/>
  <c r="C34" i="175"/>
  <c r="E33" i="175"/>
  <c r="C33" i="175"/>
  <c r="E32" i="175"/>
  <c r="C32" i="175"/>
  <c r="E31" i="175"/>
  <c r="C31" i="175"/>
  <c r="E30" i="175"/>
  <c r="C30" i="175"/>
  <c r="E29" i="175"/>
  <c r="C29" i="175"/>
  <c r="E28" i="175"/>
  <c r="C28" i="175"/>
  <c r="E27" i="175"/>
  <c r="C27" i="175"/>
  <c r="E26" i="175"/>
  <c r="C26" i="175"/>
  <c r="E25" i="175"/>
  <c r="C25" i="175"/>
  <c r="E24" i="175"/>
  <c r="C24" i="175"/>
  <c r="E23" i="175"/>
  <c r="C23" i="175"/>
  <c r="E22" i="175"/>
  <c r="C22" i="175"/>
  <c r="E21" i="175"/>
  <c r="C21" i="175"/>
  <c r="E20" i="175"/>
  <c r="C20" i="175"/>
  <c r="E19" i="175"/>
  <c r="C19" i="175"/>
  <c r="E18" i="175"/>
  <c r="C18" i="175"/>
  <c r="E17" i="175"/>
  <c r="C17" i="175"/>
  <c r="E16" i="175"/>
  <c r="C16" i="175"/>
  <c r="E15" i="175"/>
  <c r="C15" i="175"/>
  <c r="E14" i="175"/>
  <c r="C14" i="175"/>
  <c r="E13" i="175"/>
  <c r="C13" i="175"/>
  <c r="E12" i="175"/>
  <c r="C12" i="175"/>
  <c r="E11" i="175"/>
  <c r="C11" i="175"/>
  <c r="E10" i="175"/>
  <c r="C10" i="175"/>
  <c r="E9" i="175"/>
  <c r="C9" i="175"/>
  <c r="B2" i="175"/>
  <c r="B3" i="175" s="1"/>
  <c r="E43" i="174"/>
  <c r="C43" i="174"/>
  <c r="E42" i="174"/>
  <c r="C42" i="174"/>
  <c r="E41" i="174"/>
  <c r="C41" i="174"/>
  <c r="E40" i="174"/>
  <c r="C40" i="174"/>
  <c r="E39" i="174"/>
  <c r="C39" i="174"/>
  <c r="E38" i="174"/>
  <c r="C38" i="174"/>
  <c r="E37" i="174"/>
  <c r="C37" i="174"/>
  <c r="E36" i="174"/>
  <c r="C36" i="174"/>
  <c r="E35" i="174"/>
  <c r="C35" i="174"/>
  <c r="E34" i="174"/>
  <c r="C34" i="174"/>
  <c r="E33" i="174"/>
  <c r="C33" i="174"/>
  <c r="E32" i="174"/>
  <c r="C32" i="174"/>
  <c r="E31" i="174"/>
  <c r="C31" i="174"/>
  <c r="E30" i="174"/>
  <c r="C30" i="174"/>
  <c r="E29" i="174"/>
  <c r="C29" i="174"/>
  <c r="E28" i="174"/>
  <c r="C28" i="174"/>
  <c r="E27" i="174"/>
  <c r="C27" i="174"/>
  <c r="E26" i="174"/>
  <c r="C26" i="174"/>
  <c r="E25" i="174"/>
  <c r="C25" i="174"/>
  <c r="E24" i="174"/>
  <c r="C24" i="174"/>
  <c r="E23" i="174"/>
  <c r="C23" i="174"/>
  <c r="E22" i="174"/>
  <c r="C22" i="174"/>
  <c r="E21" i="174"/>
  <c r="C21" i="174"/>
  <c r="E20" i="174"/>
  <c r="C20" i="174"/>
  <c r="E19" i="174"/>
  <c r="C19" i="174"/>
  <c r="E18" i="174"/>
  <c r="C18" i="174"/>
  <c r="E17" i="174"/>
  <c r="C17" i="174"/>
  <c r="E16" i="174"/>
  <c r="C16" i="174"/>
  <c r="E15" i="174"/>
  <c r="C15" i="174"/>
  <c r="E14" i="174"/>
  <c r="C14" i="174"/>
  <c r="E13" i="174"/>
  <c r="C13" i="174"/>
  <c r="E12" i="174"/>
  <c r="C12" i="174"/>
  <c r="E11" i="174"/>
  <c r="C11" i="174"/>
  <c r="E10" i="174"/>
  <c r="C10" i="174"/>
  <c r="E9" i="174"/>
  <c r="C9" i="174"/>
  <c r="B2" i="174"/>
  <c r="B3" i="174" s="1"/>
  <c r="E43" i="173"/>
  <c r="C43" i="173"/>
  <c r="E42" i="173"/>
  <c r="C42" i="173"/>
  <c r="E41" i="173"/>
  <c r="C41" i="173"/>
  <c r="E40" i="173"/>
  <c r="C40" i="173"/>
  <c r="E39" i="173"/>
  <c r="C39" i="173"/>
  <c r="E38" i="173"/>
  <c r="C38" i="173"/>
  <c r="E37" i="173"/>
  <c r="C37" i="173"/>
  <c r="E36" i="173"/>
  <c r="C36" i="173"/>
  <c r="E35" i="173"/>
  <c r="C35" i="173"/>
  <c r="E34" i="173"/>
  <c r="C34" i="173"/>
  <c r="E33" i="173"/>
  <c r="C33" i="173"/>
  <c r="E32" i="173"/>
  <c r="C32" i="173"/>
  <c r="E31" i="173"/>
  <c r="C31" i="173"/>
  <c r="E30" i="173"/>
  <c r="C30" i="173"/>
  <c r="E29" i="173"/>
  <c r="C29" i="173"/>
  <c r="E28" i="173"/>
  <c r="C28" i="173"/>
  <c r="E27" i="173"/>
  <c r="C27" i="173"/>
  <c r="E26" i="173"/>
  <c r="C26" i="173"/>
  <c r="E25" i="173"/>
  <c r="C25" i="173"/>
  <c r="E24" i="173"/>
  <c r="C24" i="173"/>
  <c r="E23" i="173"/>
  <c r="C23" i="173"/>
  <c r="E22" i="173"/>
  <c r="C22" i="173"/>
  <c r="E21" i="173"/>
  <c r="C21" i="173"/>
  <c r="E20" i="173"/>
  <c r="C20" i="173"/>
  <c r="E19" i="173"/>
  <c r="C19" i="173"/>
  <c r="E18" i="173"/>
  <c r="C18" i="173"/>
  <c r="E17" i="173"/>
  <c r="C17" i="173"/>
  <c r="E16" i="173"/>
  <c r="C16" i="173"/>
  <c r="E15" i="173"/>
  <c r="C15" i="173"/>
  <c r="E14" i="173"/>
  <c r="C14" i="173"/>
  <c r="E13" i="173"/>
  <c r="C13" i="173"/>
  <c r="E12" i="173"/>
  <c r="C12" i="173"/>
  <c r="E11" i="173"/>
  <c r="C11" i="173"/>
  <c r="E10" i="173"/>
  <c r="C10" i="173"/>
  <c r="E9" i="173"/>
  <c r="C9" i="173"/>
  <c r="B2" i="173"/>
  <c r="B3" i="173" s="1"/>
  <c r="E43" i="172"/>
  <c r="C43" i="172"/>
  <c r="E42" i="172"/>
  <c r="C42" i="172"/>
  <c r="E41" i="172"/>
  <c r="C41" i="172"/>
  <c r="E40" i="172"/>
  <c r="C40" i="172"/>
  <c r="E39" i="172"/>
  <c r="C39" i="172"/>
  <c r="E38" i="172"/>
  <c r="C38" i="172"/>
  <c r="E37" i="172"/>
  <c r="C37" i="172"/>
  <c r="E36" i="172"/>
  <c r="C36" i="172"/>
  <c r="E35" i="172"/>
  <c r="C35" i="172"/>
  <c r="E34" i="172"/>
  <c r="C34" i="172"/>
  <c r="E33" i="172"/>
  <c r="C33" i="172"/>
  <c r="E32" i="172"/>
  <c r="C32" i="172"/>
  <c r="E31" i="172"/>
  <c r="C31" i="172"/>
  <c r="E30" i="172"/>
  <c r="C30" i="172"/>
  <c r="E29" i="172"/>
  <c r="C29" i="172"/>
  <c r="E28" i="172"/>
  <c r="C28" i="172"/>
  <c r="E27" i="172"/>
  <c r="C27" i="172"/>
  <c r="E26" i="172"/>
  <c r="C26" i="172"/>
  <c r="E25" i="172"/>
  <c r="C25" i="172"/>
  <c r="E24" i="172"/>
  <c r="C24" i="172"/>
  <c r="E23" i="172"/>
  <c r="C23" i="172"/>
  <c r="E22" i="172"/>
  <c r="C22" i="172"/>
  <c r="E21" i="172"/>
  <c r="C21" i="172"/>
  <c r="E20" i="172"/>
  <c r="C20" i="172"/>
  <c r="E19" i="172"/>
  <c r="C19" i="172"/>
  <c r="E18" i="172"/>
  <c r="C18" i="172"/>
  <c r="E17" i="172"/>
  <c r="C17" i="172"/>
  <c r="E16" i="172"/>
  <c r="C16" i="172"/>
  <c r="E15" i="172"/>
  <c r="C15" i="172"/>
  <c r="E14" i="172"/>
  <c r="C14" i="172"/>
  <c r="E13" i="172"/>
  <c r="C13" i="172"/>
  <c r="E12" i="172"/>
  <c r="C12" i="172"/>
  <c r="E11" i="172"/>
  <c r="C11" i="172"/>
  <c r="E10" i="172"/>
  <c r="C10" i="172"/>
  <c r="E9" i="172"/>
  <c r="C9" i="172"/>
  <c r="B2" i="172"/>
  <c r="B5" i="172" s="1"/>
  <c r="E43" i="171"/>
  <c r="C43" i="171"/>
  <c r="E42" i="171"/>
  <c r="C42" i="171"/>
  <c r="E41" i="171"/>
  <c r="C41" i="171"/>
  <c r="E40" i="171"/>
  <c r="C40" i="171"/>
  <c r="E39" i="171"/>
  <c r="C39" i="171"/>
  <c r="E38" i="171"/>
  <c r="C38" i="171"/>
  <c r="E37" i="171"/>
  <c r="C37" i="171"/>
  <c r="E36" i="171"/>
  <c r="C36" i="171"/>
  <c r="E35" i="171"/>
  <c r="C35" i="171"/>
  <c r="E34" i="171"/>
  <c r="C34" i="171"/>
  <c r="E33" i="171"/>
  <c r="C33" i="171"/>
  <c r="E32" i="171"/>
  <c r="C32" i="171"/>
  <c r="E31" i="171"/>
  <c r="C31" i="171"/>
  <c r="E30" i="171"/>
  <c r="C30" i="171"/>
  <c r="E29" i="171"/>
  <c r="C29" i="171"/>
  <c r="E28" i="171"/>
  <c r="C28" i="171"/>
  <c r="E27" i="171"/>
  <c r="C27" i="171"/>
  <c r="E26" i="171"/>
  <c r="C26" i="171"/>
  <c r="E25" i="171"/>
  <c r="C25" i="171"/>
  <c r="E24" i="171"/>
  <c r="C24" i="171"/>
  <c r="E23" i="171"/>
  <c r="C23" i="171"/>
  <c r="E22" i="171"/>
  <c r="C22" i="171"/>
  <c r="E21" i="171"/>
  <c r="C21" i="171"/>
  <c r="E20" i="171"/>
  <c r="C20" i="171"/>
  <c r="E19" i="171"/>
  <c r="C19" i="171"/>
  <c r="E18" i="171"/>
  <c r="C18" i="171"/>
  <c r="E17" i="171"/>
  <c r="C17" i="171"/>
  <c r="E16" i="171"/>
  <c r="C16" i="171"/>
  <c r="E15" i="171"/>
  <c r="C15" i="171"/>
  <c r="E14" i="171"/>
  <c r="C14" i="171"/>
  <c r="E13" i="171"/>
  <c r="C13" i="171"/>
  <c r="E12" i="171"/>
  <c r="C12" i="171"/>
  <c r="E11" i="171"/>
  <c r="C11" i="171"/>
  <c r="E10" i="171"/>
  <c r="C10" i="171"/>
  <c r="E9" i="171"/>
  <c r="C9" i="171"/>
  <c r="B2" i="171"/>
  <c r="B3" i="171" s="1"/>
  <c r="E43" i="170"/>
  <c r="C43" i="170"/>
  <c r="E42" i="170"/>
  <c r="C42" i="170"/>
  <c r="E41" i="170"/>
  <c r="C41" i="170"/>
  <c r="E40" i="170"/>
  <c r="C40" i="170"/>
  <c r="E39" i="170"/>
  <c r="C39" i="170"/>
  <c r="E38" i="170"/>
  <c r="C38" i="170"/>
  <c r="E37" i="170"/>
  <c r="C37" i="170"/>
  <c r="E36" i="170"/>
  <c r="C36" i="170"/>
  <c r="E35" i="170"/>
  <c r="C35" i="170"/>
  <c r="E34" i="170"/>
  <c r="C34" i="170"/>
  <c r="E33" i="170"/>
  <c r="C33" i="170"/>
  <c r="E32" i="170"/>
  <c r="C32" i="170"/>
  <c r="E31" i="170"/>
  <c r="C31" i="170"/>
  <c r="E30" i="170"/>
  <c r="C30" i="170"/>
  <c r="E29" i="170"/>
  <c r="C29" i="170"/>
  <c r="E28" i="170"/>
  <c r="C28" i="170"/>
  <c r="E27" i="170"/>
  <c r="C27" i="170"/>
  <c r="E26" i="170"/>
  <c r="C26" i="170"/>
  <c r="E25" i="170"/>
  <c r="C25" i="170"/>
  <c r="E24" i="170"/>
  <c r="C24" i="170"/>
  <c r="E23" i="170"/>
  <c r="C23" i="170"/>
  <c r="E22" i="170"/>
  <c r="C22" i="170"/>
  <c r="E21" i="170"/>
  <c r="C21" i="170"/>
  <c r="E20" i="170"/>
  <c r="C20" i="170"/>
  <c r="E19" i="170"/>
  <c r="C19" i="170"/>
  <c r="E18" i="170"/>
  <c r="C18" i="170"/>
  <c r="E17" i="170"/>
  <c r="C17" i="170"/>
  <c r="E16" i="170"/>
  <c r="C16" i="170"/>
  <c r="E15" i="170"/>
  <c r="C15" i="170"/>
  <c r="E14" i="170"/>
  <c r="C14" i="170"/>
  <c r="E13" i="170"/>
  <c r="C13" i="170"/>
  <c r="E12" i="170"/>
  <c r="C12" i="170"/>
  <c r="E11" i="170"/>
  <c r="C11" i="170"/>
  <c r="E10" i="170"/>
  <c r="C10" i="170"/>
  <c r="E9" i="170"/>
  <c r="C9" i="170"/>
  <c r="B2" i="170"/>
  <c r="B3" i="170" s="1"/>
  <c r="E43" i="169"/>
  <c r="C43" i="169"/>
  <c r="E42" i="169"/>
  <c r="C42" i="169"/>
  <c r="E41" i="169"/>
  <c r="C41" i="169"/>
  <c r="E40" i="169"/>
  <c r="C40" i="169"/>
  <c r="E39" i="169"/>
  <c r="C39" i="169"/>
  <c r="E38" i="169"/>
  <c r="C38" i="169"/>
  <c r="E37" i="169"/>
  <c r="C37" i="169"/>
  <c r="E36" i="169"/>
  <c r="C36" i="169"/>
  <c r="E35" i="169"/>
  <c r="C35" i="169"/>
  <c r="E34" i="169"/>
  <c r="C34" i="169"/>
  <c r="E33" i="169"/>
  <c r="C33" i="169"/>
  <c r="E32" i="169"/>
  <c r="C32" i="169"/>
  <c r="E31" i="169"/>
  <c r="C31" i="169"/>
  <c r="E30" i="169"/>
  <c r="C30" i="169"/>
  <c r="E29" i="169"/>
  <c r="C29" i="169"/>
  <c r="E28" i="169"/>
  <c r="C28" i="169"/>
  <c r="E27" i="169"/>
  <c r="C27" i="169"/>
  <c r="E26" i="169"/>
  <c r="C26" i="169"/>
  <c r="E25" i="169"/>
  <c r="C25" i="169"/>
  <c r="E24" i="169"/>
  <c r="C24" i="169"/>
  <c r="E23" i="169"/>
  <c r="C23" i="169"/>
  <c r="E22" i="169"/>
  <c r="C22" i="169"/>
  <c r="E21" i="169"/>
  <c r="C21" i="169"/>
  <c r="E20" i="169"/>
  <c r="C20" i="169"/>
  <c r="E19" i="169"/>
  <c r="C19" i="169"/>
  <c r="E18" i="169"/>
  <c r="C18" i="169"/>
  <c r="E17" i="169"/>
  <c r="C17" i="169"/>
  <c r="E16" i="169"/>
  <c r="C16" i="169"/>
  <c r="E15" i="169"/>
  <c r="C15" i="169"/>
  <c r="E14" i="169"/>
  <c r="C14" i="169"/>
  <c r="E13" i="169"/>
  <c r="C13" i="169"/>
  <c r="E12" i="169"/>
  <c r="C12" i="169"/>
  <c r="E11" i="169"/>
  <c r="C11" i="169"/>
  <c r="E10" i="169"/>
  <c r="C10" i="169"/>
  <c r="E9" i="169"/>
  <c r="C9" i="169"/>
  <c r="B2" i="169"/>
  <c r="B3" i="169" s="1"/>
  <c r="E43" i="168"/>
  <c r="C43" i="168"/>
  <c r="E42" i="168"/>
  <c r="C42" i="168"/>
  <c r="E41" i="168"/>
  <c r="C41" i="168"/>
  <c r="E40" i="168"/>
  <c r="C40" i="168"/>
  <c r="E39" i="168"/>
  <c r="C39" i="168"/>
  <c r="E38" i="168"/>
  <c r="C38" i="168"/>
  <c r="E37" i="168"/>
  <c r="C37" i="168"/>
  <c r="E36" i="168"/>
  <c r="C36" i="168"/>
  <c r="E35" i="168"/>
  <c r="C35" i="168"/>
  <c r="E34" i="168"/>
  <c r="C34" i="168"/>
  <c r="E33" i="168"/>
  <c r="C33" i="168"/>
  <c r="E32" i="168"/>
  <c r="C32" i="168"/>
  <c r="E31" i="168"/>
  <c r="C31" i="168"/>
  <c r="E30" i="168"/>
  <c r="C30" i="168"/>
  <c r="E29" i="168"/>
  <c r="C29" i="168"/>
  <c r="E28" i="168"/>
  <c r="C28" i="168"/>
  <c r="E27" i="168"/>
  <c r="C27" i="168"/>
  <c r="E26" i="168"/>
  <c r="C26" i="168"/>
  <c r="E25" i="168"/>
  <c r="C25" i="168"/>
  <c r="E24" i="168"/>
  <c r="C24" i="168"/>
  <c r="E23" i="168"/>
  <c r="C23" i="168"/>
  <c r="E22" i="168"/>
  <c r="C22" i="168"/>
  <c r="E21" i="168"/>
  <c r="C21" i="168"/>
  <c r="E20" i="168"/>
  <c r="C20" i="168"/>
  <c r="E19" i="168"/>
  <c r="C19" i="168"/>
  <c r="E18" i="168"/>
  <c r="C18" i="168"/>
  <c r="E17" i="168"/>
  <c r="C17" i="168"/>
  <c r="E16" i="168"/>
  <c r="C16" i="168"/>
  <c r="E15" i="168"/>
  <c r="C15" i="168"/>
  <c r="E14" i="168"/>
  <c r="C14" i="168"/>
  <c r="E13" i="168"/>
  <c r="C13" i="168"/>
  <c r="E12" i="168"/>
  <c r="C12" i="168"/>
  <c r="E11" i="168"/>
  <c r="C11" i="168"/>
  <c r="E10" i="168"/>
  <c r="C10" i="168"/>
  <c r="E9" i="168"/>
  <c r="C9" i="168"/>
  <c r="B2" i="168"/>
  <c r="B5" i="168" s="1"/>
  <c r="E43" i="167"/>
  <c r="C43" i="167"/>
  <c r="E42" i="167"/>
  <c r="C42" i="167"/>
  <c r="E41" i="167"/>
  <c r="C41" i="167"/>
  <c r="E40" i="167"/>
  <c r="C40" i="167"/>
  <c r="E39" i="167"/>
  <c r="C39" i="167"/>
  <c r="E38" i="167"/>
  <c r="C38" i="167"/>
  <c r="E37" i="167"/>
  <c r="C37" i="167"/>
  <c r="E36" i="167"/>
  <c r="C36" i="167"/>
  <c r="E35" i="167"/>
  <c r="C35" i="167"/>
  <c r="E34" i="167"/>
  <c r="C34" i="167"/>
  <c r="E33" i="167"/>
  <c r="C33" i="167"/>
  <c r="E32" i="167"/>
  <c r="C32" i="167"/>
  <c r="E31" i="167"/>
  <c r="C31" i="167"/>
  <c r="E30" i="167"/>
  <c r="C30" i="167"/>
  <c r="E29" i="167"/>
  <c r="C29" i="167"/>
  <c r="E28" i="167"/>
  <c r="C28" i="167"/>
  <c r="E27" i="167"/>
  <c r="C27" i="167"/>
  <c r="E26" i="167"/>
  <c r="C26" i="167"/>
  <c r="E25" i="167"/>
  <c r="C25" i="167"/>
  <c r="E24" i="167"/>
  <c r="C24" i="167"/>
  <c r="E23" i="167"/>
  <c r="C23" i="167"/>
  <c r="E22" i="167"/>
  <c r="C22" i="167"/>
  <c r="E21" i="167"/>
  <c r="C21" i="167"/>
  <c r="E20" i="167"/>
  <c r="C20" i="167"/>
  <c r="E19" i="167"/>
  <c r="C19" i="167"/>
  <c r="E18" i="167"/>
  <c r="C18" i="167"/>
  <c r="E17" i="167"/>
  <c r="C17" i="167"/>
  <c r="E16" i="167"/>
  <c r="C16" i="167"/>
  <c r="E15" i="167"/>
  <c r="C15" i="167"/>
  <c r="E14" i="167"/>
  <c r="C14" i="167"/>
  <c r="E13" i="167"/>
  <c r="C13" i="167"/>
  <c r="E12" i="167"/>
  <c r="C12" i="167"/>
  <c r="E11" i="167"/>
  <c r="C11" i="167"/>
  <c r="E10" i="167"/>
  <c r="C10" i="167"/>
  <c r="E9" i="167"/>
  <c r="C9" i="167"/>
  <c r="B2" i="167"/>
  <c r="B3" i="167" s="1"/>
  <c r="E43" i="166"/>
  <c r="C43" i="166"/>
  <c r="E42" i="166"/>
  <c r="C42" i="166"/>
  <c r="E41" i="166"/>
  <c r="C41" i="166"/>
  <c r="E40" i="166"/>
  <c r="C40" i="166"/>
  <c r="E39" i="166"/>
  <c r="C39" i="166"/>
  <c r="E38" i="166"/>
  <c r="C38" i="166"/>
  <c r="E37" i="166"/>
  <c r="C37" i="166"/>
  <c r="E36" i="166"/>
  <c r="C36" i="166"/>
  <c r="E35" i="166"/>
  <c r="C35" i="166"/>
  <c r="E34" i="166"/>
  <c r="C34" i="166"/>
  <c r="E33" i="166"/>
  <c r="C33" i="166"/>
  <c r="E32" i="166"/>
  <c r="C32" i="166"/>
  <c r="E31" i="166"/>
  <c r="C31" i="166"/>
  <c r="E30" i="166"/>
  <c r="C30" i="166"/>
  <c r="E29" i="166"/>
  <c r="C29" i="166"/>
  <c r="E28" i="166"/>
  <c r="C28" i="166"/>
  <c r="E27" i="166"/>
  <c r="C27" i="166"/>
  <c r="E26" i="166"/>
  <c r="C26" i="166"/>
  <c r="E25" i="166"/>
  <c r="C25" i="166"/>
  <c r="E24" i="166"/>
  <c r="C24" i="166"/>
  <c r="E23" i="166"/>
  <c r="C23" i="166"/>
  <c r="E22" i="166"/>
  <c r="C22" i="166"/>
  <c r="E21" i="166"/>
  <c r="C21" i="166"/>
  <c r="E20" i="166"/>
  <c r="C20" i="166"/>
  <c r="E19" i="166"/>
  <c r="C19" i="166"/>
  <c r="E18" i="166"/>
  <c r="C18" i="166"/>
  <c r="E17" i="166"/>
  <c r="C17" i="166"/>
  <c r="E16" i="166"/>
  <c r="C16" i="166"/>
  <c r="E15" i="166"/>
  <c r="C15" i="166"/>
  <c r="E14" i="166"/>
  <c r="C14" i="166"/>
  <c r="E13" i="166"/>
  <c r="C13" i="166"/>
  <c r="E12" i="166"/>
  <c r="C12" i="166"/>
  <c r="E11" i="166"/>
  <c r="C11" i="166"/>
  <c r="E10" i="166"/>
  <c r="C10" i="166"/>
  <c r="E9" i="166"/>
  <c r="C9" i="166"/>
  <c r="B2" i="166"/>
  <c r="B3" i="166" s="1"/>
  <c r="E43" i="165"/>
  <c r="C43" i="165"/>
  <c r="E42" i="165"/>
  <c r="C42" i="165"/>
  <c r="E41" i="165"/>
  <c r="C41" i="165"/>
  <c r="E40" i="165"/>
  <c r="C40" i="165"/>
  <c r="E39" i="165"/>
  <c r="C39" i="165"/>
  <c r="E38" i="165"/>
  <c r="C38" i="165"/>
  <c r="E37" i="165"/>
  <c r="C37" i="165"/>
  <c r="E36" i="165"/>
  <c r="C36" i="165"/>
  <c r="E35" i="165"/>
  <c r="C35" i="165"/>
  <c r="E34" i="165"/>
  <c r="C34" i="165"/>
  <c r="E33" i="165"/>
  <c r="C33" i="165"/>
  <c r="E32" i="165"/>
  <c r="C32" i="165"/>
  <c r="E31" i="165"/>
  <c r="C31" i="165"/>
  <c r="E30" i="165"/>
  <c r="C30" i="165"/>
  <c r="E29" i="165"/>
  <c r="C29" i="165"/>
  <c r="E28" i="165"/>
  <c r="C28" i="165"/>
  <c r="E27" i="165"/>
  <c r="C27" i="165"/>
  <c r="E26" i="165"/>
  <c r="C26" i="165"/>
  <c r="E25" i="165"/>
  <c r="C25" i="165"/>
  <c r="E24" i="165"/>
  <c r="C24" i="165"/>
  <c r="E23" i="165"/>
  <c r="C23" i="165"/>
  <c r="E22" i="165"/>
  <c r="C22" i="165"/>
  <c r="E21" i="165"/>
  <c r="C21" i="165"/>
  <c r="E20" i="165"/>
  <c r="C20" i="165"/>
  <c r="E19" i="165"/>
  <c r="C19" i="165"/>
  <c r="E18" i="165"/>
  <c r="C18" i="165"/>
  <c r="E17" i="165"/>
  <c r="C17" i="165"/>
  <c r="E16" i="165"/>
  <c r="C16" i="165"/>
  <c r="E15" i="165"/>
  <c r="C15" i="165"/>
  <c r="E14" i="165"/>
  <c r="C14" i="165"/>
  <c r="E13" i="165"/>
  <c r="C13" i="165"/>
  <c r="E12" i="165"/>
  <c r="C12" i="165"/>
  <c r="E11" i="165"/>
  <c r="C11" i="165"/>
  <c r="E10" i="165"/>
  <c r="C10" i="165"/>
  <c r="E9" i="165"/>
  <c r="C9" i="165"/>
  <c r="B2" i="165"/>
  <c r="B3" i="165" s="1"/>
  <c r="E43" i="164"/>
  <c r="C43" i="164"/>
  <c r="E42" i="164"/>
  <c r="C42" i="164"/>
  <c r="E41" i="164"/>
  <c r="C41" i="164"/>
  <c r="E40" i="164"/>
  <c r="C40" i="164"/>
  <c r="E39" i="164"/>
  <c r="C39" i="164"/>
  <c r="E38" i="164"/>
  <c r="C38" i="164"/>
  <c r="E37" i="164"/>
  <c r="C37" i="164"/>
  <c r="E36" i="164"/>
  <c r="C36" i="164"/>
  <c r="E35" i="164"/>
  <c r="C35" i="164"/>
  <c r="E34" i="164"/>
  <c r="C34" i="164"/>
  <c r="E33" i="164"/>
  <c r="C33" i="164"/>
  <c r="E32" i="164"/>
  <c r="C32" i="164"/>
  <c r="E31" i="164"/>
  <c r="C31" i="164"/>
  <c r="E30" i="164"/>
  <c r="C30" i="164"/>
  <c r="E29" i="164"/>
  <c r="C29" i="164"/>
  <c r="E28" i="164"/>
  <c r="C28" i="164"/>
  <c r="E27" i="164"/>
  <c r="C27" i="164"/>
  <c r="E26" i="164"/>
  <c r="C26" i="164"/>
  <c r="E25" i="164"/>
  <c r="C25" i="164"/>
  <c r="E24" i="164"/>
  <c r="C24" i="164"/>
  <c r="E23" i="164"/>
  <c r="C23" i="164"/>
  <c r="E22" i="164"/>
  <c r="C22" i="164"/>
  <c r="E21" i="164"/>
  <c r="C21" i="164"/>
  <c r="E20" i="164"/>
  <c r="C20" i="164"/>
  <c r="E19" i="164"/>
  <c r="C19" i="164"/>
  <c r="E18" i="164"/>
  <c r="C18" i="164"/>
  <c r="E17" i="164"/>
  <c r="C17" i="164"/>
  <c r="E16" i="164"/>
  <c r="C16" i="164"/>
  <c r="E15" i="164"/>
  <c r="C15" i="164"/>
  <c r="E14" i="164"/>
  <c r="C14" i="164"/>
  <c r="E13" i="164"/>
  <c r="C13" i="164"/>
  <c r="E12" i="164"/>
  <c r="C12" i="164"/>
  <c r="E11" i="164"/>
  <c r="C11" i="164"/>
  <c r="E10" i="164"/>
  <c r="C10" i="164"/>
  <c r="E9" i="164"/>
  <c r="C9" i="164"/>
  <c r="B2" i="164"/>
  <c r="B3" i="164" s="1"/>
  <c r="E43" i="163"/>
  <c r="C43" i="163"/>
  <c r="E42" i="163"/>
  <c r="C42" i="163"/>
  <c r="E41" i="163"/>
  <c r="C41" i="163"/>
  <c r="E40" i="163"/>
  <c r="C40" i="163"/>
  <c r="E39" i="163"/>
  <c r="C39" i="163"/>
  <c r="E38" i="163"/>
  <c r="C38" i="163"/>
  <c r="E37" i="163"/>
  <c r="C37" i="163"/>
  <c r="E36" i="163"/>
  <c r="C36" i="163"/>
  <c r="E35" i="163"/>
  <c r="C35" i="163"/>
  <c r="E34" i="163"/>
  <c r="C34" i="163"/>
  <c r="E33" i="163"/>
  <c r="C33" i="163"/>
  <c r="E32" i="163"/>
  <c r="C32" i="163"/>
  <c r="E31" i="163"/>
  <c r="C31" i="163"/>
  <c r="E30" i="163"/>
  <c r="C30" i="163"/>
  <c r="E29" i="163"/>
  <c r="C29" i="163"/>
  <c r="E28" i="163"/>
  <c r="C28" i="163"/>
  <c r="E27" i="163"/>
  <c r="C27" i="163"/>
  <c r="E26" i="163"/>
  <c r="C26" i="163"/>
  <c r="E25" i="163"/>
  <c r="C25" i="163"/>
  <c r="E24" i="163"/>
  <c r="C24" i="163"/>
  <c r="E23" i="163"/>
  <c r="C23" i="163"/>
  <c r="E22" i="163"/>
  <c r="C22" i="163"/>
  <c r="E21" i="163"/>
  <c r="C21" i="163"/>
  <c r="E20" i="163"/>
  <c r="C20" i="163"/>
  <c r="E19" i="163"/>
  <c r="C19" i="163"/>
  <c r="E18" i="163"/>
  <c r="C18" i="163"/>
  <c r="E17" i="163"/>
  <c r="C17" i="163"/>
  <c r="E16" i="163"/>
  <c r="C16" i="163"/>
  <c r="E15" i="163"/>
  <c r="C15" i="163"/>
  <c r="E14" i="163"/>
  <c r="C14" i="163"/>
  <c r="E13" i="163"/>
  <c r="C13" i="163"/>
  <c r="E12" i="163"/>
  <c r="C12" i="163"/>
  <c r="E11" i="163"/>
  <c r="C11" i="163"/>
  <c r="E10" i="163"/>
  <c r="C10" i="163"/>
  <c r="E9" i="163"/>
  <c r="C9" i="163"/>
  <c r="B2" i="163"/>
  <c r="B3" i="163" s="1"/>
  <c r="E43" i="162"/>
  <c r="C43" i="162"/>
  <c r="E42" i="162"/>
  <c r="C42" i="162"/>
  <c r="E41" i="162"/>
  <c r="C41" i="162"/>
  <c r="E40" i="162"/>
  <c r="C40" i="162"/>
  <c r="E39" i="162"/>
  <c r="C39" i="162"/>
  <c r="E38" i="162"/>
  <c r="C38" i="162"/>
  <c r="E37" i="162"/>
  <c r="C37" i="162"/>
  <c r="E36" i="162"/>
  <c r="C36" i="162"/>
  <c r="E35" i="162"/>
  <c r="C35" i="162"/>
  <c r="E34" i="162"/>
  <c r="C34" i="162"/>
  <c r="E33" i="162"/>
  <c r="C33" i="162"/>
  <c r="E32" i="162"/>
  <c r="C32" i="162"/>
  <c r="E31" i="162"/>
  <c r="C31" i="162"/>
  <c r="E30" i="162"/>
  <c r="C30" i="162"/>
  <c r="E29" i="162"/>
  <c r="C29" i="162"/>
  <c r="E28" i="162"/>
  <c r="C28" i="162"/>
  <c r="E27" i="162"/>
  <c r="C27" i="162"/>
  <c r="E26" i="162"/>
  <c r="C26" i="162"/>
  <c r="E25" i="162"/>
  <c r="C25" i="162"/>
  <c r="E24" i="162"/>
  <c r="C24" i="162"/>
  <c r="E23" i="162"/>
  <c r="C23" i="162"/>
  <c r="E22" i="162"/>
  <c r="C22" i="162"/>
  <c r="E21" i="162"/>
  <c r="C21" i="162"/>
  <c r="E20" i="162"/>
  <c r="C20" i="162"/>
  <c r="E19" i="162"/>
  <c r="C19" i="162"/>
  <c r="E18" i="162"/>
  <c r="C18" i="162"/>
  <c r="E17" i="162"/>
  <c r="C17" i="162"/>
  <c r="E16" i="162"/>
  <c r="C16" i="162"/>
  <c r="E15" i="162"/>
  <c r="C15" i="162"/>
  <c r="E14" i="162"/>
  <c r="C14" i="162"/>
  <c r="E13" i="162"/>
  <c r="C13" i="162"/>
  <c r="E12" i="162"/>
  <c r="C12" i="162"/>
  <c r="E11" i="162"/>
  <c r="C11" i="162"/>
  <c r="E10" i="162"/>
  <c r="C10" i="162"/>
  <c r="E9" i="162"/>
  <c r="C9" i="162"/>
  <c r="B2" i="162"/>
  <c r="B3" i="162" s="1"/>
  <c r="E43" i="161"/>
  <c r="C43" i="161"/>
  <c r="E42" i="161"/>
  <c r="C42" i="161"/>
  <c r="E41" i="161"/>
  <c r="C41" i="161"/>
  <c r="E40" i="161"/>
  <c r="C40" i="161"/>
  <c r="E39" i="161"/>
  <c r="C39" i="161"/>
  <c r="E38" i="161"/>
  <c r="C38" i="161"/>
  <c r="E37" i="161"/>
  <c r="C37" i="161"/>
  <c r="E36" i="161"/>
  <c r="C36" i="161"/>
  <c r="E35" i="161"/>
  <c r="C35" i="161"/>
  <c r="E34" i="161"/>
  <c r="C34" i="161"/>
  <c r="E33" i="161"/>
  <c r="C33" i="161"/>
  <c r="E32" i="161"/>
  <c r="C32" i="161"/>
  <c r="E31" i="161"/>
  <c r="C31" i="161"/>
  <c r="E30" i="161"/>
  <c r="C30" i="161"/>
  <c r="E29" i="161"/>
  <c r="C29" i="161"/>
  <c r="E28" i="161"/>
  <c r="C28" i="161"/>
  <c r="E27" i="161"/>
  <c r="C27" i="161"/>
  <c r="E26" i="161"/>
  <c r="C26" i="161"/>
  <c r="E25" i="161"/>
  <c r="C25" i="161"/>
  <c r="E24" i="161"/>
  <c r="C24" i="161"/>
  <c r="E23" i="161"/>
  <c r="C23" i="161"/>
  <c r="E22" i="161"/>
  <c r="C22" i="161"/>
  <c r="E21" i="161"/>
  <c r="C21" i="161"/>
  <c r="E20" i="161"/>
  <c r="C20" i="161"/>
  <c r="E19" i="161"/>
  <c r="C19" i="161"/>
  <c r="E18" i="161"/>
  <c r="C18" i="161"/>
  <c r="E17" i="161"/>
  <c r="C17" i="161"/>
  <c r="E16" i="161"/>
  <c r="C16" i="161"/>
  <c r="E15" i="161"/>
  <c r="C15" i="161"/>
  <c r="E14" i="161"/>
  <c r="C14" i="161"/>
  <c r="E13" i="161"/>
  <c r="C13" i="161"/>
  <c r="E12" i="161"/>
  <c r="C12" i="161"/>
  <c r="E11" i="161"/>
  <c r="C11" i="161"/>
  <c r="E10" i="161"/>
  <c r="C10" i="161"/>
  <c r="E9" i="161"/>
  <c r="C9" i="161"/>
  <c r="B2" i="161"/>
  <c r="B3" i="161" s="1"/>
  <c r="E43" i="160"/>
  <c r="C43" i="160"/>
  <c r="E42" i="160"/>
  <c r="C42" i="160"/>
  <c r="E41" i="160"/>
  <c r="C41" i="160"/>
  <c r="E40" i="160"/>
  <c r="C40" i="160"/>
  <c r="E39" i="160"/>
  <c r="C39" i="160"/>
  <c r="E38" i="160"/>
  <c r="C38" i="160"/>
  <c r="E37" i="160"/>
  <c r="C37" i="160"/>
  <c r="E36" i="160"/>
  <c r="C36" i="160"/>
  <c r="E35" i="160"/>
  <c r="C35" i="160"/>
  <c r="E34" i="160"/>
  <c r="C34" i="160"/>
  <c r="E33" i="160"/>
  <c r="C33" i="160"/>
  <c r="E32" i="160"/>
  <c r="C32" i="160"/>
  <c r="E31" i="160"/>
  <c r="C31" i="160"/>
  <c r="E30" i="160"/>
  <c r="C30" i="160"/>
  <c r="E29" i="160"/>
  <c r="C29" i="160"/>
  <c r="E28" i="160"/>
  <c r="C28" i="160"/>
  <c r="E27" i="160"/>
  <c r="C27" i="160"/>
  <c r="E26" i="160"/>
  <c r="C26" i="160"/>
  <c r="E25" i="160"/>
  <c r="C25" i="160"/>
  <c r="E24" i="160"/>
  <c r="C24" i="160"/>
  <c r="E23" i="160"/>
  <c r="C23" i="160"/>
  <c r="E22" i="160"/>
  <c r="C22" i="160"/>
  <c r="E21" i="160"/>
  <c r="C21" i="160"/>
  <c r="E20" i="160"/>
  <c r="C20" i="160"/>
  <c r="E19" i="160"/>
  <c r="C19" i="160"/>
  <c r="E18" i="160"/>
  <c r="C18" i="160"/>
  <c r="E17" i="160"/>
  <c r="C17" i="160"/>
  <c r="E16" i="160"/>
  <c r="C16" i="160"/>
  <c r="E15" i="160"/>
  <c r="C15" i="160"/>
  <c r="E14" i="160"/>
  <c r="C14" i="160"/>
  <c r="E13" i="160"/>
  <c r="C13" i="160"/>
  <c r="E12" i="160"/>
  <c r="C12" i="160"/>
  <c r="E11" i="160"/>
  <c r="C11" i="160"/>
  <c r="E10" i="160"/>
  <c r="C10" i="160"/>
  <c r="E9" i="160"/>
  <c r="C9" i="160"/>
  <c r="B2" i="160"/>
  <c r="B3" i="160" s="1"/>
  <c r="E43" i="159"/>
  <c r="C43" i="159"/>
  <c r="E42" i="159"/>
  <c r="C42" i="159"/>
  <c r="E41" i="159"/>
  <c r="C41" i="159"/>
  <c r="E40" i="159"/>
  <c r="C40" i="159"/>
  <c r="E39" i="159"/>
  <c r="C39" i="159"/>
  <c r="E38" i="159"/>
  <c r="C38" i="159"/>
  <c r="E37" i="159"/>
  <c r="C37" i="159"/>
  <c r="E36" i="159"/>
  <c r="C36" i="159"/>
  <c r="E35" i="159"/>
  <c r="C35" i="159"/>
  <c r="E34" i="159"/>
  <c r="C34" i="159"/>
  <c r="E33" i="159"/>
  <c r="C33" i="159"/>
  <c r="E32" i="159"/>
  <c r="C32" i="159"/>
  <c r="E31" i="159"/>
  <c r="C31" i="159"/>
  <c r="E30" i="159"/>
  <c r="C30" i="159"/>
  <c r="E29" i="159"/>
  <c r="C29" i="159"/>
  <c r="E28" i="159"/>
  <c r="C28" i="159"/>
  <c r="E27" i="159"/>
  <c r="C27" i="159"/>
  <c r="E26" i="159"/>
  <c r="C26" i="159"/>
  <c r="E25" i="159"/>
  <c r="C25" i="159"/>
  <c r="E24" i="159"/>
  <c r="C24" i="159"/>
  <c r="E23" i="159"/>
  <c r="C23" i="159"/>
  <c r="E22" i="159"/>
  <c r="C22" i="159"/>
  <c r="E21" i="159"/>
  <c r="C21" i="159"/>
  <c r="E20" i="159"/>
  <c r="C20" i="159"/>
  <c r="E19" i="159"/>
  <c r="C19" i="159"/>
  <c r="E18" i="159"/>
  <c r="C18" i="159"/>
  <c r="E17" i="159"/>
  <c r="C17" i="159"/>
  <c r="E16" i="159"/>
  <c r="C16" i="159"/>
  <c r="E15" i="159"/>
  <c r="C15" i="159"/>
  <c r="E14" i="159"/>
  <c r="C14" i="159"/>
  <c r="E13" i="159"/>
  <c r="C13" i="159"/>
  <c r="E12" i="159"/>
  <c r="C12" i="159"/>
  <c r="E11" i="159"/>
  <c r="C11" i="159"/>
  <c r="E10" i="159"/>
  <c r="C10" i="159"/>
  <c r="E9" i="159"/>
  <c r="C9" i="159"/>
  <c r="B2" i="159"/>
  <c r="B3" i="159" s="1"/>
  <c r="E43" i="158"/>
  <c r="C43" i="158"/>
  <c r="E42" i="158"/>
  <c r="C42" i="158"/>
  <c r="E41" i="158"/>
  <c r="C41" i="158"/>
  <c r="E40" i="158"/>
  <c r="C40" i="158"/>
  <c r="E39" i="158"/>
  <c r="C39" i="158"/>
  <c r="E38" i="158"/>
  <c r="C38" i="158"/>
  <c r="E37" i="158"/>
  <c r="C37" i="158"/>
  <c r="E36" i="158"/>
  <c r="C36" i="158"/>
  <c r="E35" i="158"/>
  <c r="C35" i="158"/>
  <c r="E34" i="158"/>
  <c r="C34" i="158"/>
  <c r="E33" i="158"/>
  <c r="C33" i="158"/>
  <c r="E32" i="158"/>
  <c r="C32" i="158"/>
  <c r="E31" i="158"/>
  <c r="C31" i="158"/>
  <c r="E30" i="158"/>
  <c r="C30" i="158"/>
  <c r="E29" i="158"/>
  <c r="C29" i="158"/>
  <c r="E28" i="158"/>
  <c r="C28" i="158"/>
  <c r="E27" i="158"/>
  <c r="C27" i="158"/>
  <c r="E26" i="158"/>
  <c r="C26" i="158"/>
  <c r="E25" i="158"/>
  <c r="C25" i="158"/>
  <c r="E24" i="158"/>
  <c r="C24" i="158"/>
  <c r="E23" i="158"/>
  <c r="C23" i="158"/>
  <c r="E22" i="158"/>
  <c r="C22" i="158"/>
  <c r="E21" i="158"/>
  <c r="C21" i="158"/>
  <c r="E20" i="158"/>
  <c r="C20" i="158"/>
  <c r="E19" i="158"/>
  <c r="C19" i="158"/>
  <c r="E18" i="158"/>
  <c r="C18" i="158"/>
  <c r="E17" i="158"/>
  <c r="C17" i="158"/>
  <c r="E16" i="158"/>
  <c r="C16" i="158"/>
  <c r="E15" i="158"/>
  <c r="C15" i="158"/>
  <c r="E14" i="158"/>
  <c r="C14" i="158"/>
  <c r="E13" i="158"/>
  <c r="C13" i="158"/>
  <c r="E12" i="158"/>
  <c r="C12" i="158"/>
  <c r="E11" i="158"/>
  <c r="C11" i="158"/>
  <c r="E10" i="158"/>
  <c r="C10" i="158"/>
  <c r="E9" i="158"/>
  <c r="C9" i="158"/>
  <c r="B2" i="158"/>
  <c r="B3" i="158" s="1"/>
  <c r="E43" i="157"/>
  <c r="C43" i="157"/>
  <c r="E42" i="157"/>
  <c r="C42" i="157"/>
  <c r="E41" i="157"/>
  <c r="C41" i="157"/>
  <c r="E40" i="157"/>
  <c r="C40" i="157"/>
  <c r="E39" i="157"/>
  <c r="C39" i="157"/>
  <c r="E38" i="157"/>
  <c r="C38" i="157"/>
  <c r="E37" i="157"/>
  <c r="C37" i="157"/>
  <c r="E36" i="157"/>
  <c r="C36" i="157"/>
  <c r="E35" i="157"/>
  <c r="C35" i="157"/>
  <c r="E34" i="157"/>
  <c r="C34" i="157"/>
  <c r="E33" i="157"/>
  <c r="C33" i="157"/>
  <c r="E32" i="157"/>
  <c r="C32" i="157"/>
  <c r="E31" i="157"/>
  <c r="C31" i="157"/>
  <c r="E30" i="157"/>
  <c r="C30" i="157"/>
  <c r="E29" i="157"/>
  <c r="C29" i="157"/>
  <c r="E28" i="157"/>
  <c r="C28" i="157"/>
  <c r="E27" i="157"/>
  <c r="C27" i="157"/>
  <c r="E26" i="157"/>
  <c r="C26" i="157"/>
  <c r="E25" i="157"/>
  <c r="C25" i="157"/>
  <c r="E24" i="157"/>
  <c r="C24" i="157"/>
  <c r="E23" i="157"/>
  <c r="C23" i="157"/>
  <c r="E22" i="157"/>
  <c r="C22" i="157"/>
  <c r="E21" i="157"/>
  <c r="C21" i="157"/>
  <c r="E20" i="157"/>
  <c r="C20" i="157"/>
  <c r="E19" i="157"/>
  <c r="C19" i="157"/>
  <c r="E18" i="157"/>
  <c r="C18" i="157"/>
  <c r="E17" i="157"/>
  <c r="C17" i="157"/>
  <c r="E16" i="157"/>
  <c r="C16" i="157"/>
  <c r="E15" i="157"/>
  <c r="C15" i="157"/>
  <c r="E14" i="157"/>
  <c r="C14" i="157"/>
  <c r="E13" i="157"/>
  <c r="C13" i="157"/>
  <c r="E12" i="157"/>
  <c r="C12" i="157"/>
  <c r="E11" i="157"/>
  <c r="C11" i="157"/>
  <c r="E10" i="157"/>
  <c r="C10" i="157"/>
  <c r="E9" i="157"/>
  <c r="C9" i="157"/>
  <c r="B2" i="157"/>
  <c r="B3" i="157" s="1"/>
  <c r="E43" i="156"/>
  <c r="C43" i="156"/>
  <c r="E42" i="156"/>
  <c r="C42" i="156"/>
  <c r="E41" i="156"/>
  <c r="C41" i="156"/>
  <c r="E40" i="156"/>
  <c r="C40" i="156"/>
  <c r="E39" i="156"/>
  <c r="C39" i="156"/>
  <c r="E38" i="156"/>
  <c r="C38" i="156"/>
  <c r="E37" i="156"/>
  <c r="C37" i="156"/>
  <c r="E36" i="156"/>
  <c r="C36" i="156"/>
  <c r="E35" i="156"/>
  <c r="C35" i="156"/>
  <c r="E34" i="156"/>
  <c r="C34" i="156"/>
  <c r="E33" i="156"/>
  <c r="C33" i="156"/>
  <c r="E32" i="156"/>
  <c r="C32" i="156"/>
  <c r="E31" i="156"/>
  <c r="C31" i="156"/>
  <c r="E30" i="156"/>
  <c r="C30" i="156"/>
  <c r="E29" i="156"/>
  <c r="C29" i="156"/>
  <c r="E28" i="156"/>
  <c r="C28" i="156"/>
  <c r="E27" i="156"/>
  <c r="C27" i="156"/>
  <c r="E26" i="156"/>
  <c r="C26" i="156"/>
  <c r="E25" i="156"/>
  <c r="C25" i="156"/>
  <c r="E24" i="156"/>
  <c r="C24" i="156"/>
  <c r="E23" i="156"/>
  <c r="C23" i="156"/>
  <c r="E22" i="156"/>
  <c r="C22" i="156"/>
  <c r="E21" i="156"/>
  <c r="C21" i="156"/>
  <c r="E20" i="156"/>
  <c r="C20" i="156"/>
  <c r="E19" i="156"/>
  <c r="C19" i="156"/>
  <c r="E18" i="156"/>
  <c r="C18" i="156"/>
  <c r="E17" i="156"/>
  <c r="C17" i="156"/>
  <c r="E16" i="156"/>
  <c r="C16" i="156"/>
  <c r="E15" i="156"/>
  <c r="C15" i="156"/>
  <c r="E14" i="156"/>
  <c r="C14" i="156"/>
  <c r="E13" i="156"/>
  <c r="C13" i="156"/>
  <c r="E12" i="156"/>
  <c r="C12" i="156"/>
  <c r="E11" i="156"/>
  <c r="C11" i="156"/>
  <c r="E10" i="156"/>
  <c r="C10" i="156"/>
  <c r="E9" i="156"/>
  <c r="C9" i="156"/>
  <c r="B2" i="156"/>
  <c r="B4" i="156" s="1"/>
  <c r="E43" i="155"/>
  <c r="C43" i="155"/>
  <c r="E42" i="155"/>
  <c r="C42" i="155"/>
  <c r="E41" i="155"/>
  <c r="C41" i="155"/>
  <c r="E40" i="155"/>
  <c r="C40" i="155"/>
  <c r="E39" i="155"/>
  <c r="C39" i="155"/>
  <c r="E38" i="155"/>
  <c r="C38" i="155"/>
  <c r="E37" i="155"/>
  <c r="C37" i="155"/>
  <c r="E36" i="155"/>
  <c r="C36" i="155"/>
  <c r="E35" i="155"/>
  <c r="C35" i="155"/>
  <c r="E34" i="155"/>
  <c r="C34" i="155"/>
  <c r="E33" i="155"/>
  <c r="C33" i="155"/>
  <c r="E32" i="155"/>
  <c r="C32" i="155"/>
  <c r="E31" i="155"/>
  <c r="C31" i="155"/>
  <c r="E30" i="155"/>
  <c r="C30" i="155"/>
  <c r="E29" i="155"/>
  <c r="C29" i="155"/>
  <c r="E28" i="155"/>
  <c r="C28" i="155"/>
  <c r="E27" i="155"/>
  <c r="C27" i="155"/>
  <c r="E26" i="155"/>
  <c r="C26" i="155"/>
  <c r="E25" i="155"/>
  <c r="C25" i="155"/>
  <c r="E24" i="155"/>
  <c r="C24" i="155"/>
  <c r="E23" i="155"/>
  <c r="C23" i="155"/>
  <c r="E22" i="155"/>
  <c r="C22" i="155"/>
  <c r="E21" i="155"/>
  <c r="C21" i="155"/>
  <c r="E20" i="155"/>
  <c r="C20" i="155"/>
  <c r="E19" i="155"/>
  <c r="C19" i="155"/>
  <c r="E18" i="155"/>
  <c r="C18" i="155"/>
  <c r="E17" i="155"/>
  <c r="C17" i="155"/>
  <c r="E16" i="155"/>
  <c r="C16" i="155"/>
  <c r="E15" i="155"/>
  <c r="C15" i="155"/>
  <c r="E14" i="155"/>
  <c r="C14" i="155"/>
  <c r="E13" i="155"/>
  <c r="C13" i="155"/>
  <c r="E12" i="155"/>
  <c r="C12" i="155"/>
  <c r="E11" i="155"/>
  <c r="C11" i="155"/>
  <c r="E10" i="155"/>
  <c r="C10" i="155"/>
  <c r="E9" i="155"/>
  <c r="C9" i="155"/>
  <c r="B2" i="155"/>
  <c r="B3" i="155" s="1"/>
  <c r="E43" i="154"/>
  <c r="C43" i="154"/>
  <c r="E42" i="154"/>
  <c r="C42" i="154"/>
  <c r="E41" i="154"/>
  <c r="C41" i="154"/>
  <c r="E40" i="154"/>
  <c r="C40" i="154"/>
  <c r="E39" i="154"/>
  <c r="C39" i="154"/>
  <c r="E38" i="154"/>
  <c r="C38" i="154"/>
  <c r="E37" i="154"/>
  <c r="C37" i="154"/>
  <c r="E36" i="154"/>
  <c r="C36" i="154"/>
  <c r="E35" i="154"/>
  <c r="C35" i="154"/>
  <c r="E34" i="154"/>
  <c r="C34" i="154"/>
  <c r="E33" i="154"/>
  <c r="C33" i="154"/>
  <c r="E32" i="154"/>
  <c r="C32" i="154"/>
  <c r="E31" i="154"/>
  <c r="C31" i="154"/>
  <c r="E30" i="154"/>
  <c r="C30" i="154"/>
  <c r="E29" i="154"/>
  <c r="C29" i="154"/>
  <c r="E28" i="154"/>
  <c r="C28" i="154"/>
  <c r="E27" i="154"/>
  <c r="C27" i="154"/>
  <c r="E26" i="154"/>
  <c r="C26" i="154"/>
  <c r="E25" i="154"/>
  <c r="C25" i="154"/>
  <c r="E24" i="154"/>
  <c r="C24" i="154"/>
  <c r="E23" i="154"/>
  <c r="C23" i="154"/>
  <c r="E22" i="154"/>
  <c r="C22" i="154"/>
  <c r="E21" i="154"/>
  <c r="C21" i="154"/>
  <c r="E20" i="154"/>
  <c r="C20" i="154"/>
  <c r="E19" i="154"/>
  <c r="C19" i="154"/>
  <c r="E18" i="154"/>
  <c r="C18" i="154"/>
  <c r="E17" i="154"/>
  <c r="C17" i="154"/>
  <c r="E16" i="154"/>
  <c r="C16" i="154"/>
  <c r="E15" i="154"/>
  <c r="C15" i="154"/>
  <c r="E14" i="154"/>
  <c r="C14" i="154"/>
  <c r="E13" i="154"/>
  <c r="C13" i="154"/>
  <c r="E12" i="154"/>
  <c r="C12" i="154"/>
  <c r="E11" i="154"/>
  <c r="C11" i="154"/>
  <c r="E10" i="154"/>
  <c r="C10" i="154"/>
  <c r="E9" i="154"/>
  <c r="C9" i="154"/>
  <c r="B2" i="154"/>
  <c r="B3" i="154" s="1"/>
  <c r="E43" i="153"/>
  <c r="C43" i="153"/>
  <c r="E42" i="153"/>
  <c r="C42" i="153"/>
  <c r="E41" i="153"/>
  <c r="C41" i="153"/>
  <c r="E40" i="153"/>
  <c r="C40" i="153"/>
  <c r="E39" i="153"/>
  <c r="C39" i="153"/>
  <c r="E38" i="153"/>
  <c r="C38" i="153"/>
  <c r="E37" i="153"/>
  <c r="C37" i="153"/>
  <c r="E36" i="153"/>
  <c r="C36" i="153"/>
  <c r="E35" i="153"/>
  <c r="C35" i="153"/>
  <c r="E34" i="153"/>
  <c r="C34" i="153"/>
  <c r="E33" i="153"/>
  <c r="C33" i="153"/>
  <c r="E32" i="153"/>
  <c r="C32" i="153"/>
  <c r="E31" i="153"/>
  <c r="C31" i="153"/>
  <c r="E30" i="153"/>
  <c r="C30" i="153"/>
  <c r="E29" i="153"/>
  <c r="C29" i="153"/>
  <c r="E28" i="153"/>
  <c r="C28" i="153"/>
  <c r="E27" i="153"/>
  <c r="C27" i="153"/>
  <c r="E26" i="153"/>
  <c r="C26" i="153"/>
  <c r="E25" i="153"/>
  <c r="C25" i="153"/>
  <c r="E24" i="153"/>
  <c r="C24" i="153"/>
  <c r="E23" i="153"/>
  <c r="C23" i="153"/>
  <c r="E22" i="153"/>
  <c r="C22" i="153"/>
  <c r="E21" i="153"/>
  <c r="C21" i="153"/>
  <c r="E20" i="153"/>
  <c r="C20" i="153"/>
  <c r="E19" i="153"/>
  <c r="C19" i="153"/>
  <c r="E18" i="153"/>
  <c r="C18" i="153"/>
  <c r="E17" i="153"/>
  <c r="C17" i="153"/>
  <c r="E16" i="153"/>
  <c r="C16" i="153"/>
  <c r="E15" i="153"/>
  <c r="C15" i="153"/>
  <c r="E14" i="153"/>
  <c r="C14" i="153"/>
  <c r="E13" i="153"/>
  <c r="C13" i="153"/>
  <c r="E12" i="153"/>
  <c r="C12" i="153"/>
  <c r="E11" i="153"/>
  <c r="C11" i="153"/>
  <c r="E10" i="153"/>
  <c r="C10" i="153"/>
  <c r="E9" i="153"/>
  <c r="C9" i="153"/>
  <c r="B2" i="153"/>
  <c r="B3" i="153" s="1"/>
  <c r="E43" i="152"/>
  <c r="C43" i="152"/>
  <c r="E42" i="152"/>
  <c r="C42" i="152"/>
  <c r="E41" i="152"/>
  <c r="C41" i="152"/>
  <c r="E40" i="152"/>
  <c r="C40" i="152"/>
  <c r="E39" i="152"/>
  <c r="C39" i="152"/>
  <c r="E38" i="152"/>
  <c r="C38" i="152"/>
  <c r="E37" i="152"/>
  <c r="C37" i="152"/>
  <c r="E36" i="152"/>
  <c r="C36" i="152"/>
  <c r="E35" i="152"/>
  <c r="C35" i="152"/>
  <c r="E34" i="152"/>
  <c r="C34" i="152"/>
  <c r="E33" i="152"/>
  <c r="C33" i="152"/>
  <c r="E32" i="152"/>
  <c r="C32" i="152"/>
  <c r="E31" i="152"/>
  <c r="C31" i="152"/>
  <c r="E30" i="152"/>
  <c r="C30" i="152"/>
  <c r="E29" i="152"/>
  <c r="C29" i="152"/>
  <c r="E28" i="152"/>
  <c r="C28" i="152"/>
  <c r="E27" i="152"/>
  <c r="C27" i="152"/>
  <c r="E26" i="152"/>
  <c r="C26" i="152"/>
  <c r="E25" i="152"/>
  <c r="C25" i="152"/>
  <c r="E24" i="152"/>
  <c r="C24" i="152"/>
  <c r="E23" i="152"/>
  <c r="C23" i="152"/>
  <c r="E22" i="152"/>
  <c r="C22" i="152"/>
  <c r="E21" i="152"/>
  <c r="C21" i="152"/>
  <c r="E20" i="152"/>
  <c r="C20" i="152"/>
  <c r="E19" i="152"/>
  <c r="C19" i="152"/>
  <c r="E18" i="152"/>
  <c r="C18" i="152"/>
  <c r="E17" i="152"/>
  <c r="C17" i="152"/>
  <c r="E16" i="152"/>
  <c r="C16" i="152"/>
  <c r="E15" i="152"/>
  <c r="C15" i="152"/>
  <c r="E14" i="152"/>
  <c r="C14" i="152"/>
  <c r="E13" i="152"/>
  <c r="C13" i="152"/>
  <c r="E12" i="152"/>
  <c r="C12" i="152"/>
  <c r="E11" i="152"/>
  <c r="C11" i="152"/>
  <c r="E10" i="152"/>
  <c r="C10" i="152"/>
  <c r="E9" i="152"/>
  <c r="C9" i="152"/>
  <c r="B2" i="152"/>
  <c r="B3" i="152" s="1"/>
  <c r="E43" i="151"/>
  <c r="C43" i="151"/>
  <c r="E42" i="151"/>
  <c r="C42" i="151"/>
  <c r="E41" i="151"/>
  <c r="C41" i="151"/>
  <c r="E40" i="151"/>
  <c r="C40" i="151"/>
  <c r="E39" i="151"/>
  <c r="C39" i="151"/>
  <c r="E38" i="151"/>
  <c r="C38" i="151"/>
  <c r="E37" i="151"/>
  <c r="C37" i="151"/>
  <c r="E36" i="151"/>
  <c r="C36" i="151"/>
  <c r="E35" i="151"/>
  <c r="C35" i="151"/>
  <c r="E34" i="151"/>
  <c r="C34" i="151"/>
  <c r="E33" i="151"/>
  <c r="C33" i="151"/>
  <c r="E32" i="151"/>
  <c r="C32" i="151"/>
  <c r="E31" i="151"/>
  <c r="C31" i="151"/>
  <c r="E30" i="151"/>
  <c r="C30" i="151"/>
  <c r="E29" i="151"/>
  <c r="C29" i="151"/>
  <c r="E28" i="151"/>
  <c r="C28" i="151"/>
  <c r="E27" i="151"/>
  <c r="C27" i="151"/>
  <c r="E26" i="151"/>
  <c r="C26" i="151"/>
  <c r="E25" i="151"/>
  <c r="C25" i="151"/>
  <c r="E24" i="151"/>
  <c r="C24" i="151"/>
  <c r="E23" i="151"/>
  <c r="C23" i="151"/>
  <c r="E22" i="151"/>
  <c r="C22" i="151"/>
  <c r="E21" i="151"/>
  <c r="C21" i="151"/>
  <c r="E20" i="151"/>
  <c r="C20" i="151"/>
  <c r="E19" i="151"/>
  <c r="C19" i="151"/>
  <c r="E18" i="151"/>
  <c r="C18" i="151"/>
  <c r="E17" i="151"/>
  <c r="C17" i="151"/>
  <c r="E16" i="151"/>
  <c r="C16" i="151"/>
  <c r="E15" i="151"/>
  <c r="C15" i="151"/>
  <c r="E14" i="151"/>
  <c r="C14" i="151"/>
  <c r="E13" i="151"/>
  <c r="C13" i="151"/>
  <c r="E12" i="151"/>
  <c r="C12" i="151"/>
  <c r="E11" i="151"/>
  <c r="C11" i="151"/>
  <c r="E10" i="151"/>
  <c r="C10" i="151"/>
  <c r="E9" i="151"/>
  <c r="C9" i="151"/>
  <c r="B2" i="151"/>
  <c r="B5" i="151" s="1"/>
  <c r="E43" i="150"/>
  <c r="C43" i="150"/>
  <c r="E42" i="150"/>
  <c r="C42" i="150"/>
  <c r="E41" i="150"/>
  <c r="C41" i="150"/>
  <c r="E40" i="150"/>
  <c r="C40" i="150"/>
  <c r="E39" i="150"/>
  <c r="C39" i="150"/>
  <c r="E38" i="150"/>
  <c r="C38" i="150"/>
  <c r="E37" i="150"/>
  <c r="C37" i="150"/>
  <c r="E36" i="150"/>
  <c r="C36" i="150"/>
  <c r="E35" i="150"/>
  <c r="C35" i="150"/>
  <c r="E34" i="150"/>
  <c r="C34" i="150"/>
  <c r="E33" i="150"/>
  <c r="C33" i="150"/>
  <c r="E32" i="150"/>
  <c r="C32" i="150"/>
  <c r="E31" i="150"/>
  <c r="C31" i="150"/>
  <c r="E30" i="150"/>
  <c r="C30" i="150"/>
  <c r="E29" i="150"/>
  <c r="C29" i="150"/>
  <c r="E28" i="150"/>
  <c r="C28" i="150"/>
  <c r="E27" i="150"/>
  <c r="C27" i="150"/>
  <c r="E26" i="150"/>
  <c r="C26" i="150"/>
  <c r="E25" i="150"/>
  <c r="C25" i="150"/>
  <c r="E24" i="150"/>
  <c r="C24" i="150"/>
  <c r="E23" i="150"/>
  <c r="C23" i="150"/>
  <c r="E22" i="150"/>
  <c r="C22" i="150"/>
  <c r="E21" i="150"/>
  <c r="C21" i="150"/>
  <c r="E20" i="150"/>
  <c r="C20" i="150"/>
  <c r="E19" i="150"/>
  <c r="C19" i="150"/>
  <c r="E18" i="150"/>
  <c r="C18" i="150"/>
  <c r="E17" i="150"/>
  <c r="C17" i="150"/>
  <c r="E16" i="150"/>
  <c r="C16" i="150"/>
  <c r="E15" i="150"/>
  <c r="C15" i="150"/>
  <c r="E14" i="150"/>
  <c r="C14" i="150"/>
  <c r="E13" i="150"/>
  <c r="C13" i="150"/>
  <c r="E12" i="150"/>
  <c r="C12" i="150"/>
  <c r="E11" i="150"/>
  <c r="C11" i="150"/>
  <c r="E10" i="150"/>
  <c r="C10" i="150"/>
  <c r="E9" i="150"/>
  <c r="C9" i="150"/>
  <c r="B2" i="150"/>
  <c r="B3" i="150" s="1"/>
  <c r="E43" i="149"/>
  <c r="C43" i="149"/>
  <c r="E42" i="149"/>
  <c r="C42" i="149"/>
  <c r="E41" i="149"/>
  <c r="C41" i="149"/>
  <c r="E40" i="149"/>
  <c r="C40" i="149"/>
  <c r="E39" i="149"/>
  <c r="C39" i="149"/>
  <c r="E38" i="149"/>
  <c r="C38" i="149"/>
  <c r="E37" i="149"/>
  <c r="C37" i="149"/>
  <c r="E36" i="149"/>
  <c r="C36" i="149"/>
  <c r="E35" i="149"/>
  <c r="C35" i="149"/>
  <c r="E34" i="149"/>
  <c r="C34" i="149"/>
  <c r="E33" i="149"/>
  <c r="C33" i="149"/>
  <c r="E32" i="149"/>
  <c r="C32" i="149"/>
  <c r="E31" i="149"/>
  <c r="C31" i="149"/>
  <c r="E30" i="149"/>
  <c r="C30" i="149"/>
  <c r="E29" i="149"/>
  <c r="C29" i="149"/>
  <c r="E28" i="149"/>
  <c r="C28" i="149"/>
  <c r="E27" i="149"/>
  <c r="C27" i="149"/>
  <c r="E26" i="149"/>
  <c r="C26" i="149"/>
  <c r="E25" i="149"/>
  <c r="C25" i="149"/>
  <c r="E24" i="149"/>
  <c r="C24" i="149"/>
  <c r="E23" i="149"/>
  <c r="C23" i="149"/>
  <c r="E22" i="149"/>
  <c r="C22" i="149"/>
  <c r="E21" i="149"/>
  <c r="C21" i="149"/>
  <c r="E20" i="149"/>
  <c r="C20" i="149"/>
  <c r="E19" i="149"/>
  <c r="C19" i="149"/>
  <c r="E18" i="149"/>
  <c r="C18" i="149"/>
  <c r="E17" i="149"/>
  <c r="C17" i="149"/>
  <c r="E16" i="149"/>
  <c r="C16" i="149"/>
  <c r="E15" i="149"/>
  <c r="C15" i="149"/>
  <c r="E14" i="149"/>
  <c r="C14" i="149"/>
  <c r="E13" i="149"/>
  <c r="C13" i="149"/>
  <c r="E12" i="149"/>
  <c r="C12" i="149"/>
  <c r="E11" i="149"/>
  <c r="C11" i="149"/>
  <c r="E10" i="149"/>
  <c r="C10" i="149"/>
  <c r="E9" i="149"/>
  <c r="C9" i="149"/>
  <c r="B2" i="149"/>
  <c r="B3" i="149" s="1"/>
  <c r="E43" i="148"/>
  <c r="C43" i="148"/>
  <c r="E42" i="148"/>
  <c r="C42" i="148"/>
  <c r="E41" i="148"/>
  <c r="C41" i="148"/>
  <c r="E40" i="148"/>
  <c r="C40" i="148"/>
  <c r="E39" i="148"/>
  <c r="C39" i="148"/>
  <c r="E38" i="148"/>
  <c r="C38" i="148"/>
  <c r="E37" i="148"/>
  <c r="C37" i="148"/>
  <c r="E36" i="148"/>
  <c r="C36" i="148"/>
  <c r="E35" i="148"/>
  <c r="C35" i="148"/>
  <c r="E34" i="148"/>
  <c r="C34" i="148"/>
  <c r="E33" i="148"/>
  <c r="C33" i="148"/>
  <c r="E32" i="148"/>
  <c r="C32" i="148"/>
  <c r="E31" i="148"/>
  <c r="C31" i="148"/>
  <c r="E30" i="148"/>
  <c r="C30" i="148"/>
  <c r="E29" i="148"/>
  <c r="C29" i="148"/>
  <c r="E28" i="148"/>
  <c r="C28" i="148"/>
  <c r="E27" i="148"/>
  <c r="C27" i="148"/>
  <c r="E26" i="148"/>
  <c r="C26" i="148"/>
  <c r="E25" i="148"/>
  <c r="C25" i="148"/>
  <c r="E24" i="148"/>
  <c r="C24" i="148"/>
  <c r="E23" i="148"/>
  <c r="C23" i="148"/>
  <c r="E22" i="148"/>
  <c r="C22" i="148"/>
  <c r="E21" i="148"/>
  <c r="C21" i="148"/>
  <c r="E20" i="148"/>
  <c r="C20" i="148"/>
  <c r="E19" i="148"/>
  <c r="C19" i="148"/>
  <c r="E18" i="148"/>
  <c r="C18" i="148"/>
  <c r="E17" i="148"/>
  <c r="C17" i="148"/>
  <c r="E16" i="148"/>
  <c r="C16" i="148"/>
  <c r="E15" i="148"/>
  <c r="C15" i="148"/>
  <c r="E14" i="148"/>
  <c r="C14" i="148"/>
  <c r="E13" i="148"/>
  <c r="C13" i="148"/>
  <c r="E12" i="148"/>
  <c r="C12" i="148"/>
  <c r="E11" i="148"/>
  <c r="C11" i="148"/>
  <c r="E10" i="148"/>
  <c r="C10" i="148"/>
  <c r="E9" i="148"/>
  <c r="C9" i="148"/>
  <c r="B2" i="148"/>
  <c r="B3" i="148" s="1"/>
  <c r="E43" i="147"/>
  <c r="C43" i="147"/>
  <c r="E42" i="147"/>
  <c r="C42" i="147"/>
  <c r="E41" i="147"/>
  <c r="C41" i="147"/>
  <c r="E40" i="147"/>
  <c r="C40" i="147"/>
  <c r="E39" i="147"/>
  <c r="C39" i="147"/>
  <c r="E38" i="147"/>
  <c r="C38" i="147"/>
  <c r="E37" i="147"/>
  <c r="C37" i="147"/>
  <c r="E36" i="147"/>
  <c r="C36" i="147"/>
  <c r="E35" i="147"/>
  <c r="C35" i="147"/>
  <c r="E34" i="147"/>
  <c r="C34" i="147"/>
  <c r="E33" i="147"/>
  <c r="C33" i="147"/>
  <c r="E32" i="147"/>
  <c r="C32" i="147"/>
  <c r="E31" i="147"/>
  <c r="C31" i="147"/>
  <c r="E30" i="147"/>
  <c r="C30" i="147"/>
  <c r="E29" i="147"/>
  <c r="C29" i="147"/>
  <c r="E28" i="147"/>
  <c r="C28" i="147"/>
  <c r="E27" i="147"/>
  <c r="C27" i="147"/>
  <c r="E26" i="147"/>
  <c r="C26" i="147"/>
  <c r="E25" i="147"/>
  <c r="C25" i="147"/>
  <c r="E24" i="147"/>
  <c r="C24" i="147"/>
  <c r="E23" i="147"/>
  <c r="C23" i="147"/>
  <c r="E22" i="147"/>
  <c r="C22" i="147"/>
  <c r="E21" i="147"/>
  <c r="C21" i="147"/>
  <c r="E20" i="147"/>
  <c r="C20" i="147"/>
  <c r="E19" i="147"/>
  <c r="C19" i="147"/>
  <c r="E18" i="147"/>
  <c r="C18" i="147"/>
  <c r="E17" i="147"/>
  <c r="C17" i="147"/>
  <c r="E16" i="147"/>
  <c r="C16" i="147"/>
  <c r="E15" i="147"/>
  <c r="C15" i="147"/>
  <c r="E14" i="147"/>
  <c r="C14" i="147"/>
  <c r="E13" i="147"/>
  <c r="C13" i="147"/>
  <c r="E12" i="147"/>
  <c r="C12" i="147"/>
  <c r="E11" i="147"/>
  <c r="C11" i="147"/>
  <c r="E10" i="147"/>
  <c r="C10" i="147"/>
  <c r="E9" i="147"/>
  <c r="C9" i="147"/>
  <c r="B2" i="147"/>
  <c r="B3" i="147" s="1"/>
  <c r="E43" i="146"/>
  <c r="C43" i="146"/>
  <c r="E42" i="146"/>
  <c r="C42" i="146"/>
  <c r="E41" i="146"/>
  <c r="C41" i="146"/>
  <c r="E40" i="146"/>
  <c r="C40" i="146"/>
  <c r="E39" i="146"/>
  <c r="C39" i="146"/>
  <c r="E38" i="146"/>
  <c r="C38" i="146"/>
  <c r="E37" i="146"/>
  <c r="C37" i="146"/>
  <c r="E36" i="146"/>
  <c r="C36" i="146"/>
  <c r="E35" i="146"/>
  <c r="C35" i="146"/>
  <c r="E34" i="146"/>
  <c r="C34" i="146"/>
  <c r="E33" i="146"/>
  <c r="C33" i="146"/>
  <c r="E32" i="146"/>
  <c r="C32" i="146"/>
  <c r="E31" i="146"/>
  <c r="C31" i="146"/>
  <c r="E30" i="146"/>
  <c r="C30" i="146"/>
  <c r="E29" i="146"/>
  <c r="C29" i="146"/>
  <c r="E28" i="146"/>
  <c r="C28" i="146"/>
  <c r="E27" i="146"/>
  <c r="C27" i="146"/>
  <c r="E26" i="146"/>
  <c r="C26" i="146"/>
  <c r="E25" i="146"/>
  <c r="C25" i="146"/>
  <c r="E24" i="146"/>
  <c r="C24" i="146"/>
  <c r="E23" i="146"/>
  <c r="C23" i="146"/>
  <c r="E22" i="146"/>
  <c r="C22" i="146"/>
  <c r="E21" i="146"/>
  <c r="C21" i="146"/>
  <c r="E20" i="146"/>
  <c r="C20" i="146"/>
  <c r="E19" i="146"/>
  <c r="C19" i="146"/>
  <c r="E18" i="146"/>
  <c r="C18" i="146"/>
  <c r="E17" i="146"/>
  <c r="C17" i="146"/>
  <c r="E16" i="146"/>
  <c r="C16" i="146"/>
  <c r="E15" i="146"/>
  <c r="C15" i="146"/>
  <c r="E14" i="146"/>
  <c r="C14" i="146"/>
  <c r="E13" i="146"/>
  <c r="C13" i="146"/>
  <c r="E12" i="146"/>
  <c r="C12" i="146"/>
  <c r="E11" i="146"/>
  <c r="C11" i="146"/>
  <c r="E10" i="146"/>
  <c r="C10" i="146"/>
  <c r="E9" i="146"/>
  <c r="C9" i="146"/>
  <c r="B2" i="146"/>
  <c r="B3" i="146" s="1"/>
  <c r="E43" i="145"/>
  <c r="C43" i="145"/>
  <c r="E42" i="145"/>
  <c r="C42" i="145"/>
  <c r="E41" i="145"/>
  <c r="C41" i="145"/>
  <c r="E40" i="145"/>
  <c r="C40" i="145"/>
  <c r="E39" i="145"/>
  <c r="C39" i="145"/>
  <c r="E38" i="145"/>
  <c r="C38" i="145"/>
  <c r="E37" i="145"/>
  <c r="C37" i="145"/>
  <c r="E36" i="145"/>
  <c r="C36" i="145"/>
  <c r="E35" i="145"/>
  <c r="C35" i="145"/>
  <c r="E34" i="145"/>
  <c r="C34" i="145"/>
  <c r="E33" i="145"/>
  <c r="C33" i="145"/>
  <c r="E32" i="145"/>
  <c r="C32" i="145"/>
  <c r="E31" i="145"/>
  <c r="C31" i="145"/>
  <c r="E30" i="145"/>
  <c r="C30" i="145"/>
  <c r="E29" i="145"/>
  <c r="C29" i="145"/>
  <c r="E28" i="145"/>
  <c r="C28" i="145"/>
  <c r="E27" i="145"/>
  <c r="C27" i="145"/>
  <c r="E26" i="145"/>
  <c r="C26" i="145"/>
  <c r="E25" i="145"/>
  <c r="C25" i="145"/>
  <c r="E24" i="145"/>
  <c r="C24" i="145"/>
  <c r="E23" i="145"/>
  <c r="C23" i="145"/>
  <c r="E22" i="145"/>
  <c r="C22" i="145"/>
  <c r="E21" i="145"/>
  <c r="C21" i="145"/>
  <c r="E20" i="145"/>
  <c r="C20" i="145"/>
  <c r="E19" i="145"/>
  <c r="C19" i="145"/>
  <c r="E18" i="145"/>
  <c r="C18" i="145"/>
  <c r="E17" i="145"/>
  <c r="C17" i="145"/>
  <c r="E16" i="145"/>
  <c r="C16" i="145"/>
  <c r="E15" i="145"/>
  <c r="C15" i="145"/>
  <c r="E14" i="145"/>
  <c r="C14" i="145"/>
  <c r="E13" i="145"/>
  <c r="C13" i="145"/>
  <c r="E12" i="145"/>
  <c r="C12" i="145"/>
  <c r="E11" i="145"/>
  <c r="C11" i="145"/>
  <c r="E10" i="145"/>
  <c r="C10" i="145"/>
  <c r="E9" i="145"/>
  <c r="C9" i="145"/>
  <c r="B2" i="145"/>
  <c r="B3" i="145" s="1"/>
  <c r="E43" i="144"/>
  <c r="C43" i="144"/>
  <c r="E42" i="144"/>
  <c r="C42" i="144"/>
  <c r="E41" i="144"/>
  <c r="C41" i="144"/>
  <c r="E40" i="144"/>
  <c r="C40" i="144"/>
  <c r="E39" i="144"/>
  <c r="C39" i="144"/>
  <c r="E38" i="144"/>
  <c r="C38" i="144"/>
  <c r="E37" i="144"/>
  <c r="C37" i="144"/>
  <c r="E36" i="144"/>
  <c r="C36" i="144"/>
  <c r="E35" i="144"/>
  <c r="C35" i="144"/>
  <c r="E34" i="144"/>
  <c r="C34" i="144"/>
  <c r="E33" i="144"/>
  <c r="C33" i="144"/>
  <c r="E32" i="144"/>
  <c r="C32" i="144"/>
  <c r="E31" i="144"/>
  <c r="C31" i="144"/>
  <c r="E30" i="144"/>
  <c r="C30" i="144"/>
  <c r="E29" i="144"/>
  <c r="C29" i="144"/>
  <c r="E28" i="144"/>
  <c r="C28" i="144"/>
  <c r="E27" i="144"/>
  <c r="C27" i="144"/>
  <c r="E26" i="144"/>
  <c r="C26" i="144"/>
  <c r="E25" i="144"/>
  <c r="C25" i="144"/>
  <c r="E24" i="144"/>
  <c r="C24" i="144"/>
  <c r="E23" i="144"/>
  <c r="C23" i="144"/>
  <c r="E22" i="144"/>
  <c r="C22" i="144"/>
  <c r="E21" i="144"/>
  <c r="C21" i="144"/>
  <c r="E20" i="144"/>
  <c r="C20" i="144"/>
  <c r="E19" i="144"/>
  <c r="C19" i="144"/>
  <c r="E18" i="144"/>
  <c r="C18" i="144"/>
  <c r="E17" i="144"/>
  <c r="C17" i="144"/>
  <c r="E16" i="144"/>
  <c r="C16" i="144"/>
  <c r="E15" i="144"/>
  <c r="C15" i="144"/>
  <c r="E14" i="144"/>
  <c r="C14" i="144"/>
  <c r="E13" i="144"/>
  <c r="C13" i="144"/>
  <c r="E12" i="144"/>
  <c r="C12" i="144"/>
  <c r="E11" i="144"/>
  <c r="C11" i="144"/>
  <c r="E10" i="144"/>
  <c r="C10" i="144"/>
  <c r="E9" i="144"/>
  <c r="C9" i="144"/>
  <c r="B2" i="144"/>
  <c r="B3" i="144" s="1"/>
  <c r="E43" i="143"/>
  <c r="C43" i="143"/>
  <c r="E42" i="143"/>
  <c r="C42" i="143"/>
  <c r="E41" i="143"/>
  <c r="C41" i="143"/>
  <c r="E40" i="143"/>
  <c r="C40" i="143"/>
  <c r="E39" i="143"/>
  <c r="C39" i="143"/>
  <c r="E38" i="143"/>
  <c r="C38" i="143"/>
  <c r="E37" i="143"/>
  <c r="C37" i="143"/>
  <c r="E36" i="143"/>
  <c r="C36" i="143"/>
  <c r="E35" i="143"/>
  <c r="C35" i="143"/>
  <c r="E34" i="143"/>
  <c r="C34" i="143"/>
  <c r="E33" i="143"/>
  <c r="C33" i="143"/>
  <c r="E32" i="143"/>
  <c r="C32" i="143"/>
  <c r="E31" i="143"/>
  <c r="C31" i="143"/>
  <c r="E30" i="143"/>
  <c r="C30" i="143"/>
  <c r="E29" i="143"/>
  <c r="C29" i="143"/>
  <c r="E28" i="143"/>
  <c r="C28" i="143"/>
  <c r="E27" i="143"/>
  <c r="C27" i="143"/>
  <c r="E26" i="143"/>
  <c r="C26" i="143"/>
  <c r="E25" i="143"/>
  <c r="C25" i="143"/>
  <c r="E24" i="143"/>
  <c r="C24" i="143"/>
  <c r="E23" i="143"/>
  <c r="C23" i="143"/>
  <c r="E22" i="143"/>
  <c r="C22" i="143"/>
  <c r="E21" i="143"/>
  <c r="C21" i="143"/>
  <c r="E20" i="143"/>
  <c r="C20" i="143"/>
  <c r="E19" i="143"/>
  <c r="C19" i="143"/>
  <c r="E18" i="143"/>
  <c r="C18" i="143"/>
  <c r="E17" i="143"/>
  <c r="C17" i="143"/>
  <c r="E16" i="143"/>
  <c r="C16" i="143"/>
  <c r="E15" i="143"/>
  <c r="C15" i="143"/>
  <c r="E14" i="143"/>
  <c r="C14" i="143"/>
  <c r="E13" i="143"/>
  <c r="C13" i="143"/>
  <c r="E12" i="143"/>
  <c r="C12" i="143"/>
  <c r="E11" i="143"/>
  <c r="C11" i="143"/>
  <c r="E10" i="143"/>
  <c r="C10" i="143"/>
  <c r="E9" i="143"/>
  <c r="C9" i="143"/>
  <c r="B2" i="143"/>
  <c r="B3" i="143" s="1"/>
  <c r="E43" i="142"/>
  <c r="C43" i="142"/>
  <c r="E42" i="142"/>
  <c r="C42" i="142"/>
  <c r="E41" i="142"/>
  <c r="C41" i="142"/>
  <c r="E40" i="142"/>
  <c r="C40" i="142"/>
  <c r="E39" i="142"/>
  <c r="C39" i="142"/>
  <c r="E38" i="142"/>
  <c r="C38" i="142"/>
  <c r="E37" i="142"/>
  <c r="C37" i="142"/>
  <c r="E36" i="142"/>
  <c r="C36" i="142"/>
  <c r="E35" i="142"/>
  <c r="C35" i="142"/>
  <c r="E34" i="142"/>
  <c r="C34" i="142"/>
  <c r="E33" i="142"/>
  <c r="C33" i="142"/>
  <c r="E32" i="142"/>
  <c r="C32" i="142"/>
  <c r="E31" i="142"/>
  <c r="C31" i="142"/>
  <c r="E30" i="142"/>
  <c r="C30" i="142"/>
  <c r="E29" i="142"/>
  <c r="C29" i="142"/>
  <c r="E28" i="142"/>
  <c r="C28" i="142"/>
  <c r="E27" i="142"/>
  <c r="C27" i="142"/>
  <c r="E26" i="142"/>
  <c r="C26" i="142"/>
  <c r="E25" i="142"/>
  <c r="C25" i="142"/>
  <c r="E24" i="142"/>
  <c r="C24" i="142"/>
  <c r="E23" i="142"/>
  <c r="C23" i="142"/>
  <c r="E22" i="142"/>
  <c r="C22" i="142"/>
  <c r="E21" i="142"/>
  <c r="C21" i="142"/>
  <c r="E20" i="142"/>
  <c r="C20" i="142"/>
  <c r="E19" i="142"/>
  <c r="C19" i="142"/>
  <c r="E18" i="142"/>
  <c r="C18" i="142"/>
  <c r="E17" i="142"/>
  <c r="C17" i="142"/>
  <c r="E16" i="142"/>
  <c r="C16" i="142"/>
  <c r="E15" i="142"/>
  <c r="C15" i="142"/>
  <c r="E14" i="142"/>
  <c r="C14" i="142"/>
  <c r="E13" i="142"/>
  <c r="C13" i="142"/>
  <c r="E12" i="142"/>
  <c r="C12" i="142"/>
  <c r="E11" i="142"/>
  <c r="C11" i="142"/>
  <c r="E10" i="142"/>
  <c r="C10" i="142"/>
  <c r="E9" i="142"/>
  <c r="C9" i="142"/>
  <c r="B2" i="142"/>
  <c r="B3" i="142" s="1"/>
  <c r="E43" i="141"/>
  <c r="C43" i="141"/>
  <c r="E42" i="141"/>
  <c r="C42" i="141"/>
  <c r="E41" i="141"/>
  <c r="C41" i="141"/>
  <c r="E40" i="141"/>
  <c r="C40" i="141"/>
  <c r="E39" i="141"/>
  <c r="C39" i="141"/>
  <c r="E38" i="141"/>
  <c r="C38" i="141"/>
  <c r="E37" i="141"/>
  <c r="C37" i="141"/>
  <c r="E36" i="141"/>
  <c r="C36" i="141"/>
  <c r="E35" i="141"/>
  <c r="C35" i="141"/>
  <c r="E34" i="141"/>
  <c r="C34" i="141"/>
  <c r="E33" i="141"/>
  <c r="C33" i="141"/>
  <c r="E32" i="141"/>
  <c r="C32" i="141"/>
  <c r="E31" i="141"/>
  <c r="C31" i="141"/>
  <c r="E30" i="141"/>
  <c r="C30" i="141"/>
  <c r="E29" i="141"/>
  <c r="C29" i="141"/>
  <c r="E28" i="141"/>
  <c r="C28" i="141"/>
  <c r="E27" i="141"/>
  <c r="C27" i="141"/>
  <c r="E26" i="141"/>
  <c r="C26" i="141"/>
  <c r="E25" i="141"/>
  <c r="C25" i="141"/>
  <c r="E24" i="141"/>
  <c r="C24" i="141"/>
  <c r="E23" i="141"/>
  <c r="C23" i="141"/>
  <c r="E22" i="141"/>
  <c r="C22" i="141"/>
  <c r="E21" i="141"/>
  <c r="C21" i="141"/>
  <c r="E20" i="141"/>
  <c r="C20" i="141"/>
  <c r="E19" i="141"/>
  <c r="C19" i="141"/>
  <c r="E18" i="141"/>
  <c r="C18" i="141"/>
  <c r="E17" i="141"/>
  <c r="C17" i="141"/>
  <c r="E16" i="141"/>
  <c r="C16" i="141"/>
  <c r="E15" i="141"/>
  <c r="C15" i="141"/>
  <c r="E14" i="141"/>
  <c r="C14" i="141"/>
  <c r="E13" i="141"/>
  <c r="C13" i="141"/>
  <c r="E12" i="141"/>
  <c r="C12" i="141"/>
  <c r="E11" i="141"/>
  <c r="C11" i="141"/>
  <c r="E10" i="141"/>
  <c r="C10" i="141"/>
  <c r="E9" i="141"/>
  <c r="C9" i="141"/>
  <c r="B2" i="141"/>
  <c r="B3" i="141" s="1"/>
  <c r="E43" i="140"/>
  <c r="C43" i="140"/>
  <c r="E42" i="140"/>
  <c r="C42" i="140"/>
  <c r="E41" i="140"/>
  <c r="C41" i="140"/>
  <c r="E40" i="140"/>
  <c r="C40" i="140"/>
  <c r="E39" i="140"/>
  <c r="C39" i="140"/>
  <c r="E38" i="140"/>
  <c r="C38" i="140"/>
  <c r="E37" i="140"/>
  <c r="C37" i="140"/>
  <c r="E36" i="140"/>
  <c r="C36" i="140"/>
  <c r="E35" i="140"/>
  <c r="C35" i="140"/>
  <c r="E34" i="140"/>
  <c r="C34" i="140"/>
  <c r="E33" i="140"/>
  <c r="C33" i="140"/>
  <c r="E32" i="140"/>
  <c r="C32" i="140"/>
  <c r="E31" i="140"/>
  <c r="C31" i="140"/>
  <c r="E30" i="140"/>
  <c r="C30" i="140"/>
  <c r="E29" i="140"/>
  <c r="C29" i="140"/>
  <c r="E28" i="140"/>
  <c r="C28" i="140"/>
  <c r="E27" i="140"/>
  <c r="C27" i="140"/>
  <c r="E26" i="140"/>
  <c r="C26" i="140"/>
  <c r="E25" i="140"/>
  <c r="C25" i="140"/>
  <c r="E24" i="140"/>
  <c r="C24" i="140"/>
  <c r="E23" i="140"/>
  <c r="C23" i="140"/>
  <c r="E22" i="140"/>
  <c r="C22" i="140"/>
  <c r="E21" i="140"/>
  <c r="C21" i="140"/>
  <c r="E20" i="140"/>
  <c r="C20" i="140"/>
  <c r="E19" i="140"/>
  <c r="C19" i="140"/>
  <c r="E18" i="140"/>
  <c r="C18" i="140"/>
  <c r="E17" i="140"/>
  <c r="C17" i="140"/>
  <c r="E16" i="140"/>
  <c r="C16" i="140"/>
  <c r="E15" i="140"/>
  <c r="C15" i="140"/>
  <c r="E14" i="140"/>
  <c r="C14" i="140"/>
  <c r="E13" i="140"/>
  <c r="C13" i="140"/>
  <c r="E12" i="140"/>
  <c r="C12" i="140"/>
  <c r="E11" i="140"/>
  <c r="C11" i="140"/>
  <c r="E10" i="140"/>
  <c r="C10" i="140"/>
  <c r="E9" i="140"/>
  <c r="C9" i="140"/>
  <c r="B2" i="140"/>
  <c r="B3" i="140" s="1"/>
  <c r="E43" i="139"/>
  <c r="C43" i="139"/>
  <c r="E42" i="139"/>
  <c r="C42" i="139"/>
  <c r="E41" i="139"/>
  <c r="C41" i="139"/>
  <c r="E40" i="139"/>
  <c r="C40" i="139"/>
  <c r="E39" i="139"/>
  <c r="C39" i="139"/>
  <c r="E38" i="139"/>
  <c r="C38" i="139"/>
  <c r="E37" i="139"/>
  <c r="C37" i="139"/>
  <c r="E36" i="139"/>
  <c r="C36" i="139"/>
  <c r="E35" i="139"/>
  <c r="C35" i="139"/>
  <c r="E34" i="139"/>
  <c r="C34" i="139"/>
  <c r="E33" i="139"/>
  <c r="C33" i="139"/>
  <c r="E32" i="139"/>
  <c r="C32" i="139"/>
  <c r="E31" i="139"/>
  <c r="C31" i="139"/>
  <c r="E30" i="139"/>
  <c r="C30" i="139"/>
  <c r="E29" i="139"/>
  <c r="C29" i="139"/>
  <c r="E28" i="139"/>
  <c r="C28" i="139"/>
  <c r="E27" i="139"/>
  <c r="C27" i="139"/>
  <c r="E26" i="139"/>
  <c r="C26" i="139"/>
  <c r="E25" i="139"/>
  <c r="C25" i="139"/>
  <c r="E24" i="139"/>
  <c r="C24" i="139"/>
  <c r="E23" i="139"/>
  <c r="C23" i="139"/>
  <c r="E22" i="139"/>
  <c r="C22" i="139"/>
  <c r="E21" i="139"/>
  <c r="C21" i="139"/>
  <c r="E20" i="139"/>
  <c r="C20" i="139"/>
  <c r="E19" i="139"/>
  <c r="C19" i="139"/>
  <c r="E18" i="139"/>
  <c r="C18" i="139"/>
  <c r="E17" i="139"/>
  <c r="C17" i="139"/>
  <c r="E16" i="139"/>
  <c r="C16" i="139"/>
  <c r="E15" i="139"/>
  <c r="C15" i="139"/>
  <c r="E14" i="139"/>
  <c r="C14" i="139"/>
  <c r="E13" i="139"/>
  <c r="C13" i="139"/>
  <c r="E12" i="139"/>
  <c r="C12" i="139"/>
  <c r="E11" i="139"/>
  <c r="C11" i="139"/>
  <c r="E10" i="139"/>
  <c r="C10" i="139"/>
  <c r="E9" i="139"/>
  <c r="C9" i="139"/>
  <c r="B2" i="139"/>
  <c r="B3" i="139" s="1"/>
  <c r="E43" i="138"/>
  <c r="C43" i="138"/>
  <c r="E42" i="138"/>
  <c r="C42" i="138"/>
  <c r="E41" i="138"/>
  <c r="C41" i="138"/>
  <c r="E40" i="138"/>
  <c r="C40" i="138"/>
  <c r="E39" i="138"/>
  <c r="C39" i="138"/>
  <c r="E38" i="138"/>
  <c r="C38" i="138"/>
  <c r="E37" i="138"/>
  <c r="C37" i="138"/>
  <c r="E36" i="138"/>
  <c r="C36" i="138"/>
  <c r="E35" i="138"/>
  <c r="C35" i="138"/>
  <c r="E34" i="138"/>
  <c r="C34" i="138"/>
  <c r="E33" i="138"/>
  <c r="C33" i="138"/>
  <c r="E32" i="138"/>
  <c r="C32" i="138"/>
  <c r="E31" i="138"/>
  <c r="C31" i="138"/>
  <c r="E30" i="138"/>
  <c r="C30" i="138"/>
  <c r="E29" i="138"/>
  <c r="C29" i="138"/>
  <c r="E28" i="138"/>
  <c r="C28" i="138"/>
  <c r="E27" i="138"/>
  <c r="C27" i="138"/>
  <c r="E26" i="138"/>
  <c r="C26" i="138"/>
  <c r="E25" i="138"/>
  <c r="C25" i="138"/>
  <c r="E24" i="138"/>
  <c r="C24" i="138"/>
  <c r="E23" i="138"/>
  <c r="C23" i="138"/>
  <c r="E22" i="138"/>
  <c r="C22" i="138"/>
  <c r="E21" i="138"/>
  <c r="C21" i="138"/>
  <c r="E20" i="138"/>
  <c r="C20" i="138"/>
  <c r="E19" i="138"/>
  <c r="C19" i="138"/>
  <c r="E18" i="138"/>
  <c r="C18" i="138"/>
  <c r="E17" i="138"/>
  <c r="C17" i="138"/>
  <c r="E16" i="138"/>
  <c r="C16" i="138"/>
  <c r="E15" i="138"/>
  <c r="C15" i="138"/>
  <c r="E14" i="138"/>
  <c r="C14" i="138"/>
  <c r="E13" i="138"/>
  <c r="C13" i="138"/>
  <c r="E12" i="138"/>
  <c r="C12" i="138"/>
  <c r="E11" i="138"/>
  <c r="C11" i="138"/>
  <c r="E10" i="138"/>
  <c r="C10" i="138"/>
  <c r="E9" i="138"/>
  <c r="C9" i="138"/>
  <c r="B2" i="138"/>
  <c r="B3" i="138" s="1"/>
  <c r="E43" i="137"/>
  <c r="C43" i="137"/>
  <c r="E42" i="137"/>
  <c r="C42" i="137"/>
  <c r="E41" i="137"/>
  <c r="C41" i="137"/>
  <c r="E40" i="137"/>
  <c r="C40" i="137"/>
  <c r="E39" i="137"/>
  <c r="C39" i="137"/>
  <c r="E38" i="137"/>
  <c r="C38" i="137"/>
  <c r="E37" i="137"/>
  <c r="C37" i="137"/>
  <c r="E36" i="137"/>
  <c r="C36" i="137"/>
  <c r="E35" i="137"/>
  <c r="C35" i="137"/>
  <c r="E34" i="137"/>
  <c r="C34" i="137"/>
  <c r="E33" i="137"/>
  <c r="C33" i="137"/>
  <c r="E32" i="137"/>
  <c r="C32" i="137"/>
  <c r="E31" i="137"/>
  <c r="C31" i="137"/>
  <c r="E30" i="137"/>
  <c r="C30" i="137"/>
  <c r="E29" i="137"/>
  <c r="C29" i="137"/>
  <c r="E28" i="137"/>
  <c r="C28" i="137"/>
  <c r="E27" i="137"/>
  <c r="C27" i="137"/>
  <c r="E26" i="137"/>
  <c r="C26" i="137"/>
  <c r="E25" i="137"/>
  <c r="C25" i="137"/>
  <c r="E24" i="137"/>
  <c r="C24" i="137"/>
  <c r="E23" i="137"/>
  <c r="C23" i="137"/>
  <c r="E22" i="137"/>
  <c r="C22" i="137"/>
  <c r="E21" i="137"/>
  <c r="C21" i="137"/>
  <c r="E20" i="137"/>
  <c r="C20" i="137"/>
  <c r="E19" i="137"/>
  <c r="C19" i="137"/>
  <c r="E18" i="137"/>
  <c r="C18" i="137"/>
  <c r="E17" i="137"/>
  <c r="C17" i="137"/>
  <c r="E16" i="137"/>
  <c r="C16" i="137"/>
  <c r="E15" i="137"/>
  <c r="C15" i="137"/>
  <c r="E14" i="137"/>
  <c r="C14" i="137"/>
  <c r="E13" i="137"/>
  <c r="C13" i="137"/>
  <c r="E12" i="137"/>
  <c r="C12" i="137"/>
  <c r="E11" i="137"/>
  <c r="C11" i="137"/>
  <c r="E10" i="137"/>
  <c r="C10" i="137"/>
  <c r="E9" i="137"/>
  <c r="C9" i="137"/>
  <c r="B2" i="137"/>
  <c r="B3" i="137" s="1"/>
  <c r="E43" i="136"/>
  <c r="C43" i="136"/>
  <c r="E42" i="136"/>
  <c r="C42" i="136"/>
  <c r="E41" i="136"/>
  <c r="C41" i="136"/>
  <c r="E40" i="136"/>
  <c r="C40" i="136"/>
  <c r="E39" i="136"/>
  <c r="C39" i="136"/>
  <c r="E38" i="136"/>
  <c r="C38" i="136"/>
  <c r="E37" i="136"/>
  <c r="C37" i="136"/>
  <c r="E36" i="136"/>
  <c r="C36" i="136"/>
  <c r="E35" i="136"/>
  <c r="C35" i="136"/>
  <c r="E34" i="136"/>
  <c r="C34" i="136"/>
  <c r="E33" i="136"/>
  <c r="C33" i="136"/>
  <c r="E32" i="136"/>
  <c r="C32" i="136"/>
  <c r="E31" i="136"/>
  <c r="C31" i="136"/>
  <c r="E30" i="136"/>
  <c r="C30" i="136"/>
  <c r="E29" i="136"/>
  <c r="C29" i="136"/>
  <c r="E28" i="136"/>
  <c r="C28" i="136"/>
  <c r="E27" i="136"/>
  <c r="C27" i="136"/>
  <c r="E26" i="136"/>
  <c r="C26" i="136"/>
  <c r="E25" i="136"/>
  <c r="C25" i="136"/>
  <c r="E24" i="136"/>
  <c r="C24" i="136"/>
  <c r="E23" i="136"/>
  <c r="C23" i="136"/>
  <c r="E22" i="136"/>
  <c r="C22" i="136"/>
  <c r="E21" i="136"/>
  <c r="C21" i="136"/>
  <c r="E20" i="136"/>
  <c r="C20" i="136"/>
  <c r="E19" i="136"/>
  <c r="C19" i="136"/>
  <c r="E18" i="136"/>
  <c r="C18" i="136"/>
  <c r="E17" i="136"/>
  <c r="C17" i="136"/>
  <c r="E16" i="136"/>
  <c r="C16" i="136"/>
  <c r="E15" i="136"/>
  <c r="C15" i="136"/>
  <c r="E14" i="136"/>
  <c r="C14" i="136"/>
  <c r="E13" i="136"/>
  <c r="C13" i="136"/>
  <c r="E12" i="136"/>
  <c r="C12" i="136"/>
  <c r="E11" i="136"/>
  <c r="C11" i="136"/>
  <c r="E10" i="136"/>
  <c r="C10" i="136"/>
  <c r="E9" i="136"/>
  <c r="C9" i="136"/>
  <c r="B2" i="136"/>
  <c r="B3" i="136" s="1"/>
  <c r="E43" i="135"/>
  <c r="C43" i="135"/>
  <c r="E42" i="135"/>
  <c r="C42" i="135"/>
  <c r="E41" i="135"/>
  <c r="C41" i="135"/>
  <c r="E40" i="135"/>
  <c r="C40" i="135"/>
  <c r="E39" i="135"/>
  <c r="C39" i="135"/>
  <c r="E38" i="135"/>
  <c r="C38" i="135"/>
  <c r="E37" i="135"/>
  <c r="C37" i="135"/>
  <c r="E36" i="135"/>
  <c r="C36" i="135"/>
  <c r="E35" i="135"/>
  <c r="C35" i="135"/>
  <c r="E34" i="135"/>
  <c r="C34" i="135"/>
  <c r="E33" i="135"/>
  <c r="C33" i="135"/>
  <c r="E32" i="135"/>
  <c r="C32" i="135"/>
  <c r="E31" i="135"/>
  <c r="C31" i="135"/>
  <c r="E30" i="135"/>
  <c r="C30" i="135"/>
  <c r="E29" i="135"/>
  <c r="C29" i="135"/>
  <c r="E28" i="135"/>
  <c r="C28" i="135"/>
  <c r="E27" i="135"/>
  <c r="C27" i="135"/>
  <c r="E26" i="135"/>
  <c r="C26" i="135"/>
  <c r="E25" i="135"/>
  <c r="C25" i="135"/>
  <c r="E24" i="135"/>
  <c r="C24" i="135"/>
  <c r="E23" i="135"/>
  <c r="C23" i="135"/>
  <c r="E22" i="135"/>
  <c r="C22" i="135"/>
  <c r="E21" i="135"/>
  <c r="C21" i="135"/>
  <c r="E20" i="135"/>
  <c r="C20" i="135"/>
  <c r="E19" i="135"/>
  <c r="C19" i="135"/>
  <c r="E18" i="135"/>
  <c r="C18" i="135"/>
  <c r="E17" i="135"/>
  <c r="C17" i="135"/>
  <c r="E16" i="135"/>
  <c r="C16" i="135"/>
  <c r="E15" i="135"/>
  <c r="C15" i="135"/>
  <c r="E14" i="135"/>
  <c r="C14" i="135"/>
  <c r="E13" i="135"/>
  <c r="C13" i="135"/>
  <c r="E12" i="135"/>
  <c r="C12" i="135"/>
  <c r="E11" i="135"/>
  <c r="C11" i="135"/>
  <c r="E10" i="135"/>
  <c r="C10" i="135"/>
  <c r="E9" i="135"/>
  <c r="C9" i="135"/>
  <c r="B2" i="135"/>
  <c r="B3" i="135" s="1"/>
  <c r="E43" i="134"/>
  <c r="C43" i="134"/>
  <c r="E42" i="134"/>
  <c r="C42" i="134"/>
  <c r="E41" i="134"/>
  <c r="C41" i="134"/>
  <c r="E40" i="134"/>
  <c r="C40" i="134"/>
  <c r="E39" i="134"/>
  <c r="C39" i="134"/>
  <c r="E38" i="134"/>
  <c r="C38" i="134"/>
  <c r="E37" i="134"/>
  <c r="C37" i="134"/>
  <c r="E36" i="134"/>
  <c r="C36" i="134"/>
  <c r="E35" i="134"/>
  <c r="C35" i="134"/>
  <c r="E34" i="134"/>
  <c r="C34" i="134"/>
  <c r="E33" i="134"/>
  <c r="C33" i="134"/>
  <c r="E32" i="134"/>
  <c r="C32" i="134"/>
  <c r="E31" i="134"/>
  <c r="C31" i="134"/>
  <c r="E30" i="134"/>
  <c r="C30" i="134"/>
  <c r="E29" i="134"/>
  <c r="C29" i="134"/>
  <c r="E28" i="134"/>
  <c r="C28" i="134"/>
  <c r="E27" i="134"/>
  <c r="C27" i="134"/>
  <c r="E26" i="134"/>
  <c r="C26" i="134"/>
  <c r="E25" i="134"/>
  <c r="C25" i="134"/>
  <c r="E24" i="134"/>
  <c r="C24" i="134"/>
  <c r="E23" i="134"/>
  <c r="C23" i="134"/>
  <c r="E22" i="134"/>
  <c r="C22" i="134"/>
  <c r="E21" i="134"/>
  <c r="C21" i="134"/>
  <c r="E20" i="134"/>
  <c r="C20" i="134"/>
  <c r="E19" i="134"/>
  <c r="C19" i="134"/>
  <c r="E18" i="134"/>
  <c r="C18" i="134"/>
  <c r="E17" i="134"/>
  <c r="C17" i="134"/>
  <c r="E16" i="134"/>
  <c r="C16" i="134"/>
  <c r="E15" i="134"/>
  <c r="C15" i="134"/>
  <c r="E14" i="134"/>
  <c r="C14" i="134"/>
  <c r="E13" i="134"/>
  <c r="C13" i="134"/>
  <c r="E12" i="134"/>
  <c r="C12" i="134"/>
  <c r="E11" i="134"/>
  <c r="C11" i="134"/>
  <c r="E10" i="134"/>
  <c r="C10" i="134"/>
  <c r="E9" i="134"/>
  <c r="C9" i="134"/>
  <c r="B2" i="134"/>
  <c r="B3" i="134" s="1"/>
  <c r="E43" i="133"/>
  <c r="C43" i="133"/>
  <c r="E42" i="133"/>
  <c r="C42" i="133"/>
  <c r="E41" i="133"/>
  <c r="C41" i="133"/>
  <c r="E40" i="133"/>
  <c r="C40" i="133"/>
  <c r="E39" i="133"/>
  <c r="C39" i="133"/>
  <c r="E38" i="133"/>
  <c r="C38" i="133"/>
  <c r="E37" i="133"/>
  <c r="C37" i="133"/>
  <c r="E36" i="133"/>
  <c r="C36" i="133"/>
  <c r="E35" i="133"/>
  <c r="C35" i="133"/>
  <c r="E34" i="133"/>
  <c r="C34" i="133"/>
  <c r="E33" i="133"/>
  <c r="C33" i="133"/>
  <c r="E32" i="133"/>
  <c r="C32" i="133"/>
  <c r="E31" i="133"/>
  <c r="C31" i="133"/>
  <c r="E30" i="133"/>
  <c r="C30" i="133"/>
  <c r="E29" i="133"/>
  <c r="C29" i="133"/>
  <c r="E28" i="133"/>
  <c r="C28" i="133"/>
  <c r="E27" i="133"/>
  <c r="C27" i="133"/>
  <c r="E26" i="133"/>
  <c r="C26" i="133"/>
  <c r="E25" i="133"/>
  <c r="C25" i="133"/>
  <c r="E24" i="133"/>
  <c r="C24" i="133"/>
  <c r="E23" i="133"/>
  <c r="C23" i="133"/>
  <c r="E22" i="133"/>
  <c r="C22" i="133"/>
  <c r="E21" i="133"/>
  <c r="C21" i="133"/>
  <c r="E20" i="133"/>
  <c r="C20" i="133"/>
  <c r="E19" i="133"/>
  <c r="C19" i="133"/>
  <c r="E18" i="133"/>
  <c r="C18" i="133"/>
  <c r="E17" i="133"/>
  <c r="C17" i="133"/>
  <c r="E16" i="133"/>
  <c r="C16" i="133"/>
  <c r="E15" i="133"/>
  <c r="C15" i="133"/>
  <c r="E14" i="133"/>
  <c r="C14" i="133"/>
  <c r="E13" i="133"/>
  <c r="C13" i="133"/>
  <c r="E12" i="133"/>
  <c r="C12" i="133"/>
  <c r="E11" i="133"/>
  <c r="C11" i="133"/>
  <c r="E10" i="133"/>
  <c r="C10" i="133"/>
  <c r="E9" i="133"/>
  <c r="C9" i="133"/>
  <c r="B2" i="133"/>
  <c r="B3" i="133" s="1"/>
  <c r="E43" i="132"/>
  <c r="C43" i="132"/>
  <c r="E42" i="132"/>
  <c r="C42" i="132"/>
  <c r="E41" i="132"/>
  <c r="C41" i="132"/>
  <c r="E40" i="132"/>
  <c r="C40" i="132"/>
  <c r="E39" i="132"/>
  <c r="C39" i="132"/>
  <c r="E38" i="132"/>
  <c r="C38" i="132"/>
  <c r="E37" i="132"/>
  <c r="C37" i="132"/>
  <c r="E36" i="132"/>
  <c r="C36" i="132"/>
  <c r="E35" i="132"/>
  <c r="C35" i="132"/>
  <c r="E34" i="132"/>
  <c r="C34" i="132"/>
  <c r="E33" i="132"/>
  <c r="C33" i="132"/>
  <c r="E32" i="132"/>
  <c r="C32" i="132"/>
  <c r="E31" i="132"/>
  <c r="C31" i="132"/>
  <c r="E30" i="132"/>
  <c r="C30" i="132"/>
  <c r="E29" i="132"/>
  <c r="C29" i="132"/>
  <c r="E28" i="132"/>
  <c r="C28" i="132"/>
  <c r="E27" i="132"/>
  <c r="C27" i="132"/>
  <c r="E26" i="132"/>
  <c r="C26" i="132"/>
  <c r="E25" i="132"/>
  <c r="C25" i="132"/>
  <c r="E24" i="132"/>
  <c r="C24" i="132"/>
  <c r="E23" i="132"/>
  <c r="C23" i="132"/>
  <c r="E22" i="132"/>
  <c r="C22" i="132"/>
  <c r="E21" i="132"/>
  <c r="C21" i="132"/>
  <c r="E20" i="132"/>
  <c r="C20" i="132"/>
  <c r="E19" i="132"/>
  <c r="C19" i="132"/>
  <c r="E18" i="132"/>
  <c r="C18" i="132"/>
  <c r="E17" i="132"/>
  <c r="C17" i="132"/>
  <c r="E16" i="132"/>
  <c r="C16" i="132"/>
  <c r="E15" i="132"/>
  <c r="C15" i="132"/>
  <c r="E14" i="132"/>
  <c r="C14" i="132"/>
  <c r="E13" i="132"/>
  <c r="C13" i="132"/>
  <c r="E12" i="132"/>
  <c r="C12" i="132"/>
  <c r="E11" i="132"/>
  <c r="C11" i="132"/>
  <c r="E10" i="132"/>
  <c r="C10" i="132"/>
  <c r="E9" i="132"/>
  <c r="C9" i="132"/>
  <c r="B2" i="132"/>
  <c r="B3" i="132" s="1"/>
  <c r="E43" i="131"/>
  <c r="C43" i="131"/>
  <c r="E42" i="131"/>
  <c r="C42" i="131"/>
  <c r="E41" i="131"/>
  <c r="C41" i="131"/>
  <c r="E40" i="131"/>
  <c r="C40" i="131"/>
  <c r="E39" i="131"/>
  <c r="C39" i="131"/>
  <c r="E38" i="131"/>
  <c r="C38" i="131"/>
  <c r="E37" i="131"/>
  <c r="C37" i="131"/>
  <c r="E36" i="131"/>
  <c r="C36" i="131"/>
  <c r="E35" i="131"/>
  <c r="C35" i="131"/>
  <c r="E34" i="131"/>
  <c r="C34" i="131"/>
  <c r="E33" i="131"/>
  <c r="C33" i="131"/>
  <c r="E32" i="131"/>
  <c r="C32" i="131"/>
  <c r="E31" i="131"/>
  <c r="C31" i="131"/>
  <c r="E30" i="131"/>
  <c r="C30" i="131"/>
  <c r="E29" i="131"/>
  <c r="C29" i="131"/>
  <c r="E28" i="131"/>
  <c r="C28" i="131"/>
  <c r="E27" i="131"/>
  <c r="C27" i="131"/>
  <c r="E26" i="131"/>
  <c r="C26" i="131"/>
  <c r="E25" i="131"/>
  <c r="C25" i="131"/>
  <c r="E24" i="131"/>
  <c r="C24" i="131"/>
  <c r="E23" i="131"/>
  <c r="C23" i="131"/>
  <c r="E22" i="131"/>
  <c r="C22" i="131"/>
  <c r="E21" i="131"/>
  <c r="C21" i="131"/>
  <c r="E20" i="131"/>
  <c r="C20" i="131"/>
  <c r="E19" i="131"/>
  <c r="C19" i="131"/>
  <c r="E18" i="131"/>
  <c r="C18" i="131"/>
  <c r="E17" i="131"/>
  <c r="C17" i="131"/>
  <c r="E16" i="131"/>
  <c r="C16" i="131"/>
  <c r="E15" i="131"/>
  <c r="C15" i="131"/>
  <c r="E14" i="131"/>
  <c r="C14" i="131"/>
  <c r="E13" i="131"/>
  <c r="C13" i="131"/>
  <c r="E12" i="131"/>
  <c r="C12" i="131"/>
  <c r="E11" i="131"/>
  <c r="C11" i="131"/>
  <c r="E10" i="131"/>
  <c r="C10" i="131"/>
  <c r="E9" i="131"/>
  <c r="C9" i="131"/>
  <c r="B2" i="131"/>
  <c r="B3" i="131" s="1"/>
  <c r="E43" i="130"/>
  <c r="C43" i="130"/>
  <c r="E42" i="130"/>
  <c r="C42" i="130"/>
  <c r="E41" i="130"/>
  <c r="C41" i="130"/>
  <c r="E40" i="130"/>
  <c r="C40" i="130"/>
  <c r="E39" i="130"/>
  <c r="C39" i="130"/>
  <c r="E38" i="130"/>
  <c r="C38" i="130"/>
  <c r="E37" i="130"/>
  <c r="C37" i="130"/>
  <c r="E36" i="130"/>
  <c r="C36" i="130"/>
  <c r="E35" i="130"/>
  <c r="C35" i="130"/>
  <c r="E34" i="130"/>
  <c r="C34" i="130"/>
  <c r="E33" i="130"/>
  <c r="C33" i="130"/>
  <c r="E32" i="130"/>
  <c r="C32" i="130"/>
  <c r="E31" i="130"/>
  <c r="C31" i="130"/>
  <c r="E30" i="130"/>
  <c r="C30" i="130"/>
  <c r="E29" i="130"/>
  <c r="C29" i="130"/>
  <c r="E28" i="130"/>
  <c r="C28" i="130"/>
  <c r="E27" i="130"/>
  <c r="C27" i="130"/>
  <c r="E26" i="130"/>
  <c r="C26" i="130"/>
  <c r="E25" i="130"/>
  <c r="C25" i="130"/>
  <c r="E24" i="130"/>
  <c r="C24" i="130"/>
  <c r="E23" i="130"/>
  <c r="C23" i="130"/>
  <c r="E22" i="130"/>
  <c r="C22" i="130"/>
  <c r="E21" i="130"/>
  <c r="C21" i="130"/>
  <c r="E20" i="130"/>
  <c r="C20" i="130"/>
  <c r="E19" i="130"/>
  <c r="C19" i="130"/>
  <c r="E18" i="130"/>
  <c r="C18" i="130"/>
  <c r="E17" i="130"/>
  <c r="C17" i="130"/>
  <c r="E16" i="130"/>
  <c r="C16" i="130"/>
  <c r="E15" i="130"/>
  <c r="C15" i="130"/>
  <c r="E14" i="130"/>
  <c r="C14" i="130"/>
  <c r="E13" i="130"/>
  <c r="C13" i="130"/>
  <c r="E12" i="130"/>
  <c r="C12" i="130"/>
  <c r="E11" i="130"/>
  <c r="C11" i="130"/>
  <c r="E10" i="130"/>
  <c r="C10" i="130"/>
  <c r="E9" i="130"/>
  <c r="C9" i="130"/>
  <c r="B2" i="130"/>
  <c r="B3" i="130" s="1"/>
  <c r="E43" i="129"/>
  <c r="C43" i="129"/>
  <c r="E42" i="129"/>
  <c r="C42" i="129"/>
  <c r="E41" i="129"/>
  <c r="C41" i="129"/>
  <c r="E40" i="129"/>
  <c r="C40" i="129"/>
  <c r="E39" i="129"/>
  <c r="C39" i="129"/>
  <c r="E38" i="129"/>
  <c r="C38" i="129"/>
  <c r="E37" i="129"/>
  <c r="C37" i="129"/>
  <c r="E36" i="129"/>
  <c r="C36" i="129"/>
  <c r="E35" i="129"/>
  <c r="C35" i="129"/>
  <c r="E34" i="129"/>
  <c r="C34" i="129"/>
  <c r="E33" i="129"/>
  <c r="C33" i="129"/>
  <c r="E32" i="129"/>
  <c r="C32" i="129"/>
  <c r="E31" i="129"/>
  <c r="C31" i="129"/>
  <c r="E30" i="129"/>
  <c r="C30" i="129"/>
  <c r="E29" i="129"/>
  <c r="C29" i="129"/>
  <c r="E28" i="129"/>
  <c r="C28" i="129"/>
  <c r="E27" i="129"/>
  <c r="C27" i="129"/>
  <c r="E26" i="129"/>
  <c r="C26" i="129"/>
  <c r="E25" i="129"/>
  <c r="C25" i="129"/>
  <c r="E24" i="129"/>
  <c r="C24" i="129"/>
  <c r="E23" i="129"/>
  <c r="C23" i="129"/>
  <c r="E22" i="129"/>
  <c r="C22" i="129"/>
  <c r="E21" i="129"/>
  <c r="C21" i="129"/>
  <c r="E20" i="129"/>
  <c r="C20" i="129"/>
  <c r="E19" i="129"/>
  <c r="C19" i="129"/>
  <c r="E18" i="129"/>
  <c r="C18" i="129"/>
  <c r="E17" i="129"/>
  <c r="C17" i="129"/>
  <c r="E16" i="129"/>
  <c r="C16" i="129"/>
  <c r="E15" i="129"/>
  <c r="C15" i="129"/>
  <c r="E14" i="129"/>
  <c r="C14" i="129"/>
  <c r="E13" i="129"/>
  <c r="C13" i="129"/>
  <c r="E12" i="129"/>
  <c r="C12" i="129"/>
  <c r="E11" i="129"/>
  <c r="C11" i="129"/>
  <c r="E10" i="129"/>
  <c r="C10" i="129"/>
  <c r="E9" i="129"/>
  <c r="C9" i="129"/>
  <c r="B2" i="129"/>
  <c r="B3" i="129" s="1"/>
  <c r="E43" i="128"/>
  <c r="C43" i="128"/>
  <c r="E42" i="128"/>
  <c r="C42" i="128"/>
  <c r="E41" i="128"/>
  <c r="C41" i="128"/>
  <c r="E40" i="128"/>
  <c r="C40" i="128"/>
  <c r="E39" i="128"/>
  <c r="C39" i="128"/>
  <c r="E38" i="128"/>
  <c r="C38" i="128"/>
  <c r="E37" i="128"/>
  <c r="C37" i="128"/>
  <c r="E36" i="128"/>
  <c r="C36" i="128"/>
  <c r="E35" i="128"/>
  <c r="C35" i="128"/>
  <c r="E34" i="128"/>
  <c r="C34" i="128"/>
  <c r="E33" i="128"/>
  <c r="C33" i="128"/>
  <c r="E32" i="128"/>
  <c r="C32" i="128"/>
  <c r="E31" i="128"/>
  <c r="C31" i="128"/>
  <c r="E30" i="128"/>
  <c r="C30" i="128"/>
  <c r="E29" i="128"/>
  <c r="C29" i="128"/>
  <c r="E28" i="128"/>
  <c r="C28" i="128"/>
  <c r="E27" i="128"/>
  <c r="C27" i="128"/>
  <c r="E26" i="128"/>
  <c r="C26" i="128"/>
  <c r="E25" i="128"/>
  <c r="C25" i="128"/>
  <c r="E24" i="128"/>
  <c r="C24" i="128"/>
  <c r="E23" i="128"/>
  <c r="C23" i="128"/>
  <c r="E22" i="128"/>
  <c r="C22" i="128"/>
  <c r="E21" i="128"/>
  <c r="C21" i="128"/>
  <c r="E20" i="128"/>
  <c r="C20" i="128"/>
  <c r="E19" i="128"/>
  <c r="C19" i="128"/>
  <c r="E18" i="128"/>
  <c r="C18" i="128"/>
  <c r="E17" i="128"/>
  <c r="C17" i="128"/>
  <c r="E16" i="128"/>
  <c r="C16" i="128"/>
  <c r="E15" i="128"/>
  <c r="C15" i="128"/>
  <c r="E14" i="128"/>
  <c r="C14" i="128"/>
  <c r="E13" i="128"/>
  <c r="C13" i="128"/>
  <c r="E12" i="128"/>
  <c r="C12" i="128"/>
  <c r="E11" i="128"/>
  <c r="C11" i="128"/>
  <c r="E10" i="128"/>
  <c r="C10" i="128"/>
  <c r="E9" i="128"/>
  <c r="C9" i="128"/>
  <c r="B2" i="128"/>
  <c r="B3" i="128" s="1"/>
  <c r="E43" i="127"/>
  <c r="C43" i="127"/>
  <c r="E42" i="127"/>
  <c r="C42" i="127"/>
  <c r="E41" i="127"/>
  <c r="C41" i="127"/>
  <c r="E40" i="127"/>
  <c r="C40" i="127"/>
  <c r="E39" i="127"/>
  <c r="C39" i="127"/>
  <c r="E38" i="127"/>
  <c r="C38" i="127"/>
  <c r="E37" i="127"/>
  <c r="C37" i="127"/>
  <c r="E36" i="127"/>
  <c r="C36" i="127"/>
  <c r="E35" i="127"/>
  <c r="C35" i="127"/>
  <c r="E34" i="127"/>
  <c r="C34" i="127"/>
  <c r="E33" i="127"/>
  <c r="C33" i="127"/>
  <c r="E32" i="127"/>
  <c r="C32" i="127"/>
  <c r="E31" i="127"/>
  <c r="C31" i="127"/>
  <c r="E30" i="127"/>
  <c r="C30" i="127"/>
  <c r="E29" i="127"/>
  <c r="C29" i="127"/>
  <c r="E28" i="127"/>
  <c r="C28" i="127"/>
  <c r="E27" i="127"/>
  <c r="C27" i="127"/>
  <c r="E26" i="127"/>
  <c r="C26" i="127"/>
  <c r="E25" i="127"/>
  <c r="C25" i="127"/>
  <c r="E24" i="127"/>
  <c r="C24" i="127"/>
  <c r="E23" i="127"/>
  <c r="C23" i="127"/>
  <c r="E22" i="127"/>
  <c r="C22" i="127"/>
  <c r="E21" i="127"/>
  <c r="C21" i="127"/>
  <c r="E20" i="127"/>
  <c r="C20" i="127"/>
  <c r="E19" i="127"/>
  <c r="C19" i="127"/>
  <c r="E18" i="127"/>
  <c r="C18" i="127"/>
  <c r="E17" i="127"/>
  <c r="C17" i="127"/>
  <c r="E16" i="127"/>
  <c r="C16" i="127"/>
  <c r="E15" i="127"/>
  <c r="C15" i="127"/>
  <c r="E14" i="127"/>
  <c r="C14" i="127"/>
  <c r="E13" i="127"/>
  <c r="C13" i="127"/>
  <c r="E12" i="127"/>
  <c r="C12" i="127"/>
  <c r="E11" i="127"/>
  <c r="C11" i="127"/>
  <c r="E10" i="127"/>
  <c r="C10" i="127"/>
  <c r="E9" i="127"/>
  <c r="C9" i="127"/>
  <c r="B2" i="127"/>
  <c r="B5" i="127" s="1"/>
  <c r="E43" i="126"/>
  <c r="C43" i="126"/>
  <c r="E42" i="126"/>
  <c r="C42" i="126"/>
  <c r="E41" i="126"/>
  <c r="C41" i="126"/>
  <c r="E40" i="126"/>
  <c r="C40" i="126"/>
  <c r="E39" i="126"/>
  <c r="C39" i="126"/>
  <c r="E38" i="126"/>
  <c r="C38" i="126"/>
  <c r="E37" i="126"/>
  <c r="C37" i="126"/>
  <c r="E36" i="126"/>
  <c r="C36" i="126"/>
  <c r="E35" i="126"/>
  <c r="C35" i="126"/>
  <c r="E34" i="126"/>
  <c r="C34" i="126"/>
  <c r="E33" i="126"/>
  <c r="C33" i="126"/>
  <c r="E32" i="126"/>
  <c r="C32" i="126"/>
  <c r="E31" i="126"/>
  <c r="C31" i="126"/>
  <c r="E30" i="126"/>
  <c r="C30" i="126"/>
  <c r="E29" i="126"/>
  <c r="C29" i="126"/>
  <c r="E28" i="126"/>
  <c r="C28" i="126"/>
  <c r="E27" i="126"/>
  <c r="C27" i="126"/>
  <c r="E26" i="126"/>
  <c r="C26" i="126"/>
  <c r="E25" i="126"/>
  <c r="C25" i="126"/>
  <c r="E24" i="126"/>
  <c r="C24" i="126"/>
  <c r="E23" i="126"/>
  <c r="C23" i="126"/>
  <c r="E22" i="126"/>
  <c r="C22" i="126"/>
  <c r="E21" i="126"/>
  <c r="C21" i="126"/>
  <c r="E20" i="126"/>
  <c r="C20" i="126"/>
  <c r="E19" i="126"/>
  <c r="C19" i="126"/>
  <c r="E18" i="126"/>
  <c r="C18" i="126"/>
  <c r="E17" i="126"/>
  <c r="C17" i="126"/>
  <c r="E16" i="126"/>
  <c r="C16" i="126"/>
  <c r="E15" i="126"/>
  <c r="C15" i="126"/>
  <c r="E14" i="126"/>
  <c r="C14" i="126"/>
  <c r="E13" i="126"/>
  <c r="C13" i="126"/>
  <c r="E12" i="126"/>
  <c r="C12" i="126"/>
  <c r="E11" i="126"/>
  <c r="C11" i="126"/>
  <c r="E10" i="126"/>
  <c r="C10" i="126"/>
  <c r="E9" i="126"/>
  <c r="C9" i="126"/>
  <c r="B2" i="126"/>
  <c r="B3" i="126" s="1"/>
  <c r="E43" i="125"/>
  <c r="C43" i="125"/>
  <c r="E42" i="125"/>
  <c r="C42" i="125"/>
  <c r="E41" i="125"/>
  <c r="C41" i="125"/>
  <c r="E40" i="125"/>
  <c r="C40" i="125"/>
  <c r="E39" i="125"/>
  <c r="C39" i="125"/>
  <c r="E38" i="125"/>
  <c r="C38" i="125"/>
  <c r="E37" i="125"/>
  <c r="C37" i="125"/>
  <c r="E36" i="125"/>
  <c r="C36" i="125"/>
  <c r="E35" i="125"/>
  <c r="C35" i="125"/>
  <c r="E34" i="125"/>
  <c r="C34" i="125"/>
  <c r="E33" i="125"/>
  <c r="C33" i="125"/>
  <c r="E32" i="125"/>
  <c r="C32" i="125"/>
  <c r="E31" i="125"/>
  <c r="C31" i="125"/>
  <c r="E30" i="125"/>
  <c r="C30" i="125"/>
  <c r="E29" i="125"/>
  <c r="C29" i="125"/>
  <c r="E28" i="125"/>
  <c r="C28" i="125"/>
  <c r="E27" i="125"/>
  <c r="C27" i="125"/>
  <c r="E26" i="125"/>
  <c r="C26" i="125"/>
  <c r="E25" i="125"/>
  <c r="C25" i="125"/>
  <c r="E24" i="125"/>
  <c r="C24" i="125"/>
  <c r="E23" i="125"/>
  <c r="C23" i="125"/>
  <c r="E22" i="125"/>
  <c r="C22" i="125"/>
  <c r="E21" i="125"/>
  <c r="C21" i="125"/>
  <c r="E20" i="125"/>
  <c r="C20" i="125"/>
  <c r="E19" i="125"/>
  <c r="C19" i="125"/>
  <c r="E18" i="125"/>
  <c r="C18" i="125"/>
  <c r="E17" i="125"/>
  <c r="C17" i="125"/>
  <c r="E16" i="125"/>
  <c r="C16" i="125"/>
  <c r="E15" i="125"/>
  <c r="C15" i="125"/>
  <c r="E14" i="125"/>
  <c r="C14" i="125"/>
  <c r="E13" i="125"/>
  <c r="C13" i="125"/>
  <c r="E12" i="125"/>
  <c r="C12" i="125"/>
  <c r="E11" i="125"/>
  <c r="C11" i="125"/>
  <c r="E10" i="125"/>
  <c r="C10" i="125"/>
  <c r="E9" i="125"/>
  <c r="C9" i="125"/>
  <c r="B2" i="125"/>
  <c r="B3" i="125" s="1"/>
  <c r="E43" i="124"/>
  <c r="C43" i="124"/>
  <c r="E42" i="124"/>
  <c r="C42" i="124"/>
  <c r="E41" i="124"/>
  <c r="C41" i="124"/>
  <c r="E40" i="124"/>
  <c r="C40" i="124"/>
  <c r="E39" i="124"/>
  <c r="C39" i="124"/>
  <c r="E38" i="124"/>
  <c r="C38" i="124"/>
  <c r="E37" i="124"/>
  <c r="C37" i="124"/>
  <c r="E36" i="124"/>
  <c r="C36" i="124"/>
  <c r="E35" i="124"/>
  <c r="C35" i="124"/>
  <c r="E34" i="124"/>
  <c r="C34" i="124"/>
  <c r="E33" i="124"/>
  <c r="C33" i="124"/>
  <c r="E32" i="124"/>
  <c r="C32" i="124"/>
  <c r="E31" i="124"/>
  <c r="C31" i="124"/>
  <c r="E30" i="124"/>
  <c r="C30" i="124"/>
  <c r="E29" i="124"/>
  <c r="C29" i="124"/>
  <c r="E28" i="124"/>
  <c r="C28" i="124"/>
  <c r="E27" i="124"/>
  <c r="C27" i="124"/>
  <c r="E26" i="124"/>
  <c r="C26" i="124"/>
  <c r="E25" i="124"/>
  <c r="C25" i="124"/>
  <c r="E24" i="124"/>
  <c r="C24" i="124"/>
  <c r="E23" i="124"/>
  <c r="C23" i="124"/>
  <c r="E22" i="124"/>
  <c r="C22" i="124"/>
  <c r="E21" i="124"/>
  <c r="C21" i="124"/>
  <c r="E20" i="124"/>
  <c r="C20" i="124"/>
  <c r="E19" i="124"/>
  <c r="C19" i="124"/>
  <c r="E18" i="124"/>
  <c r="C18" i="124"/>
  <c r="E17" i="124"/>
  <c r="C17" i="124"/>
  <c r="E16" i="124"/>
  <c r="C16" i="124"/>
  <c r="E15" i="124"/>
  <c r="C15" i="124"/>
  <c r="E14" i="124"/>
  <c r="C14" i="124"/>
  <c r="E13" i="124"/>
  <c r="C13" i="124"/>
  <c r="E12" i="124"/>
  <c r="C12" i="124"/>
  <c r="E11" i="124"/>
  <c r="C11" i="124"/>
  <c r="E10" i="124"/>
  <c r="C10" i="124"/>
  <c r="E9" i="124"/>
  <c r="C9" i="124"/>
  <c r="B2" i="124"/>
  <c r="B3" i="124" s="1"/>
  <c r="E43" i="123"/>
  <c r="C43" i="123"/>
  <c r="E42" i="123"/>
  <c r="C42" i="123"/>
  <c r="E41" i="123"/>
  <c r="C41" i="123"/>
  <c r="E40" i="123"/>
  <c r="C40" i="123"/>
  <c r="E39" i="123"/>
  <c r="C39" i="123"/>
  <c r="E38" i="123"/>
  <c r="C38" i="123"/>
  <c r="E37" i="123"/>
  <c r="C37" i="123"/>
  <c r="E36" i="123"/>
  <c r="C36" i="123"/>
  <c r="E35" i="123"/>
  <c r="C35" i="123"/>
  <c r="E34" i="123"/>
  <c r="C34" i="123"/>
  <c r="E33" i="123"/>
  <c r="C33" i="123"/>
  <c r="E32" i="123"/>
  <c r="C32" i="123"/>
  <c r="E31" i="123"/>
  <c r="C31" i="123"/>
  <c r="E30" i="123"/>
  <c r="C30" i="123"/>
  <c r="E29" i="123"/>
  <c r="C29" i="123"/>
  <c r="E28" i="123"/>
  <c r="C28" i="123"/>
  <c r="E27" i="123"/>
  <c r="C27" i="123"/>
  <c r="E26" i="123"/>
  <c r="C26" i="123"/>
  <c r="E25" i="123"/>
  <c r="C25" i="123"/>
  <c r="E24" i="123"/>
  <c r="C24" i="123"/>
  <c r="E23" i="123"/>
  <c r="C23" i="123"/>
  <c r="E22" i="123"/>
  <c r="C22" i="123"/>
  <c r="E21" i="123"/>
  <c r="C21" i="123"/>
  <c r="E20" i="123"/>
  <c r="C20" i="123"/>
  <c r="E19" i="123"/>
  <c r="C19" i="123"/>
  <c r="E18" i="123"/>
  <c r="C18" i="123"/>
  <c r="E17" i="123"/>
  <c r="C17" i="123"/>
  <c r="E16" i="123"/>
  <c r="C16" i="123"/>
  <c r="E15" i="123"/>
  <c r="C15" i="123"/>
  <c r="E14" i="123"/>
  <c r="C14" i="123"/>
  <c r="E13" i="123"/>
  <c r="C13" i="123"/>
  <c r="E12" i="123"/>
  <c r="C12" i="123"/>
  <c r="E11" i="123"/>
  <c r="C11" i="123"/>
  <c r="E10" i="123"/>
  <c r="C10" i="123"/>
  <c r="E9" i="123"/>
  <c r="C9" i="123"/>
  <c r="B2" i="123"/>
  <c r="B3" i="123" s="1"/>
  <c r="E43" i="122"/>
  <c r="C43" i="122"/>
  <c r="E42" i="122"/>
  <c r="C42" i="122"/>
  <c r="E41" i="122"/>
  <c r="C41" i="122"/>
  <c r="E40" i="122"/>
  <c r="C40" i="122"/>
  <c r="E39" i="122"/>
  <c r="C39" i="122"/>
  <c r="E38" i="122"/>
  <c r="C38" i="122"/>
  <c r="E37" i="122"/>
  <c r="C37" i="122"/>
  <c r="E36" i="122"/>
  <c r="C36" i="122"/>
  <c r="E35" i="122"/>
  <c r="C35" i="122"/>
  <c r="E34" i="122"/>
  <c r="C34" i="122"/>
  <c r="E33" i="122"/>
  <c r="C33" i="122"/>
  <c r="E32" i="122"/>
  <c r="C32" i="122"/>
  <c r="E31" i="122"/>
  <c r="C31" i="122"/>
  <c r="E30" i="122"/>
  <c r="C30" i="122"/>
  <c r="E29" i="122"/>
  <c r="C29" i="122"/>
  <c r="E28" i="122"/>
  <c r="C28" i="122"/>
  <c r="E27" i="122"/>
  <c r="C27" i="122"/>
  <c r="E26" i="122"/>
  <c r="C26" i="122"/>
  <c r="E25" i="122"/>
  <c r="C25" i="122"/>
  <c r="E24" i="122"/>
  <c r="C24" i="122"/>
  <c r="E23" i="122"/>
  <c r="C23" i="122"/>
  <c r="E22" i="122"/>
  <c r="C22" i="122"/>
  <c r="E21" i="122"/>
  <c r="C21" i="122"/>
  <c r="E20" i="122"/>
  <c r="C20" i="122"/>
  <c r="E19" i="122"/>
  <c r="C19" i="122"/>
  <c r="E18" i="122"/>
  <c r="C18" i="122"/>
  <c r="E17" i="122"/>
  <c r="C17" i="122"/>
  <c r="E16" i="122"/>
  <c r="C16" i="122"/>
  <c r="E15" i="122"/>
  <c r="C15" i="122"/>
  <c r="E14" i="122"/>
  <c r="C14" i="122"/>
  <c r="E13" i="122"/>
  <c r="C13" i="122"/>
  <c r="E12" i="122"/>
  <c r="C12" i="122"/>
  <c r="E11" i="122"/>
  <c r="C11" i="122"/>
  <c r="E10" i="122"/>
  <c r="C10" i="122"/>
  <c r="E9" i="122"/>
  <c r="C9" i="122"/>
  <c r="B2" i="122"/>
  <c r="B3" i="122" s="1"/>
  <c r="E43" i="121"/>
  <c r="C43" i="121"/>
  <c r="E42" i="121"/>
  <c r="C42" i="121"/>
  <c r="E41" i="121"/>
  <c r="C41" i="121"/>
  <c r="E40" i="121"/>
  <c r="C40" i="121"/>
  <c r="E39" i="121"/>
  <c r="C39" i="121"/>
  <c r="E38" i="121"/>
  <c r="C38" i="121"/>
  <c r="E37" i="121"/>
  <c r="C37" i="121"/>
  <c r="E36" i="121"/>
  <c r="C36" i="121"/>
  <c r="E35" i="121"/>
  <c r="C35" i="121"/>
  <c r="E34" i="121"/>
  <c r="C34" i="121"/>
  <c r="E33" i="121"/>
  <c r="C33" i="121"/>
  <c r="E32" i="121"/>
  <c r="C32" i="121"/>
  <c r="E31" i="121"/>
  <c r="C31" i="121"/>
  <c r="E30" i="121"/>
  <c r="C30" i="121"/>
  <c r="E29" i="121"/>
  <c r="C29" i="121"/>
  <c r="E28" i="121"/>
  <c r="C28" i="121"/>
  <c r="E27" i="121"/>
  <c r="C27" i="121"/>
  <c r="E26" i="121"/>
  <c r="C26" i="121"/>
  <c r="E25" i="121"/>
  <c r="C25" i="121"/>
  <c r="E24" i="121"/>
  <c r="C24" i="121"/>
  <c r="E23" i="121"/>
  <c r="C23" i="121"/>
  <c r="E22" i="121"/>
  <c r="C22" i="121"/>
  <c r="E21" i="121"/>
  <c r="C21" i="121"/>
  <c r="E20" i="121"/>
  <c r="C20" i="121"/>
  <c r="E19" i="121"/>
  <c r="C19" i="121"/>
  <c r="E18" i="121"/>
  <c r="C18" i="121"/>
  <c r="E17" i="121"/>
  <c r="C17" i="121"/>
  <c r="E16" i="121"/>
  <c r="C16" i="121"/>
  <c r="E15" i="121"/>
  <c r="C15" i="121"/>
  <c r="E14" i="121"/>
  <c r="C14" i="121"/>
  <c r="E13" i="121"/>
  <c r="C13" i="121"/>
  <c r="E12" i="121"/>
  <c r="C12" i="121"/>
  <c r="E11" i="121"/>
  <c r="C11" i="121"/>
  <c r="E10" i="121"/>
  <c r="C10" i="121"/>
  <c r="E9" i="121"/>
  <c r="C9" i="121"/>
  <c r="B2" i="121"/>
  <c r="B5" i="121" s="1"/>
  <c r="E43" i="120"/>
  <c r="C43" i="120"/>
  <c r="E42" i="120"/>
  <c r="C42" i="120"/>
  <c r="E41" i="120"/>
  <c r="C41" i="120"/>
  <c r="E40" i="120"/>
  <c r="C40" i="120"/>
  <c r="E39" i="120"/>
  <c r="C39" i="120"/>
  <c r="E38" i="120"/>
  <c r="C38" i="120"/>
  <c r="E37" i="120"/>
  <c r="C37" i="120"/>
  <c r="E36" i="120"/>
  <c r="C36" i="120"/>
  <c r="E35" i="120"/>
  <c r="C35" i="120"/>
  <c r="E34" i="120"/>
  <c r="C34" i="120"/>
  <c r="E33" i="120"/>
  <c r="C33" i="120"/>
  <c r="E32" i="120"/>
  <c r="C32" i="120"/>
  <c r="E31" i="120"/>
  <c r="C31" i="120"/>
  <c r="E30" i="120"/>
  <c r="C30" i="120"/>
  <c r="E29" i="120"/>
  <c r="C29" i="120"/>
  <c r="E28" i="120"/>
  <c r="C28" i="120"/>
  <c r="E27" i="120"/>
  <c r="C27" i="120"/>
  <c r="E26" i="120"/>
  <c r="C26" i="120"/>
  <c r="E25" i="120"/>
  <c r="C25" i="120"/>
  <c r="E24" i="120"/>
  <c r="C24" i="120"/>
  <c r="E23" i="120"/>
  <c r="C23" i="120"/>
  <c r="E22" i="120"/>
  <c r="C22" i="120"/>
  <c r="E21" i="120"/>
  <c r="C21" i="120"/>
  <c r="E20" i="120"/>
  <c r="C20" i="120"/>
  <c r="E19" i="120"/>
  <c r="C19" i="120"/>
  <c r="E18" i="120"/>
  <c r="C18" i="120"/>
  <c r="E17" i="120"/>
  <c r="C17" i="120"/>
  <c r="E16" i="120"/>
  <c r="C16" i="120"/>
  <c r="E15" i="120"/>
  <c r="C15" i="120"/>
  <c r="E14" i="120"/>
  <c r="C14" i="120"/>
  <c r="E13" i="120"/>
  <c r="C13" i="120"/>
  <c r="E12" i="120"/>
  <c r="C12" i="120"/>
  <c r="E11" i="120"/>
  <c r="C11" i="120"/>
  <c r="E10" i="120"/>
  <c r="C10" i="120"/>
  <c r="E9" i="120"/>
  <c r="C9" i="120"/>
  <c r="B2" i="120"/>
  <c r="B3" i="120" s="1"/>
  <c r="E43" i="119"/>
  <c r="C43" i="119"/>
  <c r="E42" i="119"/>
  <c r="C42" i="119"/>
  <c r="E41" i="119"/>
  <c r="C41" i="119"/>
  <c r="E40" i="119"/>
  <c r="C40" i="119"/>
  <c r="E39" i="119"/>
  <c r="C39" i="119"/>
  <c r="E38" i="119"/>
  <c r="C38" i="119"/>
  <c r="E37" i="119"/>
  <c r="C37" i="119"/>
  <c r="E36" i="119"/>
  <c r="C36" i="119"/>
  <c r="E35" i="119"/>
  <c r="C35" i="119"/>
  <c r="E34" i="119"/>
  <c r="C34" i="119"/>
  <c r="E33" i="119"/>
  <c r="C33" i="119"/>
  <c r="E32" i="119"/>
  <c r="C32" i="119"/>
  <c r="E31" i="119"/>
  <c r="C31" i="119"/>
  <c r="E30" i="119"/>
  <c r="C30" i="119"/>
  <c r="E29" i="119"/>
  <c r="C29" i="119"/>
  <c r="E28" i="119"/>
  <c r="C28" i="119"/>
  <c r="E27" i="119"/>
  <c r="C27" i="119"/>
  <c r="E26" i="119"/>
  <c r="C26" i="119"/>
  <c r="E25" i="119"/>
  <c r="C25" i="119"/>
  <c r="E24" i="119"/>
  <c r="C24" i="119"/>
  <c r="E23" i="119"/>
  <c r="C23" i="119"/>
  <c r="E22" i="119"/>
  <c r="C22" i="119"/>
  <c r="E21" i="119"/>
  <c r="C21" i="119"/>
  <c r="E20" i="119"/>
  <c r="C20" i="119"/>
  <c r="E19" i="119"/>
  <c r="C19" i="119"/>
  <c r="E18" i="119"/>
  <c r="C18" i="119"/>
  <c r="E17" i="119"/>
  <c r="C17" i="119"/>
  <c r="E16" i="119"/>
  <c r="C16" i="119"/>
  <c r="E15" i="119"/>
  <c r="C15" i="119"/>
  <c r="E14" i="119"/>
  <c r="C14" i="119"/>
  <c r="E13" i="119"/>
  <c r="C13" i="119"/>
  <c r="E12" i="119"/>
  <c r="C12" i="119"/>
  <c r="E11" i="119"/>
  <c r="C11" i="119"/>
  <c r="E10" i="119"/>
  <c r="C10" i="119"/>
  <c r="E9" i="119"/>
  <c r="C9" i="119"/>
  <c r="B2" i="119"/>
  <c r="B3" i="119" s="1"/>
  <c r="E43" i="118"/>
  <c r="C43" i="118"/>
  <c r="E42" i="118"/>
  <c r="C42" i="118"/>
  <c r="E41" i="118"/>
  <c r="C41" i="118"/>
  <c r="E40" i="118"/>
  <c r="C40" i="118"/>
  <c r="E39" i="118"/>
  <c r="C39" i="118"/>
  <c r="E38" i="118"/>
  <c r="C38" i="118"/>
  <c r="E37" i="118"/>
  <c r="C37" i="118"/>
  <c r="E36" i="118"/>
  <c r="C36" i="118"/>
  <c r="E35" i="118"/>
  <c r="C35" i="118"/>
  <c r="E34" i="118"/>
  <c r="C34" i="118"/>
  <c r="E33" i="118"/>
  <c r="C33" i="118"/>
  <c r="E32" i="118"/>
  <c r="C32" i="118"/>
  <c r="E31" i="118"/>
  <c r="C31" i="118"/>
  <c r="E30" i="118"/>
  <c r="C30" i="118"/>
  <c r="E29" i="118"/>
  <c r="C29" i="118"/>
  <c r="E28" i="118"/>
  <c r="C28" i="118"/>
  <c r="E27" i="118"/>
  <c r="C27" i="118"/>
  <c r="E26" i="118"/>
  <c r="C26" i="118"/>
  <c r="E25" i="118"/>
  <c r="C25" i="118"/>
  <c r="E24" i="118"/>
  <c r="C24" i="118"/>
  <c r="E23" i="118"/>
  <c r="C23" i="118"/>
  <c r="E22" i="118"/>
  <c r="C22" i="118"/>
  <c r="E21" i="118"/>
  <c r="C21" i="118"/>
  <c r="E20" i="118"/>
  <c r="C20" i="118"/>
  <c r="E19" i="118"/>
  <c r="C19" i="118"/>
  <c r="E18" i="118"/>
  <c r="C18" i="118"/>
  <c r="E17" i="118"/>
  <c r="C17" i="118"/>
  <c r="E16" i="118"/>
  <c r="C16" i="118"/>
  <c r="E15" i="118"/>
  <c r="C15" i="118"/>
  <c r="E14" i="118"/>
  <c r="C14" i="118"/>
  <c r="E13" i="118"/>
  <c r="C13" i="118"/>
  <c r="E12" i="118"/>
  <c r="C12" i="118"/>
  <c r="E11" i="118"/>
  <c r="C11" i="118"/>
  <c r="E10" i="118"/>
  <c r="C10" i="118"/>
  <c r="E9" i="118"/>
  <c r="C9" i="118"/>
  <c r="B2" i="118"/>
  <c r="B3" i="118" s="1"/>
  <c r="E43" i="117"/>
  <c r="C43" i="117"/>
  <c r="E42" i="117"/>
  <c r="C42" i="117"/>
  <c r="E41" i="117"/>
  <c r="C41" i="117"/>
  <c r="E40" i="117"/>
  <c r="C40" i="117"/>
  <c r="E39" i="117"/>
  <c r="C39" i="117"/>
  <c r="E38" i="117"/>
  <c r="C38" i="117"/>
  <c r="E37" i="117"/>
  <c r="C37" i="117"/>
  <c r="E36" i="117"/>
  <c r="C36" i="117"/>
  <c r="E35" i="117"/>
  <c r="C35" i="117"/>
  <c r="E34" i="117"/>
  <c r="C34" i="117"/>
  <c r="E33" i="117"/>
  <c r="C33" i="117"/>
  <c r="E32" i="117"/>
  <c r="C32" i="117"/>
  <c r="E31" i="117"/>
  <c r="C31" i="117"/>
  <c r="E30" i="117"/>
  <c r="C30" i="117"/>
  <c r="E29" i="117"/>
  <c r="C29" i="117"/>
  <c r="E28" i="117"/>
  <c r="C28" i="117"/>
  <c r="E27" i="117"/>
  <c r="C27" i="117"/>
  <c r="E26" i="117"/>
  <c r="C26" i="117"/>
  <c r="E25" i="117"/>
  <c r="C25" i="117"/>
  <c r="E24" i="117"/>
  <c r="C24" i="117"/>
  <c r="E23" i="117"/>
  <c r="C23" i="117"/>
  <c r="E22" i="117"/>
  <c r="C22" i="117"/>
  <c r="E21" i="117"/>
  <c r="C21" i="117"/>
  <c r="E20" i="117"/>
  <c r="C20" i="117"/>
  <c r="E19" i="117"/>
  <c r="C19" i="117"/>
  <c r="E18" i="117"/>
  <c r="C18" i="117"/>
  <c r="E17" i="117"/>
  <c r="C17" i="117"/>
  <c r="E16" i="117"/>
  <c r="C16" i="117"/>
  <c r="E15" i="117"/>
  <c r="C15" i="117"/>
  <c r="E14" i="117"/>
  <c r="C14" i="117"/>
  <c r="E13" i="117"/>
  <c r="C13" i="117"/>
  <c r="E12" i="117"/>
  <c r="C12" i="117"/>
  <c r="E11" i="117"/>
  <c r="C11" i="117"/>
  <c r="E10" i="117"/>
  <c r="C10" i="117"/>
  <c r="E9" i="117"/>
  <c r="C9" i="117"/>
  <c r="B2" i="117"/>
  <c r="B3" i="117" s="1"/>
  <c r="E43" i="116"/>
  <c r="C43" i="116"/>
  <c r="E42" i="116"/>
  <c r="C42" i="116"/>
  <c r="E41" i="116"/>
  <c r="C41" i="116"/>
  <c r="E40" i="116"/>
  <c r="C40" i="116"/>
  <c r="E39" i="116"/>
  <c r="C39" i="116"/>
  <c r="E38" i="116"/>
  <c r="C38" i="116"/>
  <c r="E37" i="116"/>
  <c r="C37" i="116"/>
  <c r="E36" i="116"/>
  <c r="C36" i="116"/>
  <c r="E35" i="116"/>
  <c r="C35" i="116"/>
  <c r="E34" i="116"/>
  <c r="C34" i="116"/>
  <c r="E33" i="116"/>
  <c r="C33" i="116"/>
  <c r="E32" i="116"/>
  <c r="C32" i="116"/>
  <c r="E31" i="116"/>
  <c r="C31" i="116"/>
  <c r="E30" i="116"/>
  <c r="C30" i="116"/>
  <c r="E29" i="116"/>
  <c r="C29" i="116"/>
  <c r="E28" i="116"/>
  <c r="C28" i="116"/>
  <c r="E27" i="116"/>
  <c r="C27" i="116"/>
  <c r="E26" i="116"/>
  <c r="C26" i="116"/>
  <c r="E25" i="116"/>
  <c r="C25" i="116"/>
  <c r="E24" i="116"/>
  <c r="C24" i="116"/>
  <c r="E23" i="116"/>
  <c r="C23" i="116"/>
  <c r="E22" i="116"/>
  <c r="C22" i="116"/>
  <c r="E21" i="116"/>
  <c r="C21" i="116"/>
  <c r="E20" i="116"/>
  <c r="C20" i="116"/>
  <c r="E19" i="116"/>
  <c r="C19" i="116"/>
  <c r="E18" i="116"/>
  <c r="C18" i="116"/>
  <c r="E17" i="116"/>
  <c r="C17" i="116"/>
  <c r="E16" i="116"/>
  <c r="C16" i="116"/>
  <c r="E15" i="116"/>
  <c r="C15" i="116"/>
  <c r="E14" i="116"/>
  <c r="C14" i="116"/>
  <c r="E13" i="116"/>
  <c r="C13" i="116"/>
  <c r="E12" i="116"/>
  <c r="C12" i="116"/>
  <c r="E11" i="116"/>
  <c r="C11" i="116"/>
  <c r="E10" i="116"/>
  <c r="C10" i="116"/>
  <c r="E9" i="116"/>
  <c r="C9" i="116"/>
  <c r="B2" i="116"/>
  <c r="B5" i="116" s="1"/>
  <c r="E43" i="115"/>
  <c r="C43" i="115"/>
  <c r="E42" i="115"/>
  <c r="C42" i="115"/>
  <c r="E41" i="115"/>
  <c r="C41" i="115"/>
  <c r="E40" i="115"/>
  <c r="C40" i="115"/>
  <c r="E39" i="115"/>
  <c r="C39" i="115"/>
  <c r="E38" i="115"/>
  <c r="C38" i="115"/>
  <c r="E37" i="115"/>
  <c r="C37" i="115"/>
  <c r="E36" i="115"/>
  <c r="C36" i="115"/>
  <c r="E35" i="115"/>
  <c r="C35" i="115"/>
  <c r="E34" i="115"/>
  <c r="C34" i="115"/>
  <c r="E33" i="115"/>
  <c r="C33" i="115"/>
  <c r="E32" i="115"/>
  <c r="C32" i="115"/>
  <c r="E31" i="115"/>
  <c r="C31" i="115"/>
  <c r="E30" i="115"/>
  <c r="C30" i="115"/>
  <c r="E29" i="115"/>
  <c r="C29" i="115"/>
  <c r="E28" i="115"/>
  <c r="C28" i="115"/>
  <c r="E27" i="115"/>
  <c r="C27" i="115"/>
  <c r="E26" i="115"/>
  <c r="C26" i="115"/>
  <c r="E25" i="115"/>
  <c r="C25" i="115"/>
  <c r="E24" i="115"/>
  <c r="C24" i="115"/>
  <c r="E23" i="115"/>
  <c r="C23" i="115"/>
  <c r="E22" i="115"/>
  <c r="C22" i="115"/>
  <c r="E21" i="115"/>
  <c r="C21" i="115"/>
  <c r="E20" i="115"/>
  <c r="C20" i="115"/>
  <c r="E19" i="115"/>
  <c r="C19" i="115"/>
  <c r="E18" i="115"/>
  <c r="C18" i="115"/>
  <c r="E17" i="115"/>
  <c r="C17" i="115"/>
  <c r="E16" i="115"/>
  <c r="C16" i="115"/>
  <c r="E15" i="115"/>
  <c r="C15" i="115"/>
  <c r="E14" i="115"/>
  <c r="C14" i="115"/>
  <c r="E13" i="115"/>
  <c r="C13" i="115"/>
  <c r="E12" i="115"/>
  <c r="C12" i="115"/>
  <c r="E11" i="115"/>
  <c r="C11" i="115"/>
  <c r="E10" i="115"/>
  <c r="C10" i="115"/>
  <c r="E9" i="115"/>
  <c r="C9" i="115"/>
  <c r="B2" i="115"/>
  <c r="B3" i="115" s="1"/>
  <c r="E43" i="114"/>
  <c r="C43" i="114"/>
  <c r="E42" i="114"/>
  <c r="C42" i="114"/>
  <c r="E41" i="114"/>
  <c r="C41" i="114"/>
  <c r="E40" i="114"/>
  <c r="C40" i="114"/>
  <c r="E39" i="114"/>
  <c r="C39" i="114"/>
  <c r="E38" i="114"/>
  <c r="C38" i="114"/>
  <c r="E37" i="114"/>
  <c r="C37" i="114"/>
  <c r="E36" i="114"/>
  <c r="C36" i="114"/>
  <c r="E35" i="114"/>
  <c r="C35" i="114"/>
  <c r="E34" i="114"/>
  <c r="C34" i="114"/>
  <c r="E33" i="114"/>
  <c r="C33" i="114"/>
  <c r="E32" i="114"/>
  <c r="C32" i="114"/>
  <c r="E31" i="114"/>
  <c r="C31" i="114"/>
  <c r="E30" i="114"/>
  <c r="C30" i="114"/>
  <c r="E29" i="114"/>
  <c r="C29" i="114"/>
  <c r="E28" i="114"/>
  <c r="C28" i="114"/>
  <c r="E27" i="114"/>
  <c r="C27" i="114"/>
  <c r="E26" i="114"/>
  <c r="C26" i="114"/>
  <c r="E25" i="114"/>
  <c r="C25" i="114"/>
  <c r="E24" i="114"/>
  <c r="C24" i="114"/>
  <c r="E23" i="114"/>
  <c r="C23" i="114"/>
  <c r="E22" i="114"/>
  <c r="C22" i="114"/>
  <c r="E21" i="114"/>
  <c r="C21" i="114"/>
  <c r="E20" i="114"/>
  <c r="C20" i="114"/>
  <c r="E19" i="114"/>
  <c r="C19" i="114"/>
  <c r="E18" i="114"/>
  <c r="C18" i="114"/>
  <c r="E17" i="114"/>
  <c r="C17" i="114"/>
  <c r="E16" i="114"/>
  <c r="C16" i="114"/>
  <c r="E15" i="114"/>
  <c r="C15" i="114"/>
  <c r="E14" i="114"/>
  <c r="C14" i="114"/>
  <c r="E13" i="114"/>
  <c r="C13" i="114"/>
  <c r="E12" i="114"/>
  <c r="C12" i="114"/>
  <c r="E11" i="114"/>
  <c r="C11" i="114"/>
  <c r="E10" i="114"/>
  <c r="C10" i="114"/>
  <c r="E9" i="114"/>
  <c r="C9" i="114"/>
  <c r="B2" i="114"/>
  <c r="B3" i="114" s="1"/>
  <c r="E43" i="113"/>
  <c r="C43" i="113"/>
  <c r="E42" i="113"/>
  <c r="C42" i="113"/>
  <c r="E41" i="113"/>
  <c r="C41" i="113"/>
  <c r="E40" i="113"/>
  <c r="C40" i="113"/>
  <c r="E39" i="113"/>
  <c r="C39" i="113"/>
  <c r="E38" i="113"/>
  <c r="C38" i="113"/>
  <c r="E37" i="113"/>
  <c r="C37" i="113"/>
  <c r="E36" i="113"/>
  <c r="C36" i="113"/>
  <c r="E35" i="113"/>
  <c r="C35" i="113"/>
  <c r="E34" i="113"/>
  <c r="C34" i="113"/>
  <c r="E33" i="113"/>
  <c r="C33" i="113"/>
  <c r="E32" i="113"/>
  <c r="C32" i="113"/>
  <c r="E31" i="113"/>
  <c r="C31" i="113"/>
  <c r="E30" i="113"/>
  <c r="C30" i="113"/>
  <c r="E29" i="113"/>
  <c r="C29" i="113"/>
  <c r="E28" i="113"/>
  <c r="C28" i="113"/>
  <c r="E27" i="113"/>
  <c r="C27" i="113"/>
  <c r="E26" i="113"/>
  <c r="C26" i="113"/>
  <c r="E25" i="113"/>
  <c r="C25" i="113"/>
  <c r="E24" i="113"/>
  <c r="C24" i="113"/>
  <c r="E23" i="113"/>
  <c r="C23" i="113"/>
  <c r="E22" i="113"/>
  <c r="C22" i="113"/>
  <c r="E21" i="113"/>
  <c r="C21" i="113"/>
  <c r="E20" i="113"/>
  <c r="C20" i="113"/>
  <c r="E19" i="113"/>
  <c r="C19" i="113"/>
  <c r="E18" i="113"/>
  <c r="C18" i="113"/>
  <c r="E17" i="113"/>
  <c r="C17" i="113"/>
  <c r="E16" i="113"/>
  <c r="C16" i="113"/>
  <c r="E15" i="113"/>
  <c r="C15" i="113"/>
  <c r="E14" i="113"/>
  <c r="C14" i="113"/>
  <c r="E13" i="113"/>
  <c r="C13" i="113"/>
  <c r="E12" i="113"/>
  <c r="C12" i="113"/>
  <c r="E11" i="113"/>
  <c r="C11" i="113"/>
  <c r="E10" i="113"/>
  <c r="C10" i="113"/>
  <c r="E9" i="113"/>
  <c r="C9" i="113"/>
  <c r="B2" i="113"/>
  <c r="B3" i="113" s="1"/>
  <c r="E43" i="112"/>
  <c r="C43" i="112"/>
  <c r="E42" i="112"/>
  <c r="C42" i="112"/>
  <c r="E41" i="112"/>
  <c r="C41" i="112"/>
  <c r="E40" i="112"/>
  <c r="C40" i="112"/>
  <c r="E39" i="112"/>
  <c r="C39" i="112"/>
  <c r="E38" i="112"/>
  <c r="C38" i="112"/>
  <c r="E37" i="112"/>
  <c r="C37" i="112"/>
  <c r="E36" i="112"/>
  <c r="C36" i="112"/>
  <c r="E35" i="112"/>
  <c r="C35" i="112"/>
  <c r="E34" i="112"/>
  <c r="C34" i="112"/>
  <c r="E33" i="112"/>
  <c r="C33" i="112"/>
  <c r="E32" i="112"/>
  <c r="C32" i="112"/>
  <c r="E31" i="112"/>
  <c r="C31" i="112"/>
  <c r="E30" i="112"/>
  <c r="C30" i="112"/>
  <c r="E29" i="112"/>
  <c r="C29" i="112"/>
  <c r="E28" i="112"/>
  <c r="C28" i="112"/>
  <c r="E27" i="112"/>
  <c r="C27" i="112"/>
  <c r="E26" i="112"/>
  <c r="C26" i="112"/>
  <c r="E25" i="112"/>
  <c r="C25" i="112"/>
  <c r="E24" i="112"/>
  <c r="C24" i="112"/>
  <c r="E23" i="112"/>
  <c r="C23" i="112"/>
  <c r="E22" i="112"/>
  <c r="C22" i="112"/>
  <c r="E21" i="112"/>
  <c r="C21" i="112"/>
  <c r="E20" i="112"/>
  <c r="C20" i="112"/>
  <c r="E19" i="112"/>
  <c r="C19" i="112"/>
  <c r="E18" i="112"/>
  <c r="C18" i="112"/>
  <c r="E17" i="112"/>
  <c r="C17" i="112"/>
  <c r="E16" i="112"/>
  <c r="C16" i="112"/>
  <c r="E15" i="112"/>
  <c r="C15" i="112"/>
  <c r="E14" i="112"/>
  <c r="C14" i="112"/>
  <c r="E13" i="112"/>
  <c r="C13" i="112"/>
  <c r="E12" i="112"/>
  <c r="C12" i="112"/>
  <c r="E11" i="112"/>
  <c r="C11" i="112"/>
  <c r="E10" i="112"/>
  <c r="C10" i="112"/>
  <c r="E9" i="112"/>
  <c r="C9" i="112"/>
  <c r="B2" i="112"/>
  <c r="B5" i="112" s="1"/>
  <c r="E43" i="111"/>
  <c r="C43" i="111"/>
  <c r="E42" i="111"/>
  <c r="C42" i="111"/>
  <c r="E41" i="111"/>
  <c r="C41" i="111"/>
  <c r="E40" i="111"/>
  <c r="C40" i="111"/>
  <c r="E39" i="111"/>
  <c r="C39" i="111"/>
  <c r="E38" i="111"/>
  <c r="C38" i="111"/>
  <c r="E37" i="111"/>
  <c r="C37" i="111"/>
  <c r="E36" i="111"/>
  <c r="C36" i="111"/>
  <c r="E35" i="111"/>
  <c r="C35" i="111"/>
  <c r="E34" i="111"/>
  <c r="C34" i="111"/>
  <c r="E33" i="111"/>
  <c r="C33" i="111"/>
  <c r="E32" i="111"/>
  <c r="C32" i="111"/>
  <c r="E31" i="111"/>
  <c r="C31" i="111"/>
  <c r="E30" i="111"/>
  <c r="C30" i="111"/>
  <c r="E29" i="111"/>
  <c r="C29" i="111"/>
  <c r="E28" i="111"/>
  <c r="C28" i="111"/>
  <c r="E27" i="111"/>
  <c r="C27" i="111"/>
  <c r="E26" i="111"/>
  <c r="C26" i="111"/>
  <c r="E25" i="111"/>
  <c r="C25" i="111"/>
  <c r="E24" i="111"/>
  <c r="C24" i="111"/>
  <c r="E23" i="111"/>
  <c r="C23" i="111"/>
  <c r="E22" i="111"/>
  <c r="C22" i="111"/>
  <c r="E21" i="111"/>
  <c r="C21" i="111"/>
  <c r="E20" i="111"/>
  <c r="C20" i="111"/>
  <c r="E19" i="111"/>
  <c r="C19" i="111"/>
  <c r="E18" i="111"/>
  <c r="C18" i="111"/>
  <c r="E17" i="111"/>
  <c r="C17" i="111"/>
  <c r="E16" i="111"/>
  <c r="C16" i="111"/>
  <c r="E15" i="111"/>
  <c r="C15" i="111"/>
  <c r="E14" i="111"/>
  <c r="C14" i="111"/>
  <c r="E13" i="111"/>
  <c r="C13" i="111"/>
  <c r="E12" i="111"/>
  <c r="C12" i="111"/>
  <c r="E11" i="111"/>
  <c r="C11" i="111"/>
  <c r="E10" i="111"/>
  <c r="C10" i="111"/>
  <c r="E9" i="111"/>
  <c r="C9" i="111"/>
  <c r="B2" i="111"/>
  <c r="B3" i="111" s="1"/>
  <c r="E43" i="110"/>
  <c r="C43" i="110"/>
  <c r="E42" i="110"/>
  <c r="C42" i="110"/>
  <c r="E41" i="110"/>
  <c r="C41" i="110"/>
  <c r="E40" i="110"/>
  <c r="C40" i="110"/>
  <c r="E39" i="110"/>
  <c r="C39" i="110"/>
  <c r="E38" i="110"/>
  <c r="C38" i="110"/>
  <c r="E37" i="110"/>
  <c r="C37" i="110"/>
  <c r="E36" i="110"/>
  <c r="C36" i="110"/>
  <c r="E35" i="110"/>
  <c r="C35" i="110"/>
  <c r="E34" i="110"/>
  <c r="C34" i="110"/>
  <c r="E33" i="110"/>
  <c r="C33" i="110"/>
  <c r="E32" i="110"/>
  <c r="C32" i="110"/>
  <c r="E31" i="110"/>
  <c r="C31" i="110"/>
  <c r="E30" i="110"/>
  <c r="C30" i="110"/>
  <c r="E29" i="110"/>
  <c r="C29" i="110"/>
  <c r="E28" i="110"/>
  <c r="C28" i="110"/>
  <c r="E27" i="110"/>
  <c r="C27" i="110"/>
  <c r="E26" i="110"/>
  <c r="C26" i="110"/>
  <c r="E25" i="110"/>
  <c r="C25" i="110"/>
  <c r="E24" i="110"/>
  <c r="C24" i="110"/>
  <c r="E23" i="110"/>
  <c r="C23" i="110"/>
  <c r="E22" i="110"/>
  <c r="C22" i="110"/>
  <c r="E21" i="110"/>
  <c r="C21" i="110"/>
  <c r="E20" i="110"/>
  <c r="C20" i="110"/>
  <c r="E19" i="110"/>
  <c r="C19" i="110"/>
  <c r="E18" i="110"/>
  <c r="C18" i="110"/>
  <c r="E17" i="110"/>
  <c r="C17" i="110"/>
  <c r="E16" i="110"/>
  <c r="C16" i="110"/>
  <c r="E15" i="110"/>
  <c r="C15" i="110"/>
  <c r="E14" i="110"/>
  <c r="C14" i="110"/>
  <c r="E13" i="110"/>
  <c r="C13" i="110"/>
  <c r="E12" i="110"/>
  <c r="C12" i="110"/>
  <c r="E11" i="110"/>
  <c r="C11" i="110"/>
  <c r="E10" i="110"/>
  <c r="C10" i="110"/>
  <c r="E9" i="110"/>
  <c r="C9" i="110"/>
  <c r="B2" i="110"/>
  <c r="B3" i="110" s="1"/>
  <c r="E43" i="109"/>
  <c r="C43" i="109"/>
  <c r="E42" i="109"/>
  <c r="C42" i="109"/>
  <c r="E41" i="109"/>
  <c r="C41" i="109"/>
  <c r="E40" i="109"/>
  <c r="C40" i="109"/>
  <c r="E39" i="109"/>
  <c r="C39" i="109"/>
  <c r="E38" i="109"/>
  <c r="C38" i="109"/>
  <c r="E37" i="109"/>
  <c r="C37" i="109"/>
  <c r="E36" i="109"/>
  <c r="C36" i="109"/>
  <c r="E35" i="109"/>
  <c r="C35" i="109"/>
  <c r="E34" i="109"/>
  <c r="C34" i="109"/>
  <c r="E33" i="109"/>
  <c r="C33" i="109"/>
  <c r="E32" i="109"/>
  <c r="C32" i="109"/>
  <c r="E31" i="109"/>
  <c r="C31" i="109"/>
  <c r="E30" i="109"/>
  <c r="C30" i="109"/>
  <c r="E29" i="109"/>
  <c r="C29" i="109"/>
  <c r="E28" i="109"/>
  <c r="C28" i="109"/>
  <c r="E27" i="109"/>
  <c r="C27" i="109"/>
  <c r="E26" i="109"/>
  <c r="C26" i="109"/>
  <c r="E25" i="109"/>
  <c r="C25" i="109"/>
  <c r="E24" i="109"/>
  <c r="C24" i="109"/>
  <c r="E23" i="109"/>
  <c r="C23" i="109"/>
  <c r="E22" i="109"/>
  <c r="C22" i="109"/>
  <c r="E21" i="109"/>
  <c r="C21" i="109"/>
  <c r="E20" i="109"/>
  <c r="C20" i="109"/>
  <c r="E19" i="109"/>
  <c r="C19" i="109"/>
  <c r="E18" i="109"/>
  <c r="C18" i="109"/>
  <c r="E17" i="109"/>
  <c r="C17" i="109"/>
  <c r="E16" i="109"/>
  <c r="C16" i="109"/>
  <c r="E15" i="109"/>
  <c r="C15" i="109"/>
  <c r="E14" i="109"/>
  <c r="C14" i="109"/>
  <c r="E13" i="109"/>
  <c r="C13" i="109"/>
  <c r="E12" i="109"/>
  <c r="C12" i="109"/>
  <c r="E11" i="109"/>
  <c r="C11" i="109"/>
  <c r="E10" i="109"/>
  <c r="C10" i="109"/>
  <c r="E9" i="109"/>
  <c r="C9" i="109"/>
  <c r="B2" i="109"/>
  <c r="B3" i="109" s="1"/>
  <c r="E43" i="108"/>
  <c r="C43" i="108"/>
  <c r="E42" i="108"/>
  <c r="C42" i="108"/>
  <c r="E41" i="108"/>
  <c r="C41" i="108"/>
  <c r="E40" i="108"/>
  <c r="C40" i="108"/>
  <c r="E39" i="108"/>
  <c r="C39" i="108"/>
  <c r="E38" i="108"/>
  <c r="C38" i="108"/>
  <c r="E37" i="108"/>
  <c r="C37" i="108"/>
  <c r="E36" i="108"/>
  <c r="C36" i="108"/>
  <c r="E35" i="108"/>
  <c r="C35" i="108"/>
  <c r="E34" i="108"/>
  <c r="C34" i="108"/>
  <c r="E33" i="108"/>
  <c r="C33" i="108"/>
  <c r="E32" i="108"/>
  <c r="C32" i="108"/>
  <c r="E31" i="108"/>
  <c r="C31" i="108"/>
  <c r="E30" i="108"/>
  <c r="C30" i="108"/>
  <c r="E29" i="108"/>
  <c r="C29" i="108"/>
  <c r="E28" i="108"/>
  <c r="C28" i="108"/>
  <c r="E27" i="108"/>
  <c r="C27" i="108"/>
  <c r="E26" i="108"/>
  <c r="C26" i="108"/>
  <c r="E25" i="108"/>
  <c r="C25" i="108"/>
  <c r="E24" i="108"/>
  <c r="C24" i="108"/>
  <c r="E23" i="108"/>
  <c r="C23" i="108"/>
  <c r="E22" i="108"/>
  <c r="C22" i="108"/>
  <c r="E21" i="108"/>
  <c r="C21" i="108"/>
  <c r="E20" i="108"/>
  <c r="C20" i="108"/>
  <c r="E19" i="108"/>
  <c r="C19" i="108"/>
  <c r="E18" i="108"/>
  <c r="C18" i="108"/>
  <c r="E17" i="108"/>
  <c r="C17" i="108"/>
  <c r="E16" i="108"/>
  <c r="C16" i="108"/>
  <c r="E15" i="108"/>
  <c r="C15" i="108"/>
  <c r="E14" i="108"/>
  <c r="C14" i="108"/>
  <c r="E13" i="108"/>
  <c r="C13" i="108"/>
  <c r="E12" i="108"/>
  <c r="C12" i="108"/>
  <c r="E11" i="108"/>
  <c r="C11" i="108"/>
  <c r="E10" i="108"/>
  <c r="C10" i="108"/>
  <c r="E9" i="108"/>
  <c r="C9" i="108"/>
  <c r="B2" i="108"/>
  <c r="B3" i="108" s="1"/>
  <c r="E43" i="107"/>
  <c r="C43" i="107"/>
  <c r="E42" i="107"/>
  <c r="C42" i="107"/>
  <c r="E41" i="107"/>
  <c r="C41" i="107"/>
  <c r="E40" i="107"/>
  <c r="C40" i="107"/>
  <c r="E39" i="107"/>
  <c r="C39" i="107"/>
  <c r="E38" i="107"/>
  <c r="C38" i="107"/>
  <c r="E37" i="107"/>
  <c r="C37" i="107"/>
  <c r="E36" i="107"/>
  <c r="C36" i="107"/>
  <c r="E35" i="107"/>
  <c r="C35" i="107"/>
  <c r="E34" i="107"/>
  <c r="C34" i="107"/>
  <c r="E33" i="107"/>
  <c r="C33" i="107"/>
  <c r="E32" i="107"/>
  <c r="C32" i="107"/>
  <c r="E31" i="107"/>
  <c r="C31" i="107"/>
  <c r="E30" i="107"/>
  <c r="C30" i="107"/>
  <c r="E29" i="107"/>
  <c r="C29" i="107"/>
  <c r="E28" i="107"/>
  <c r="C28" i="107"/>
  <c r="E27" i="107"/>
  <c r="C27" i="107"/>
  <c r="E26" i="107"/>
  <c r="C26" i="107"/>
  <c r="E25" i="107"/>
  <c r="C25" i="107"/>
  <c r="E24" i="107"/>
  <c r="C24" i="107"/>
  <c r="E23" i="107"/>
  <c r="C23" i="107"/>
  <c r="E22" i="107"/>
  <c r="C22" i="107"/>
  <c r="E21" i="107"/>
  <c r="C21" i="107"/>
  <c r="E20" i="107"/>
  <c r="C20" i="107"/>
  <c r="E19" i="107"/>
  <c r="C19" i="107"/>
  <c r="E18" i="107"/>
  <c r="C18" i="107"/>
  <c r="E17" i="107"/>
  <c r="C17" i="107"/>
  <c r="E16" i="107"/>
  <c r="C16" i="107"/>
  <c r="E15" i="107"/>
  <c r="C15" i="107"/>
  <c r="E14" i="107"/>
  <c r="C14" i="107"/>
  <c r="E13" i="107"/>
  <c r="C13" i="107"/>
  <c r="E12" i="107"/>
  <c r="C12" i="107"/>
  <c r="E11" i="107"/>
  <c r="C11" i="107"/>
  <c r="E10" i="107"/>
  <c r="C10" i="107"/>
  <c r="E9" i="107"/>
  <c r="C9" i="107"/>
  <c r="B2" i="107"/>
  <c r="B3" i="107" s="1"/>
  <c r="E43" i="106"/>
  <c r="C43" i="106"/>
  <c r="E42" i="106"/>
  <c r="C42" i="106"/>
  <c r="E41" i="106"/>
  <c r="C41" i="106"/>
  <c r="E40" i="106"/>
  <c r="C40" i="106"/>
  <c r="E39" i="106"/>
  <c r="C39" i="106"/>
  <c r="E38" i="106"/>
  <c r="C38" i="106"/>
  <c r="E37" i="106"/>
  <c r="C37" i="106"/>
  <c r="E36" i="106"/>
  <c r="C36" i="106"/>
  <c r="E35" i="106"/>
  <c r="C35" i="106"/>
  <c r="E34" i="106"/>
  <c r="C34" i="106"/>
  <c r="E33" i="106"/>
  <c r="C33" i="106"/>
  <c r="E32" i="106"/>
  <c r="C32" i="106"/>
  <c r="E31" i="106"/>
  <c r="C31" i="106"/>
  <c r="E30" i="106"/>
  <c r="C30" i="106"/>
  <c r="E29" i="106"/>
  <c r="C29" i="106"/>
  <c r="E28" i="106"/>
  <c r="C28" i="106"/>
  <c r="E27" i="106"/>
  <c r="C27" i="106"/>
  <c r="E26" i="106"/>
  <c r="C26" i="106"/>
  <c r="E25" i="106"/>
  <c r="C25" i="106"/>
  <c r="E24" i="106"/>
  <c r="C24" i="106"/>
  <c r="E23" i="106"/>
  <c r="C23" i="106"/>
  <c r="E22" i="106"/>
  <c r="C22" i="106"/>
  <c r="E21" i="106"/>
  <c r="C21" i="106"/>
  <c r="E20" i="106"/>
  <c r="C20" i="106"/>
  <c r="E19" i="106"/>
  <c r="C19" i="106"/>
  <c r="E18" i="106"/>
  <c r="C18" i="106"/>
  <c r="E17" i="106"/>
  <c r="C17" i="106"/>
  <c r="E16" i="106"/>
  <c r="C16" i="106"/>
  <c r="E15" i="106"/>
  <c r="C15" i="106"/>
  <c r="E14" i="106"/>
  <c r="C14" i="106"/>
  <c r="E13" i="106"/>
  <c r="C13" i="106"/>
  <c r="E12" i="106"/>
  <c r="C12" i="106"/>
  <c r="E11" i="106"/>
  <c r="C11" i="106"/>
  <c r="E10" i="106"/>
  <c r="C10" i="106"/>
  <c r="E9" i="106"/>
  <c r="C9" i="106"/>
  <c r="B2" i="106"/>
  <c r="B3" i="106" s="1"/>
  <c r="E43" i="105"/>
  <c r="C43" i="105"/>
  <c r="E42" i="105"/>
  <c r="C42" i="105"/>
  <c r="E41" i="105"/>
  <c r="C41" i="105"/>
  <c r="E40" i="105"/>
  <c r="C40" i="105"/>
  <c r="E39" i="105"/>
  <c r="C39" i="105"/>
  <c r="E38" i="105"/>
  <c r="C38" i="105"/>
  <c r="E37" i="105"/>
  <c r="C37" i="105"/>
  <c r="E36" i="105"/>
  <c r="C36" i="105"/>
  <c r="E35" i="105"/>
  <c r="C35" i="105"/>
  <c r="E34" i="105"/>
  <c r="C34" i="105"/>
  <c r="E33" i="105"/>
  <c r="C33" i="105"/>
  <c r="E32" i="105"/>
  <c r="C32" i="105"/>
  <c r="E31" i="105"/>
  <c r="C31" i="105"/>
  <c r="E30" i="105"/>
  <c r="C30" i="105"/>
  <c r="E29" i="105"/>
  <c r="C29" i="105"/>
  <c r="E28" i="105"/>
  <c r="C28" i="105"/>
  <c r="E27" i="105"/>
  <c r="C27" i="105"/>
  <c r="E26" i="105"/>
  <c r="C26" i="105"/>
  <c r="E25" i="105"/>
  <c r="C25" i="105"/>
  <c r="E24" i="105"/>
  <c r="C24" i="105"/>
  <c r="E23" i="105"/>
  <c r="C23" i="105"/>
  <c r="E22" i="105"/>
  <c r="C22" i="105"/>
  <c r="E21" i="105"/>
  <c r="C21" i="105"/>
  <c r="E20" i="105"/>
  <c r="C20" i="105"/>
  <c r="E19" i="105"/>
  <c r="C19" i="105"/>
  <c r="E18" i="105"/>
  <c r="C18" i="105"/>
  <c r="E17" i="105"/>
  <c r="C17" i="105"/>
  <c r="E16" i="105"/>
  <c r="C16" i="105"/>
  <c r="E15" i="105"/>
  <c r="C15" i="105"/>
  <c r="E14" i="105"/>
  <c r="C14" i="105"/>
  <c r="E13" i="105"/>
  <c r="C13" i="105"/>
  <c r="E12" i="105"/>
  <c r="C12" i="105"/>
  <c r="E11" i="105"/>
  <c r="C11" i="105"/>
  <c r="E10" i="105"/>
  <c r="C10" i="105"/>
  <c r="E9" i="105"/>
  <c r="C9" i="105"/>
  <c r="B2" i="105"/>
  <c r="B3" i="105" s="1"/>
  <c r="E43" i="104"/>
  <c r="C43" i="104"/>
  <c r="E42" i="104"/>
  <c r="C42" i="104"/>
  <c r="E41" i="104"/>
  <c r="C41" i="104"/>
  <c r="E40" i="104"/>
  <c r="C40" i="104"/>
  <c r="E39" i="104"/>
  <c r="C39" i="104"/>
  <c r="E38" i="104"/>
  <c r="C38" i="104"/>
  <c r="E37" i="104"/>
  <c r="C37" i="104"/>
  <c r="E36" i="104"/>
  <c r="C36" i="104"/>
  <c r="E35" i="104"/>
  <c r="C35" i="104"/>
  <c r="E34" i="104"/>
  <c r="C34" i="104"/>
  <c r="E33" i="104"/>
  <c r="C33" i="104"/>
  <c r="E32" i="104"/>
  <c r="C32" i="104"/>
  <c r="E31" i="104"/>
  <c r="C31" i="104"/>
  <c r="E30" i="104"/>
  <c r="C30" i="104"/>
  <c r="E29" i="104"/>
  <c r="C29" i="104"/>
  <c r="E28" i="104"/>
  <c r="C28" i="104"/>
  <c r="E27" i="104"/>
  <c r="C27" i="104"/>
  <c r="E26" i="104"/>
  <c r="C26" i="104"/>
  <c r="E25" i="104"/>
  <c r="C25" i="104"/>
  <c r="E24" i="104"/>
  <c r="C24" i="104"/>
  <c r="E23" i="104"/>
  <c r="C23" i="104"/>
  <c r="E22" i="104"/>
  <c r="C22" i="104"/>
  <c r="E21" i="104"/>
  <c r="C21" i="104"/>
  <c r="E20" i="104"/>
  <c r="C20" i="104"/>
  <c r="E19" i="104"/>
  <c r="C19" i="104"/>
  <c r="E18" i="104"/>
  <c r="C18" i="104"/>
  <c r="E17" i="104"/>
  <c r="C17" i="104"/>
  <c r="E16" i="104"/>
  <c r="C16" i="104"/>
  <c r="E15" i="104"/>
  <c r="C15" i="104"/>
  <c r="E14" i="104"/>
  <c r="C14" i="104"/>
  <c r="E13" i="104"/>
  <c r="C13" i="104"/>
  <c r="E12" i="104"/>
  <c r="C12" i="104"/>
  <c r="E11" i="104"/>
  <c r="C11" i="104"/>
  <c r="E10" i="104"/>
  <c r="C10" i="104"/>
  <c r="E9" i="104"/>
  <c r="C9" i="104"/>
  <c r="B2" i="104"/>
  <c r="B3" i="104" s="1"/>
  <c r="E43" i="103"/>
  <c r="C43" i="103"/>
  <c r="E42" i="103"/>
  <c r="C42" i="103"/>
  <c r="E41" i="103"/>
  <c r="C41" i="103"/>
  <c r="E40" i="103"/>
  <c r="C40" i="103"/>
  <c r="E39" i="103"/>
  <c r="C39" i="103"/>
  <c r="E38" i="103"/>
  <c r="C38" i="103"/>
  <c r="E37" i="103"/>
  <c r="C37" i="103"/>
  <c r="E36" i="103"/>
  <c r="C36" i="103"/>
  <c r="E35" i="103"/>
  <c r="C35" i="103"/>
  <c r="E34" i="103"/>
  <c r="C34" i="103"/>
  <c r="E33" i="103"/>
  <c r="C33" i="103"/>
  <c r="E32" i="103"/>
  <c r="C32" i="103"/>
  <c r="E31" i="103"/>
  <c r="C31" i="103"/>
  <c r="E30" i="103"/>
  <c r="C30" i="103"/>
  <c r="E29" i="103"/>
  <c r="C29" i="103"/>
  <c r="E28" i="103"/>
  <c r="C28" i="103"/>
  <c r="E27" i="103"/>
  <c r="C27" i="103"/>
  <c r="E26" i="103"/>
  <c r="C26" i="103"/>
  <c r="E25" i="103"/>
  <c r="C25" i="103"/>
  <c r="E24" i="103"/>
  <c r="C24" i="103"/>
  <c r="E23" i="103"/>
  <c r="C23" i="103"/>
  <c r="E22" i="103"/>
  <c r="C22" i="103"/>
  <c r="E21" i="103"/>
  <c r="C21" i="103"/>
  <c r="E20" i="103"/>
  <c r="C20" i="103"/>
  <c r="E19" i="103"/>
  <c r="C19" i="103"/>
  <c r="E18" i="103"/>
  <c r="C18" i="103"/>
  <c r="E17" i="103"/>
  <c r="C17" i="103"/>
  <c r="E16" i="103"/>
  <c r="C16" i="103"/>
  <c r="E15" i="103"/>
  <c r="C15" i="103"/>
  <c r="E14" i="103"/>
  <c r="C14" i="103"/>
  <c r="E13" i="103"/>
  <c r="C13" i="103"/>
  <c r="E12" i="103"/>
  <c r="C12" i="103"/>
  <c r="E11" i="103"/>
  <c r="C11" i="103"/>
  <c r="E10" i="103"/>
  <c r="C10" i="103"/>
  <c r="E9" i="103"/>
  <c r="C9" i="103"/>
  <c r="B2" i="103"/>
  <c r="B3" i="103" s="1"/>
  <c r="E43" i="102"/>
  <c r="C43" i="102"/>
  <c r="E42" i="102"/>
  <c r="C42" i="102"/>
  <c r="E41" i="102"/>
  <c r="C41" i="102"/>
  <c r="E40" i="102"/>
  <c r="C40" i="102"/>
  <c r="E39" i="102"/>
  <c r="C39" i="102"/>
  <c r="E38" i="102"/>
  <c r="C38" i="102"/>
  <c r="E37" i="102"/>
  <c r="C37" i="102"/>
  <c r="E36" i="102"/>
  <c r="C36" i="102"/>
  <c r="E35" i="102"/>
  <c r="C35" i="102"/>
  <c r="E34" i="102"/>
  <c r="C34" i="102"/>
  <c r="E33" i="102"/>
  <c r="C33" i="102"/>
  <c r="E32" i="102"/>
  <c r="C32" i="102"/>
  <c r="E31" i="102"/>
  <c r="C31" i="102"/>
  <c r="E30" i="102"/>
  <c r="C30" i="102"/>
  <c r="E29" i="102"/>
  <c r="C29" i="102"/>
  <c r="E28" i="102"/>
  <c r="C28" i="102"/>
  <c r="E27" i="102"/>
  <c r="C27" i="102"/>
  <c r="E26" i="102"/>
  <c r="C26" i="102"/>
  <c r="E25" i="102"/>
  <c r="C25" i="102"/>
  <c r="E24" i="102"/>
  <c r="C24" i="102"/>
  <c r="E23" i="102"/>
  <c r="C23" i="102"/>
  <c r="E22" i="102"/>
  <c r="C22" i="102"/>
  <c r="E21" i="102"/>
  <c r="C21" i="102"/>
  <c r="E20" i="102"/>
  <c r="C20" i="102"/>
  <c r="E19" i="102"/>
  <c r="C19" i="102"/>
  <c r="E18" i="102"/>
  <c r="C18" i="102"/>
  <c r="E17" i="102"/>
  <c r="C17" i="102"/>
  <c r="E16" i="102"/>
  <c r="C16" i="102"/>
  <c r="E15" i="102"/>
  <c r="C15" i="102"/>
  <c r="E14" i="102"/>
  <c r="C14" i="102"/>
  <c r="E13" i="102"/>
  <c r="C13" i="102"/>
  <c r="E12" i="102"/>
  <c r="C12" i="102"/>
  <c r="E11" i="102"/>
  <c r="C11" i="102"/>
  <c r="E10" i="102"/>
  <c r="C10" i="102"/>
  <c r="E9" i="102"/>
  <c r="C9" i="102"/>
  <c r="B2" i="102"/>
  <c r="B5" i="102" s="1"/>
  <c r="C9" i="5"/>
  <c r="C12" i="5"/>
  <c r="C13" i="5"/>
  <c r="C14" i="5"/>
  <c r="C16" i="5"/>
  <c r="B4" i="203" l="1"/>
  <c r="B5" i="203"/>
  <c r="B4" i="202"/>
  <c r="B5" i="202"/>
  <c r="B4" i="201"/>
  <c r="B5" i="201"/>
  <c r="B4" i="200"/>
  <c r="B3" i="200"/>
  <c r="B4" i="199"/>
  <c r="B5" i="199"/>
  <c r="B4" i="198"/>
  <c r="B5" i="198"/>
  <c r="B4" i="197"/>
  <c r="B5" i="197"/>
  <c r="B4" i="196"/>
  <c r="B5" i="196"/>
  <c r="B4" i="195"/>
  <c r="B5" i="195"/>
  <c r="B4" i="194"/>
  <c r="B5" i="194"/>
  <c r="B4" i="193"/>
  <c r="B5" i="193"/>
  <c r="B4" i="192"/>
  <c r="B5" i="192"/>
  <c r="B4" i="191"/>
  <c r="B5" i="191"/>
  <c r="B4" i="190"/>
  <c r="B5" i="190"/>
  <c r="B4" i="189"/>
  <c r="B5" i="189"/>
  <c r="B4" i="188"/>
  <c r="B5" i="188"/>
  <c r="B5" i="187"/>
  <c r="B4" i="187"/>
  <c r="B4" i="186"/>
  <c r="B5" i="186"/>
  <c r="B4" i="185"/>
  <c r="B5" i="185"/>
  <c r="B4" i="184"/>
  <c r="B5" i="184"/>
  <c r="B4" i="183"/>
  <c r="B5" i="183"/>
  <c r="B4" i="182"/>
  <c r="B5" i="182"/>
  <c r="B5" i="181"/>
  <c r="B4" i="181"/>
  <c r="B4" i="180"/>
  <c r="B5" i="180"/>
  <c r="B4" i="179"/>
  <c r="B5" i="179"/>
  <c r="B4" i="178"/>
  <c r="B5" i="178"/>
  <c r="B4" i="177"/>
  <c r="B5" i="177"/>
  <c r="B4" i="176"/>
  <c r="B5" i="176"/>
  <c r="B5" i="175"/>
  <c r="B4" i="175"/>
  <c r="B4" i="174"/>
  <c r="B5" i="174"/>
  <c r="B4" i="173"/>
  <c r="B5" i="173"/>
  <c r="B3" i="172"/>
  <c r="B4" i="172"/>
  <c r="B4" i="171"/>
  <c r="B5" i="171"/>
  <c r="B4" i="170"/>
  <c r="B5" i="170"/>
  <c r="B4" i="169"/>
  <c r="B5" i="169"/>
  <c r="B3" i="168"/>
  <c r="B4" i="168"/>
  <c r="B4" i="167"/>
  <c r="B5" i="167"/>
  <c r="B4" i="166"/>
  <c r="B5" i="166"/>
  <c r="B4" i="165"/>
  <c r="B5" i="165"/>
  <c r="B4" i="164"/>
  <c r="B5" i="164"/>
  <c r="B4" i="163"/>
  <c r="B5" i="163"/>
  <c r="B4" i="162"/>
  <c r="B5" i="162"/>
  <c r="B4" i="161"/>
  <c r="B5" i="161"/>
  <c r="B4" i="160"/>
  <c r="B5" i="160"/>
  <c r="B4" i="159"/>
  <c r="B5" i="159"/>
  <c r="B4" i="158"/>
  <c r="B5" i="158"/>
  <c r="B4" i="157"/>
  <c r="B5" i="157"/>
  <c r="B3" i="156"/>
  <c r="B5" i="156"/>
  <c r="B4" i="155"/>
  <c r="B5" i="155"/>
  <c r="B4" i="154"/>
  <c r="B5" i="154"/>
  <c r="B4" i="153"/>
  <c r="B5" i="153"/>
  <c r="B4" i="152"/>
  <c r="B5" i="152"/>
  <c r="B3" i="151"/>
  <c r="B4" i="151"/>
  <c r="B4" i="150"/>
  <c r="B5" i="150"/>
  <c r="B4" i="149"/>
  <c r="B5" i="149"/>
  <c r="B4" i="148"/>
  <c r="B5" i="148"/>
  <c r="B4" i="147"/>
  <c r="B5" i="147"/>
  <c r="B4" i="146"/>
  <c r="B5" i="146"/>
  <c r="B5" i="145"/>
  <c r="B4" i="145"/>
  <c r="B4" i="144"/>
  <c r="B5" i="144"/>
  <c r="B4" i="143"/>
  <c r="B5" i="143"/>
  <c r="B4" i="142"/>
  <c r="B5" i="142"/>
  <c r="B4" i="141"/>
  <c r="B5" i="141"/>
  <c r="B4" i="140"/>
  <c r="B5" i="140"/>
  <c r="B4" i="139"/>
  <c r="B5" i="139"/>
  <c r="B4" i="138"/>
  <c r="B5" i="138"/>
  <c r="B5" i="137"/>
  <c r="B4" i="137"/>
  <c r="B4" i="136"/>
  <c r="B5" i="136"/>
  <c r="B4" i="135"/>
  <c r="B5" i="135"/>
  <c r="B4" i="134"/>
  <c r="B5" i="134"/>
  <c r="B4" i="133"/>
  <c r="B5" i="133"/>
  <c r="B4" i="132"/>
  <c r="B5" i="132"/>
  <c r="B4" i="131"/>
  <c r="B5" i="131"/>
  <c r="B4" i="130"/>
  <c r="B5" i="130"/>
  <c r="B4" i="129"/>
  <c r="B5" i="129"/>
  <c r="B5" i="128"/>
  <c r="B4" i="128"/>
  <c r="B3" i="127"/>
  <c r="B4" i="127"/>
  <c r="B4" i="126"/>
  <c r="B5" i="126"/>
  <c r="B4" i="125"/>
  <c r="B5" i="125"/>
  <c r="B4" i="124"/>
  <c r="B5" i="124"/>
  <c r="B4" i="123"/>
  <c r="B5" i="123"/>
  <c r="B4" i="122"/>
  <c r="B5" i="122"/>
  <c r="B3" i="121"/>
  <c r="B4" i="121"/>
  <c r="B4" i="120"/>
  <c r="B5" i="120"/>
  <c r="B4" i="119"/>
  <c r="B5" i="119"/>
  <c r="B4" i="118"/>
  <c r="B5" i="118"/>
  <c r="B4" i="117"/>
  <c r="B5" i="117"/>
  <c r="B3" i="116"/>
  <c r="B4" i="116"/>
  <c r="B4" i="115"/>
  <c r="B5" i="115"/>
  <c r="B4" i="114"/>
  <c r="B5" i="114"/>
  <c r="B4" i="113"/>
  <c r="B5" i="113"/>
  <c r="B3" i="112"/>
  <c r="B4" i="112"/>
  <c r="B4" i="111"/>
  <c r="B5" i="111"/>
  <c r="B4" i="110"/>
  <c r="B5" i="110"/>
  <c r="B5" i="109"/>
  <c r="B4" i="109"/>
  <c r="B4" i="108"/>
  <c r="B5" i="108"/>
  <c r="B4" i="107"/>
  <c r="B5" i="107"/>
  <c r="B4" i="106"/>
  <c r="B5" i="106"/>
  <c r="B5" i="105"/>
  <c r="B4" i="105"/>
  <c r="B4" i="104"/>
  <c r="B5" i="104"/>
  <c r="B5" i="103"/>
  <c r="B4" i="103"/>
  <c r="B3" i="102"/>
  <c r="B4" i="102"/>
  <c r="E43" i="101"/>
  <c r="C43" i="101"/>
  <c r="E42" i="101"/>
  <c r="C42" i="101"/>
  <c r="E41" i="101"/>
  <c r="C41" i="101"/>
  <c r="E40" i="101"/>
  <c r="C40" i="101"/>
  <c r="E39" i="101"/>
  <c r="C39" i="101"/>
  <c r="E38" i="101"/>
  <c r="C38" i="101"/>
  <c r="E37" i="101"/>
  <c r="C37" i="101"/>
  <c r="E36" i="101"/>
  <c r="C36" i="101"/>
  <c r="E35" i="101"/>
  <c r="C35" i="101"/>
  <c r="E34" i="101"/>
  <c r="C34" i="101"/>
  <c r="E33" i="101"/>
  <c r="C33" i="101"/>
  <c r="E32" i="101"/>
  <c r="C32" i="101"/>
  <c r="E31" i="101"/>
  <c r="C31" i="101"/>
  <c r="E30" i="101"/>
  <c r="C30" i="101"/>
  <c r="E29" i="101"/>
  <c r="C29" i="101"/>
  <c r="E28" i="101"/>
  <c r="C28" i="101"/>
  <c r="E27" i="101"/>
  <c r="C27" i="101"/>
  <c r="E26" i="101"/>
  <c r="C26" i="101"/>
  <c r="E25" i="101"/>
  <c r="C25" i="101"/>
  <c r="E24" i="101"/>
  <c r="C24" i="101"/>
  <c r="E23" i="101"/>
  <c r="C23" i="101"/>
  <c r="E22" i="101"/>
  <c r="C22" i="101"/>
  <c r="E21" i="101"/>
  <c r="C21" i="101"/>
  <c r="E20" i="101"/>
  <c r="C20" i="101"/>
  <c r="E19" i="101"/>
  <c r="C19" i="101"/>
  <c r="E18" i="101"/>
  <c r="C18" i="101"/>
  <c r="E17" i="101"/>
  <c r="C17" i="101"/>
  <c r="E16" i="101"/>
  <c r="C16" i="101"/>
  <c r="E15" i="101"/>
  <c r="C15" i="101"/>
  <c r="E14" i="101"/>
  <c r="C14" i="101"/>
  <c r="E13" i="101"/>
  <c r="C13" i="101"/>
  <c r="E12" i="101"/>
  <c r="C12" i="101"/>
  <c r="E11" i="101"/>
  <c r="C11" i="101"/>
  <c r="E10" i="101"/>
  <c r="C10" i="101"/>
  <c r="E9" i="101"/>
  <c r="C9" i="101"/>
  <c r="E43" i="100"/>
  <c r="C43" i="100"/>
  <c r="E42" i="100"/>
  <c r="C42" i="100"/>
  <c r="E41" i="100"/>
  <c r="C41" i="100"/>
  <c r="E40" i="100"/>
  <c r="C40" i="100"/>
  <c r="E39" i="100"/>
  <c r="C39" i="100"/>
  <c r="E38" i="100"/>
  <c r="C38" i="100"/>
  <c r="E37" i="100"/>
  <c r="C37" i="100"/>
  <c r="E36" i="100"/>
  <c r="C36" i="100"/>
  <c r="E35" i="100"/>
  <c r="C35" i="100"/>
  <c r="E34" i="100"/>
  <c r="C34" i="100"/>
  <c r="E33" i="100"/>
  <c r="C33" i="100"/>
  <c r="E32" i="100"/>
  <c r="C32" i="100"/>
  <c r="E31" i="100"/>
  <c r="C31" i="100"/>
  <c r="E30" i="100"/>
  <c r="C30" i="100"/>
  <c r="E29" i="100"/>
  <c r="C29" i="100"/>
  <c r="E28" i="100"/>
  <c r="C28" i="100"/>
  <c r="E27" i="100"/>
  <c r="C27" i="100"/>
  <c r="E26" i="100"/>
  <c r="C26" i="100"/>
  <c r="E25" i="100"/>
  <c r="C25" i="100"/>
  <c r="E24" i="100"/>
  <c r="C24" i="100"/>
  <c r="E23" i="100"/>
  <c r="C23" i="100"/>
  <c r="E22" i="100"/>
  <c r="C22" i="100"/>
  <c r="E21" i="100"/>
  <c r="C21" i="100"/>
  <c r="E20" i="100"/>
  <c r="C20" i="100"/>
  <c r="E19" i="100"/>
  <c r="C19" i="100"/>
  <c r="E18" i="100"/>
  <c r="C18" i="100"/>
  <c r="E17" i="100"/>
  <c r="C17" i="100"/>
  <c r="E16" i="100"/>
  <c r="C16" i="100"/>
  <c r="E15" i="100"/>
  <c r="C15" i="100"/>
  <c r="E14" i="100"/>
  <c r="C14" i="100"/>
  <c r="E13" i="100"/>
  <c r="C13" i="100"/>
  <c r="E12" i="100"/>
  <c r="C12" i="100"/>
  <c r="E11" i="100"/>
  <c r="C11" i="100"/>
  <c r="E10" i="100"/>
  <c r="C10" i="100"/>
  <c r="E9" i="100"/>
  <c r="C9" i="100"/>
  <c r="E43" i="99"/>
  <c r="C43" i="99"/>
  <c r="E42" i="99"/>
  <c r="C42" i="99"/>
  <c r="E41" i="99"/>
  <c r="C41" i="99"/>
  <c r="E40" i="99"/>
  <c r="C40" i="99"/>
  <c r="E39" i="99"/>
  <c r="C39" i="99"/>
  <c r="E38" i="99"/>
  <c r="C38" i="99"/>
  <c r="E37" i="99"/>
  <c r="C37" i="99"/>
  <c r="E36" i="99"/>
  <c r="C36" i="99"/>
  <c r="E35" i="99"/>
  <c r="C35" i="99"/>
  <c r="E34" i="99"/>
  <c r="C34" i="99"/>
  <c r="E33" i="99"/>
  <c r="C33" i="99"/>
  <c r="E32" i="99"/>
  <c r="C32" i="99"/>
  <c r="E31" i="99"/>
  <c r="C31" i="99"/>
  <c r="E30" i="99"/>
  <c r="C30" i="99"/>
  <c r="E29" i="99"/>
  <c r="C29" i="99"/>
  <c r="E28" i="99"/>
  <c r="C28" i="99"/>
  <c r="E27" i="99"/>
  <c r="C27" i="99"/>
  <c r="E26" i="99"/>
  <c r="C26" i="99"/>
  <c r="E25" i="99"/>
  <c r="C25" i="99"/>
  <c r="E24" i="99"/>
  <c r="C24" i="99"/>
  <c r="E23" i="99"/>
  <c r="C23" i="99"/>
  <c r="E22" i="99"/>
  <c r="C22" i="99"/>
  <c r="E21" i="99"/>
  <c r="C21" i="99"/>
  <c r="E20" i="99"/>
  <c r="C20" i="99"/>
  <c r="E19" i="99"/>
  <c r="C19" i="99"/>
  <c r="E18" i="99"/>
  <c r="C18" i="99"/>
  <c r="E17" i="99"/>
  <c r="C17" i="99"/>
  <c r="E16" i="99"/>
  <c r="C16" i="99"/>
  <c r="E15" i="99"/>
  <c r="C15" i="99"/>
  <c r="E14" i="99"/>
  <c r="C14" i="99"/>
  <c r="E13" i="99"/>
  <c r="C13" i="99"/>
  <c r="E12" i="99"/>
  <c r="C12" i="99"/>
  <c r="E11" i="99"/>
  <c r="C11" i="99"/>
  <c r="E10" i="99"/>
  <c r="C10" i="99"/>
  <c r="E9" i="99"/>
  <c r="C9" i="99"/>
  <c r="E43" i="98"/>
  <c r="C43" i="98"/>
  <c r="E42" i="98"/>
  <c r="C42" i="98"/>
  <c r="E41" i="98"/>
  <c r="C41" i="98"/>
  <c r="E40" i="98"/>
  <c r="C40" i="98"/>
  <c r="E39" i="98"/>
  <c r="C39" i="98"/>
  <c r="E38" i="98"/>
  <c r="C38" i="98"/>
  <c r="E37" i="98"/>
  <c r="C37" i="98"/>
  <c r="E36" i="98"/>
  <c r="C36" i="98"/>
  <c r="E35" i="98"/>
  <c r="C35" i="98"/>
  <c r="E34" i="98"/>
  <c r="C34" i="98"/>
  <c r="E33" i="98"/>
  <c r="C33" i="98"/>
  <c r="E32" i="98"/>
  <c r="C32" i="98"/>
  <c r="E31" i="98"/>
  <c r="C31" i="98"/>
  <c r="E30" i="98"/>
  <c r="C30" i="98"/>
  <c r="E29" i="98"/>
  <c r="C29" i="98"/>
  <c r="E28" i="98"/>
  <c r="C28" i="98"/>
  <c r="E27" i="98"/>
  <c r="C27" i="98"/>
  <c r="E26" i="98"/>
  <c r="C26" i="98"/>
  <c r="E25" i="98"/>
  <c r="C25" i="98"/>
  <c r="E24" i="98"/>
  <c r="C24" i="98"/>
  <c r="E23" i="98"/>
  <c r="C23" i="98"/>
  <c r="E22" i="98"/>
  <c r="C22" i="98"/>
  <c r="E21" i="98"/>
  <c r="C21" i="98"/>
  <c r="E20" i="98"/>
  <c r="C20" i="98"/>
  <c r="E19" i="98"/>
  <c r="C19" i="98"/>
  <c r="E18" i="98"/>
  <c r="C18" i="98"/>
  <c r="E17" i="98"/>
  <c r="C17" i="98"/>
  <c r="E16" i="98"/>
  <c r="C16" i="98"/>
  <c r="E15" i="98"/>
  <c r="C15" i="98"/>
  <c r="E14" i="98"/>
  <c r="C14" i="98"/>
  <c r="E13" i="98"/>
  <c r="C13" i="98"/>
  <c r="E12" i="98"/>
  <c r="C12" i="98"/>
  <c r="E11" i="98"/>
  <c r="C11" i="98"/>
  <c r="E10" i="98"/>
  <c r="C10" i="98"/>
  <c r="E9" i="98"/>
  <c r="C9" i="98"/>
  <c r="E43" i="97"/>
  <c r="C43" i="97"/>
  <c r="E42" i="97"/>
  <c r="C42" i="97"/>
  <c r="E41" i="97"/>
  <c r="C41" i="97"/>
  <c r="E40" i="97"/>
  <c r="C40" i="97"/>
  <c r="E39" i="97"/>
  <c r="C39" i="97"/>
  <c r="E38" i="97"/>
  <c r="C38" i="97"/>
  <c r="E37" i="97"/>
  <c r="C37" i="97"/>
  <c r="E36" i="97"/>
  <c r="C36" i="97"/>
  <c r="E35" i="97"/>
  <c r="C35" i="97"/>
  <c r="E34" i="97"/>
  <c r="C34" i="97"/>
  <c r="E33" i="97"/>
  <c r="C33" i="97"/>
  <c r="E32" i="97"/>
  <c r="C32" i="97"/>
  <c r="E31" i="97"/>
  <c r="C31" i="97"/>
  <c r="E30" i="97"/>
  <c r="C30" i="97"/>
  <c r="E29" i="97"/>
  <c r="C29" i="97"/>
  <c r="E28" i="97"/>
  <c r="C28" i="97"/>
  <c r="E27" i="97"/>
  <c r="C27" i="97"/>
  <c r="E26" i="97"/>
  <c r="C26" i="97"/>
  <c r="E25" i="97"/>
  <c r="C25" i="97"/>
  <c r="E24" i="97"/>
  <c r="C24" i="97"/>
  <c r="E23" i="97"/>
  <c r="C23" i="97"/>
  <c r="E22" i="97"/>
  <c r="C22" i="97"/>
  <c r="E21" i="97"/>
  <c r="C21" i="97"/>
  <c r="E20" i="97"/>
  <c r="C20" i="97"/>
  <c r="E19" i="97"/>
  <c r="C19" i="97"/>
  <c r="E18" i="97"/>
  <c r="C18" i="97"/>
  <c r="E17" i="97"/>
  <c r="C17" i="97"/>
  <c r="E16" i="97"/>
  <c r="C16" i="97"/>
  <c r="E15" i="97"/>
  <c r="C15" i="97"/>
  <c r="E14" i="97"/>
  <c r="C14" i="97"/>
  <c r="E13" i="97"/>
  <c r="C13" i="97"/>
  <c r="E12" i="97"/>
  <c r="C12" i="97"/>
  <c r="E11" i="97"/>
  <c r="C11" i="97"/>
  <c r="E10" i="97"/>
  <c r="C10" i="97"/>
  <c r="E9" i="97"/>
  <c r="C9" i="97"/>
  <c r="E43" i="96"/>
  <c r="C43" i="96"/>
  <c r="E42" i="96"/>
  <c r="C42" i="96"/>
  <c r="E41" i="96"/>
  <c r="C41" i="96"/>
  <c r="E40" i="96"/>
  <c r="C40" i="96"/>
  <c r="E39" i="96"/>
  <c r="C39" i="96"/>
  <c r="E38" i="96"/>
  <c r="C38" i="96"/>
  <c r="E37" i="96"/>
  <c r="C37" i="96"/>
  <c r="E36" i="96"/>
  <c r="C36" i="96"/>
  <c r="E35" i="96"/>
  <c r="C35" i="96"/>
  <c r="E34" i="96"/>
  <c r="C34" i="96"/>
  <c r="E33" i="96"/>
  <c r="C33" i="96"/>
  <c r="E32" i="96"/>
  <c r="C32" i="96"/>
  <c r="E31" i="96"/>
  <c r="C31" i="96"/>
  <c r="E30" i="96"/>
  <c r="C30" i="96"/>
  <c r="E29" i="96"/>
  <c r="C29" i="96"/>
  <c r="E28" i="96"/>
  <c r="C28" i="96"/>
  <c r="E27" i="96"/>
  <c r="C27" i="96"/>
  <c r="E26" i="96"/>
  <c r="C26" i="96"/>
  <c r="E25" i="96"/>
  <c r="C25" i="96"/>
  <c r="E24" i="96"/>
  <c r="C24" i="96"/>
  <c r="E23" i="96"/>
  <c r="C23" i="96"/>
  <c r="E22" i="96"/>
  <c r="C22" i="96"/>
  <c r="E21" i="96"/>
  <c r="C21" i="96"/>
  <c r="E20" i="96"/>
  <c r="C20" i="96"/>
  <c r="E19" i="96"/>
  <c r="C19" i="96"/>
  <c r="E18" i="96"/>
  <c r="C18" i="96"/>
  <c r="E17" i="96"/>
  <c r="C17" i="96"/>
  <c r="E16" i="96"/>
  <c r="C16" i="96"/>
  <c r="E15" i="96"/>
  <c r="C15" i="96"/>
  <c r="E14" i="96"/>
  <c r="C14" i="96"/>
  <c r="E13" i="96"/>
  <c r="C13" i="96"/>
  <c r="E12" i="96"/>
  <c r="C12" i="96"/>
  <c r="E11" i="96"/>
  <c r="C11" i="96"/>
  <c r="E10" i="96"/>
  <c r="C10" i="96"/>
  <c r="E9" i="96"/>
  <c r="C9" i="96"/>
  <c r="E43" i="95"/>
  <c r="C43" i="95"/>
  <c r="E42" i="95"/>
  <c r="C42" i="95"/>
  <c r="E41" i="95"/>
  <c r="C41" i="95"/>
  <c r="E40" i="95"/>
  <c r="C40" i="95"/>
  <c r="E39" i="95"/>
  <c r="C39" i="95"/>
  <c r="E38" i="95"/>
  <c r="C38" i="95"/>
  <c r="E37" i="95"/>
  <c r="C37" i="95"/>
  <c r="E36" i="95"/>
  <c r="C36" i="95"/>
  <c r="E35" i="95"/>
  <c r="C35" i="95"/>
  <c r="E34" i="95"/>
  <c r="C34" i="95"/>
  <c r="E33" i="95"/>
  <c r="C33" i="95"/>
  <c r="E32" i="95"/>
  <c r="C32" i="95"/>
  <c r="E31" i="95"/>
  <c r="C31" i="95"/>
  <c r="E30" i="95"/>
  <c r="C30" i="95"/>
  <c r="E29" i="95"/>
  <c r="C29" i="95"/>
  <c r="E28" i="95"/>
  <c r="C28" i="95"/>
  <c r="E27" i="95"/>
  <c r="C27" i="95"/>
  <c r="E26" i="95"/>
  <c r="C26" i="95"/>
  <c r="E25" i="95"/>
  <c r="C25" i="95"/>
  <c r="E24" i="95"/>
  <c r="C24" i="95"/>
  <c r="E23" i="95"/>
  <c r="C23" i="95"/>
  <c r="E22" i="95"/>
  <c r="C22" i="95"/>
  <c r="E21" i="95"/>
  <c r="C21" i="95"/>
  <c r="E20" i="95"/>
  <c r="C20" i="95"/>
  <c r="E19" i="95"/>
  <c r="C19" i="95"/>
  <c r="E18" i="95"/>
  <c r="C18" i="95"/>
  <c r="E17" i="95"/>
  <c r="C17" i="95"/>
  <c r="E16" i="95"/>
  <c r="C16" i="95"/>
  <c r="E15" i="95"/>
  <c r="C15" i="95"/>
  <c r="E14" i="95"/>
  <c r="C14" i="95"/>
  <c r="E13" i="95"/>
  <c r="C13" i="95"/>
  <c r="E12" i="95"/>
  <c r="C12" i="95"/>
  <c r="E11" i="95"/>
  <c r="C11" i="95"/>
  <c r="E10" i="95"/>
  <c r="C10" i="95"/>
  <c r="E9" i="95"/>
  <c r="C9" i="95"/>
  <c r="E43" i="94"/>
  <c r="C43" i="94"/>
  <c r="E42" i="94"/>
  <c r="C42" i="94"/>
  <c r="E41" i="94"/>
  <c r="C41" i="94"/>
  <c r="E40" i="94"/>
  <c r="C40" i="94"/>
  <c r="E39" i="94"/>
  <c r="C39" i="94"/>
  <c r="E38" i="94"/>
  <c r="C38" i="94"/>
  <c r="E37" i="94"/>
  <c r="C37" i="94"/>
  <c r="E36" i="94"/>
  <c r="C36" i="94"/>
  <c r="E35" i="94"/>
  <c r="C35" i="94"/>
  <c r="E34" i="94"/>
  <c r="C34" i="94"/>
  <c r="E33" i="94"/>
  <c r="C33" i="94"/>
  <c r="E32" i="94"/>
  <c r="C32" i="94"/>
  <c r="E31" i="94"/>
  <c r="C31" i="94"/>
  <c r="E30" i="94"/>
  <c r="C30" i="94"/>
  <c r="E29" i="94"/>
  <c r="C29" i="94"/>
  <c r="E28" i="94"/>
  <c r="C28" i="94"/>
  <c r="E27" i="94"/>
  <c r="C27" i="94"/>
  <c r="E26" i="94"/>
  <c r="C26" i="94"/>
  <c r="E25" i="94"/>
  <c r="C25" i="94"/>
  <c r="E24" i="94"/>
  <c r="C24" i="94"/>
  <c r="E23" i="94"/>
  <c r="C23" i="94"/>
  <c r="E22" i="94"/>
  <c r="C22" i="94"/>
  <c r="E21" i="94"/>
  <c r="C21" i="94"/>
  <c r="E20" i="94"/>
  <c r="C20" i="94"/>
  <c r="E19" i="94"/>
  <c r="C19" i="94"/>
  <c r="E18" i="94"/>
  <c r="C18" i="94"/>
  <c r="E17" i="94"/>
  <c r="C17" i="94"/>
  <c r="E16" i="94"/>
  <c r="C16" i="94"/>
  <c r="E15" i="94"/>
  <c r="C15" i="94"/>
  <c r="E14" i="94"/>
  <c r="C14" i="94"/>
  <c r="E13" i="94"/>
  <c r="C13" i="94"/>
  <c r="E12" i="94"/>
  <c r="C12" i="94"/>
  <c r="E11" i="94"/>
  <c r="C11" i="94"/>
  <c r="E10" i="94"/>
  <c r="C10" i="94"/>
  <c r="E9" i="94"/>
  <c r="C9" i="94"/>
  <c r="E43" i="93"/>
  <c r="C43" i="93"/>
  <c r="E42" i="93"/>
  <c r="C42" i="93"/>
  <c r="E41" i="93"/>
  <c r="C41" i="93"/>
  <c r="E40" i="93"/>
  <c r="C40" i="93"/>
  <c r="E39" i="93"/>
  <c r="C39" i="93"/>
  <c r="E38" i="93"/>
  <c r="C38" i="93"/>
  <c r="E37" i="93"/>
  <c r="C37" i="93"/>
  <c r="E36" i="93"/>
  <c r="C36" i="93"/>
  <c r="E35" i="93"/>
  <c r="C35" i="93"/>
  <c r="E34" i="93"/>
  <c r="C34" i="93"/>
  <c r="E33" i="93"/>
  <c r="C33" i="93"/>
  <c r="E32" i="93"/>
  <c r="C32" i="93"/>
  <c r="E31" i="93"/>
  <c r="C31" i="93"/>
  <c r="E30" i="93"/>
  <c r="C30" i="93"/>
  <c r="E29" i="93"/>
  <c r="C29" i="93"/>
  <c r="E28" i="93"/>
  <c r="C28" i="93"/>
  <c r="E27" i="93"/>
  <c r="C27" i="93"/>
  <c r="E26" i="93"/>
  <c r="C26" i="93"/>
  <c r="E25" i="93"/>
  <c r="C25" i="93"/>
  <c r="E24" i="93"/>
  <c r="C24" i="93"/>
  <c r="E23" i="93"/>
  <c r="C23" i="93"/>
  <c r="E22" i="93"/>
  <c r="C22" i="93"/>
  <c r="E21" i="93"/>
  <c r="C21" i="93"/>
  <c r="E20" i="93"/>
  <c r="C20" i="93"/>
  <c r="E19" i="93"/>
  <c r="C19" i="93"/>
  <c r="E18" i="93"/>
  <c r="C18" i="93"/>
  <c r="E17" i="93"/>
  <c r="C17" i="93"/>
  <c r="E16" i="93"/>
  <c r="C16" i="93"/>
  <c r="E15" i="93"/>
  <c r="C15" i="93"/>
  <c r="E14" i="93"/>
  <c r="C14" i="93"/>
  <c r="E13" i="93"/>
  <c r="C13" i="93"/>
  <c r="E12" i="93"/>
  <c r="C12" i="93"/>
  <c r="E11" i="93"/>
  <c r="C11" i="93"/>
  <c r="E10" i="93"/>
  <c r="C10" i="93"/>
  <c r="E9" i="93"/>
  <c r="C9" i="93"/>
  <c r="E43" i="92"/>
  <c r="C43" i="92"/>
  <c r="E42" i="92"/>
  <c r="C42" i="92"/>
  <c r="E41" i="92"/>
  <c r="C41" i="92"/>
  <c r="E40" i="92"/>
  <c r="C40" i="92"/>
  <c r="E39" i="92"/>
  <c r="C39" i="92"/>
  <c r="E38" i="92"/>
  <c r="C38" i="92"/>
  <c r="E37" i="92"/>
  <c r="C37" i="92"/>
  <c r="E36" i="92"/>
  <c r="C36" i="92"/>
  <c r="E35" i="92"/>
  <c r="C35" i="92"/>
  <c r="E34" i="92"/>
  <c r="C34" i="92"/>
  <c r="E33" i="92"/>
  <c r="C33" i="92"/>
  <c r="E32" i="92"/>
  <c r="C32" i="92"/>
  <c r="E31" i="92"/>
  <c r="C31" i="92"/>
  <c r="E30" i="92"/>
  <c r="C30" i="92"/>
  <c r="E29" i="92"/>
  <c r="C29" i="92"/>
  <c r="E28" i="92"/>
  <c r="C28" i="92"/>
  <c r="E27" i="92"/>
  <c r="C27" i="92"/>
  <c r="E26" i="92"/>
  <c r="C26" i="92"/>
  <c r="E25" i="92"/>
  <c r="C25" i="92"/>
  <c r="E24" i="92"/>
  <c r="C24" i="92"/>
  <c r="E23" i="92"/>
  <c r="C23" i="92"/>
  <c r="E22" i="92"/>
  <c r="C22" i="92"/>
  <c r="E21" i="92"/>
  <c r="C21" i="92"/>
  <c r="E20" i="92"/>
  <c r="C20" i="92"/>
  <c r="E19" i="92"/>
  <c r="C19" i="92"/>
  <c r="E18" i="92"/>
  <c r="C18" i="92"/>
  <c r="E17" i="92"/>
  <c r="C17" i="92"/>
  <c r="E16" i="92"/>
  <c r="C16" i="92"/>
  <c r="E15" i="92"/>
  <c r="C15" i="92"/>
  <c r="E14" i="92"/>
  <c r="C14" i="92"/>
  <c r="E13" i="92"/>
  <c r="C13" i="92"/>
  <c r="E12" i="92"/>
  <c r="C12" i="92"/>
  <c r="E11" i="92"/>
  <c r="C11" i="92"/>
  <c r="E10" i="92"/>
  <c r="C10" i="92"/>
  <c r="E9" i="92"/>
  <c r="C9" i="92"/>
  <c r="E43" i="91"/>
  <c r="C43" i="91"/>
  <c r="E42" i="91"/>
  <c r="C42" i="91"/>
  <c r="E41" i="91"/>
  <c r="C41" i="91"/>
  <c r="E40" i="91"/>
  <c r="C40" i="91"/>
  <c r="E39" i="91"/>
  <c r="C39" i="91"/>
  <c r="E38" i="91"/>
  <c r="C38" i="91"/>
  <c r="E37" i="91"/>
  <c r="C37" i="91"/>
  <c r="E36" i="91"/>
  <c r="C36" i="91"/>
  <c r="E35" i="91"/>
  <c r="C35" i="91"/>
  <c r="E34" i="91"/>
  <c r="C34" i="91"/>
  <c r="E33" i="91"/>
  <c r="C33" i="91"/>
  <c r="E32" i="91"/>
  <c r="C32" i="91"/>
  <c r="E31" i="91"/>
  <c r="C31" i="91"/>
  <c r="E30" i="91"/>
  <c r="C30" i="91"/>
  <c r="E29" i="91"/>
  <c r="C29" i="91"/>
  <c r="E28" i="91"/>
  <c r="C28" i="91"/>
  <c r="E27" i="91"/>
  <c r="C27" i="91"/>
  <c r="E26" i="91"/>
  <c r="C26" i="91"/>
  <c r="E25" i="91"/>
  <c r="C25" i="91"/>
  <c r="E24" i="91"/>
  <c r="C24" i="91"/>
  <c r="E23" i="91"/>
  <c r="C23" i="91"/>
  <c r="E22" i="91"/>
  <c r="C22" i="91"/>
  <c r="E21" i="91"/>
  <c r="C21" i="91"/>
  <c r="E20" i="91"/>
  <c r="C20" i="91"/>
  <c r="E19" i="91"/>
  <c r="C19" i="91"/>
  <c r="E18" i="91"/>
  <c r="C18" i="91"/>
  <c r="E17" i="91"/>
  <c r="C17" i="91"/>
  <c r="E16" i="91"/>
  <c r="C16" i="91"/>
  <c r="E15" i="91"/>
  <c r="C15" i="91"/>
  <c r="E14" i="91"/>
  <c r="C14" i="91"/>
  <c r="E13" i="91"/>
  <c r="C13" i="91"/>
  <c r="E12" i="91"/>
  <c r="C12" i="91"/>
  <c r="E11" i="91"/>
  <c r="C11" i="91"/>
  <c r="E10" i="91"/>
  <c r="C10" i="91"/>
  <c r="E9" i="91"/>
  <c r="C9" i="91"/>
  <c r="E43" i="90"/>
  <c r="C43" i="90"/>
  <c r="E42" i="90"/>
  <c r="C42" i="90"/>
  <c r="E41" i="90"/>
  <c r="C41" i="90"/>
  <c r="E40" i="90"/>
  <c r="C40" i="90"/>
  <c r="E39" i="90"/>
  <c r="C39" i="90"/>
  <c r="E38" i="90"/>
  <c r="C38" i="90"/>
  <c r="E37" i="90"/>
  <c r="C37" i="90"/>
  <c r="E36" i="90"/>
  <c r="C36" i="90"/>
  <c r="E35" i="90"/>
  <c r="C35" i="90"/>
  <c r="E34" i="90"/>
  <c r="C34" i="90"/>
  <c r="E33" i="90"/>
  <c r="C33" i="90"/>
  <c r="E32" i="90"/>
  <c r="C32" i="90"/>
  <c r="E31" i="90"/>
  <c r="C31" i="90"/>
  <c r="E30" i="90"/>
  <c r="C30" i="90"/>
  <c r="E29" i="90"/>
  <c r="C29" i="90"/>
  <c r="E28" i="90"/>
  <c r="C28" i="90"/>
  <c r="E27" i="90"/>
  <c r="C27" i="90"/>
  <c r="E26" i="90"/>
  <c r="C26" i="90"/>
  <c r="E25" i="90"/>
  <c r="C25" i="90"/>
  <c r="E24" i="90"/>
  <c r="C24" i="90"/>
  <c r="E23" i="90"/>
  <c r="C23" i="90"/>
  <c r="E22" i="90"/>
  <c r="C22" i="90"/>
  <c r="E21" i="90"/>
  <c r="C21" i="90"/>
  <c r="E20" i="90"/>
  <c r="C20" i="90"/>
  <c r="E19" i="90"/>
  <c r="C19" i="90"/>
  <c r="E18" i="90"/>
  <c r="C18" i="90"/>
  <c r="E17" i="90"/>
  <c r="C17" i="90"/>
  <c r="E16" i="90"/>
  <c r="C16" i="90"/>
  <c r="E15" i="90"/>
  <c r="C15" i="90"/>
  <c r="E14" i="90"/>
  <c r="C14" i="90"/>
  <c r="E13" i="90"/>
  <c r="C13" i="90"/>
  <c r="E12" i="90"/>
  <c r="C12" i="90"/>
  <c r="E11" i="90"/>
  <c r="C11" i="90"/>
  <c r="E10" i="90"/>
  <c r="C10" i="90"/>
  <c r="E9" i="90"/>
  <c r="C9" i="90"/>
  <c r="E43" i="89"/>
  <c r="C43" i="89"/>
  <c r="E42" i="89"/>
  <c r="C42" i="89"/>
  <c r="E41" i="89"/>
  <c r="C41" i="89"/>
  <c r="E40" i="89"/>
  <c r="C40" i="89"/>
  <c r="E39" i="89"/>
  <c r="C39" i="89"/>
  <c r="E38" i="89"/>
  <c r="C38" i="89"/>
  <c r="E37" i="89"/>
  <c r="C37" i="89"/>
  <c r="E36" i="89"/>
  <c r="C36" i="89"/>
  <c r="E35" i="89"/>
  <c r="C35" i="89"/>
  <c r="E34" i="89"/>
  <c r="C34" i="89"/>
  <c r="E33" i="89"/>
  <c r="C33" i="89"/>
  <c r="E32" i="89"/>
  <c r="C32" i="89"/>
  <c r="E31" i="89"/>
  <c r="C31" i="89"/>
  <c r="E30" i="89"/>
  <c r="C30" i="89"/>
  <c r="E29" i="89"/>
  <c r="C29" i="89"/>
  <c r="E28" i="89"/>
  <c r="C28" i="89"/>
  <c r="E27" i="89"/>
  <c r="C27" i="89"/>
  <c r="E26" i="89"/>
  <c r="C26" i="89"/>
  <c r="E25" i="89"/>
  <c r="C25" i="89"/>
  <c r="E24" i="89"/>
  <c r="C24" i="89"/>
  <c r="E23" i="89"/>
  <c r="C23" i="89"/>
  <c r="E22" i="89"/>
  <c r="C22" i="89"/>
  <c r="E21" i="89"/>
  <c r="C21" i="89"/>
  <c r="E20" i="89"/>
  <c r="C20" i="89"/>
  <c r="E19" i="89"/>
  <c r="C19" i="89"/>
  <c r="E18" i="89"/>
  <c r="C18" i="89"/>
  <c r="E17" i="89"/>
  <c r="C17" i="89"/>
  <c r="E16" i="89"/>
  <c r="C16" i="89"/>
  <c r="E15" i="89"/>
  <c r="C15" i="89"/>
  <c r="E14" i="89"/>
  <c r="C14" i="89"/>
  <c r="E13" i="89"/>
  <c r="C13" i="89"/>
  <c r="E12" i="89"/>
  <c r="C12" i="89"/>
  <c r="E11" i="89"/>
  <c r="C11" i="89"/>
  <c r="E10" i="89"/>
  <c r="C10" i="89"/>
  <c r="E9" i="89"/>
  <c r="C9" i="89"/>
  <c r="E43" i="88"/>
  <c r="C43" i="88"/>
  <c r="E42" i="88"/>
  <c r="C42" i="88"/>
  <c r="E41" i="88"/>
  <c r="C41" i="88"/>
  <c r="E40" i="88"/>
  <c r="C40" i="88"/>
  <c r="E39" i="88"/>
  <c r="C39" i="88"/>
  <c r="E38" i="88"/>
  <c r="C38" i="88"/>
  <c r="E37" i="88"/>
  <c r="C37" i="88"/>
  <c r="E36" i="88"/>
  <c r="C36" i="88"/>
  <c r="E35" i="88"/>
  <c r="C35" i="88"/>
  <c r="E34" i="88"/>
  <c r="C34" i="88"/>
  <c r="E33" i="88"/>
  <c r="C33" i="88"/>
  <c r="E32" i="88"/>
  <c r="C32" i="88"/>
  <c r="E31" i="88"/>
  <c r="C31" i="88"/>
  <c r="E30" i="88"/>
  <c r="C30" i="88"/>
  <c r="E29" i="88"/>
  <c r="C29" i="88"/>
  <c r="E28" i="88"/>
  <c r="C28" i="88"/>
  <c r="E27" i="88"/>
  <c r="C27" i="88"/>
  <c r="E26" i="88"/>
  <c r="C26" i="88"/>
  <c r="E25" i="88"/>
  <c r="C25" i="88"/>
  <c r="E24" i="88"/>
  <c r="C24" i="88"/>
  <c r="E23" i="88"/>
  <c r="C23" i="88"/>
  <c r="E22" i="88"/>
  <c r="C22" i="88"/>
  <c r="E21" i="88"/>
  <c r="C21" i="88"/>
  <c r="E20" i="88"/>
  <c r="C20" i="88"/>
  <c r="E19" i="88"/>
  <c r="C19" i="88"/>
  <c r="E18" i="88"/>
  <c r="C18" i="88"/>
  <c r="E17" i="88"/>
  <c r="C17" i="88"/>
  <c r="E16" i="88"/>
  <c r="C16" i="88"/>
  <c r="E15" i="88"/>
  <c r="C15" i="88"/>
  <c r="E14" i="88"/>
  <c r="C14" i="88"/>
  <c r="E13" i="88"/>
  <c r="C13" i="88"/>
  <c r="E12" i="88"/>
  <c r="C12" i="88"/>
  <c r="E11" i="88"/>
  <c r="C11" i="88"/>
  <c r="E10" i="88"/>
  <c r="C10" i="88"/>
  <c r="E9" i="88"/>
  <c r="C9" i="88"/>
  <c r="E43" i="87"/>
  <c r="C43" i="87"/>
  <c r="E42" i="87"/>
  <c r="C42" i="87"/>
  <c r="E41" i="87"/>
  <c r="C41" i="87"/>
  <c r="E40" i="87"/>
  <c r="C40" i="87"/>
  <c r="E39" i="87"/>
  <c r="C39" i="87"/>
  <c r="E38" i="87"/>
  <c r="C38" i="87"/>
  <c r="E37" i="87"/>
  <c r="C37" i="87"/>
  <c r="E36" i="87"/>
  <c r="C36" i="87"/>
  <c r="E35" i="87"/>
  <c r="C35" i="87"/>
  <c r="E34" i="87"/>
  <c r="C34" i="87"/>
  <c r="E33" i="87"/>
  <c r="C33" i="87"/>
  <c r="E32" i="87"/>
  <c r="C32" i="87"/>
  <c r="E31" i="87"/>
  <c r="C31" i="87"/>
  <c r="E30" i="87"/>
  <c r="C30" i="87"/>
  <c r="E29" i="87"/>
  <c r="C29" i="87"/>
  <c r="E28" i="87"/>
  <c r="C28" i="87"/>
  <c r="E27" i="87"/>
  <c r="C27" i="87"/>
  <c r="E26" i="87"/>
  <c r="C26" i="87"/>
  <c r="E25" i="87"/>
  <c r="C25" i="87"/>
  <c r="E24" i="87"/>
  <c r="C24" i="87"/>
  <c r="E23" i="87"/>
  <c r="C23" i="87"/>
  <c r="E22" i="87"/>
  <c r="C22" i="87"/>
  <c r="E21" i="87"/>
  <c r="C21" i="87"/>
  <c r="E20" i="87"/>
  <c r="C20" i="87"/>
  <c r="E19" i="87"/>
  <c r="C19" i="87"/>
  <c r="E18" i="87"/>
  <c r="C18" i="87"/>
  <c r="E17" i="87"/>
  <c r="C17" i="87"/>
  <c r="E16" i="87"/>
  <c r="C16" i="87"/>
  <c r="E15" i="87"/>
  <c r="C15" i="87"/>
  <c r="E14" i="87"/>
  <c r="C14" i="87"/>
  <c r="E13" i="87"/>
  <c r="C13" i="87"/>
  <c r="E12" i="87"/>
  <c r="C12" i="87"/>
  <c r="E11" i="87"/>
  <c r="C11" i="87"/>
  <c r="E10" i="87"/>
  <c r="C10" i="87"/>
  <c r="E9" i="87"/>
  <c r="C9" i="87"/>
  <c r="E43" i="86"/>
  <c r="C43" i="86"/>
  <c r="E42" i="86"/>
  <c r="C42" i="86"/>
  <c r="E41" i="86"/>
  <c r="C41" i="86"/>
  <c r="E40" i="86"/>
  <c r="C40" i="86"/>
  <c r="E39" i="86"/>
  <c r="C39" i="86"/>
  <c r="E38" i="86"/>
  <c r="C38" i="86"/>
  <c r="E37" i="86"/>
  <c r="C37" i="86"/>
  <c r="E36" i="86"/>
  <c r="C36" i="86"/>
  <c r="E35" i="86"/>
  <c r="C35" i="86"/>
  <c r="E34" i="86"/>
  <c r="C34" i="86"/>
  <c r="E33" i="86"/>
  <c r="C33" i="86"/>
  <c r="E32" i="86"/>
  <c r="C32" i="86"/>
  <c r="E31" i="86"/>
  <c r="C31" i="86"/>
  <c r="E30" i="86"/>
  <c r="C30" i="86"/>
  <c r="E29" i="86"/>
  <c r="C29" i="86"/>
  <c r="E28" i="86"/>
  <c r="C28" i="86"/>
  <c r="E27" i="86"/>
  <c r="C27" i="86"/>
  <c r="E26" i="86"/>
  <c r="C26" i="86"/>
  <c r="E25" i="86"/>
  <c r="C25" i="86"/>
  <c r="E24" i="86"/>
  <c r="C24" i="86"/>
  <c r="E23" i="86"/>
  <c r="C23" i="86"/>
  <c r="E22" i="86"/>
  <c r="C22" i="86"/>
  <c r="E21" i="86"/>
  <c r="C21" i="86"/>
  <c r="E20" i="86"/>
  <c r="C20" i="86"/>
  <c r="E19" i="86"/>
  <c r="C19" i="86"/>
  <c r="E18" i="86"/>
  <c r="C18" i="86"/>
  <c r="E17" i="86"/>
  <c r="C17" i="86"/>
  <c r="E16" i="86"/>
  <c r="C16" i="86"/>
  <c r="E15" i="86"/>
  <c r="C15" i="86"/>
  <c r="E14" i="86"/>
  <c r="C14" i="86"/>
  <c r="E13" i="86"/>
  <c r="C13" i="86"/>
  <c r="E12" i="86"/>
  <c r="C12" i="86"/>
  <c r="E11" i="86"/>
  <c r="C11" i="86"/>
  <c r="E10" i="86"/>
  <c r="C10" i="86"/>
  <c r="E9" i="86"/>
  <c r="C9" i="86"/>
  <c r="E43" i="85"/>
  <c r="C43" i="85"/>
  <c r="E42" i="85"/>
  <c r="C42" i="85"/>
  <c r="E41" i="85"/>
  <c r="C41" i="85"/>
  <c r="E40" i="85"/>
  <c r="C40" i="85"/>
  <c r="E39" i="85"/>
  <c r="C39" i="85"/>
  <c r="E38" i="85"/>
  <c r="C38" i="85"/>
  <c r="E37" i="85"/>
  <c r="C37" i="85"/>
  <c r="E36" i="85"/>
  <c r="C36" i="85"/>
  <c r="E35" i="85"/>
  <c r="C35" i="85"/>
  <c r="E34" i="85"/>
  <c r="C34" i="85"/>
  <c r="E33" i="85"/>
  <c r="C33" i="85"/>
  <c r="E32" i="85"/>
  <c r="C32" i="85"/>
  <c r="E31" i="85"/>
  <c r="C31" i="85"/>
  <c r="E30" i="85"/>
  <c r="C30" i="85"/>
  <c r="E29" i="85"/>
  <c r="C29" i="85"/>
  <c r="E28" i="85"/>
  <c r="C28" i="85"/>
  <c r="E27" i="85"/>
  <c r="C27" i="85"/>
  <c r="E26" i="85"/>
  <c r="C26" i="85"/>
  <c r="E25" i="85"/>
  <c r="C25" i="85"/>
  <c r="E24" i="85"/>
  <c r="C24" i="85"/>
  <c r="E23" i="85"/>
  <c r="C23" i="85"/>
  <c r="E22" i="85"/>
  <c r="C22" i="85"/>
  <c r="E21" i="85"/>
  <c r="C21" i="85"/>
  <c r="E20" i="85"/>
  <c r="C20" i="85"/>
  <c r="E19" i="85"/>
  <c r="C19" i="85"/>
  <c r="E18" i="85"/>
  <c r="C18" i="85"/>
  <c r="E17" i="85"/>
  <c r="C17" i="85"/>
  <c r="E16" i="85"/>
  <c r="C16" i="85"/>
  <c r="E15" i="85"/>
  <c r="C15" i="85"/>
  <c r="E14" i="85"/>
  <c r="C14" i="85"/>
  <c r="E13" i="85"/>
  <c r="C13" i="85"/>
  <c r="E12" i="85"/>
  <c r="C12" i="85"/>
  <c r="E11" i="85"/>
  <c r="C11" i="85"/>
  <c r="E10" i="85"/>
  <c r="C10" i="85"/>
  <c r="E9" i="85"/>
  <c r="C9" i="85"/>
  <c r="E43" i="84"/>
  <c r="C43" i="84"/>
  <c r="E42" i="84"/>
  <c r="C42" i="84"/>
  <c r="E41" i="84"/>
  <c r="C41" i="84"/>
  <c r="E40" i="84"/>
  <c r="C40" i="84"/>
  <c r="E39" i="84"/>
  <c r="C39" i="84"/>
  <c r="E38" i="84"/>
  <c r="C38" i="84"/>
  <c r="E37" i="84"/>
  <c r="C37" i="84"/>
  <c r="E36" i="84"/>
  <c r="C36" i="84"/>
  <c r="E35" i="84"/>
  <c r="C35" i="84"/>
  <c r="E34" i="84"/>
  <c r="C34" i="84"/>
  <c r="E33" i="84"/>
  <c r="C33" i="84"/>
  <c r="E32" i="84"/>
  <c r="C32" i="84"/>
  <c r="E31" i="84"/>
  <c r="C31" i="84"/>
  <c r="E30" i="84"/>
  <c r="C30" i="84"/>
  <c r="E29" i="84"/>
  <c r="C29" i="84"/>
  <c r="E28" i="84"/>
  <c r="C28" i="84"/>
  <c r="E27" i="84"/>
  <c r="C27" i="84"/>
  <c r="E26" i="84"/>
  <c r="C26" i="84"/>
  <c r="E25" i="84"/>
  <c r="C25" i="84"/>
  <c r="E24" i="84"/>
  <c r="C24" i="84"/>
  <c r="E23" i="84"/>
  <c r="C23" i="84"/>
  <c r="E22" i="84"/>
  <c r="C22" i="84"/>
  <c r="E21" i="84"/>
  <c r="C21" i="84"/>
  <c r="E20" i="84"/>
  <c r="C20" i="84"/>
  <c r="E19" i="84"/>
  <c r="C19" i="84"/>
  <c r="E18" i="84"/>
  <c r="C18" i="84"/>
  <c r="E17" i="84"/>
  <c r="C17" i="84"/>
  <c r="E16" i="84"/>
  <c r="C16" i="84"/>
  <c r="E15" i="84"/>
  <c r="C15" i="84"/>
  <c r="E14" i="84"/>
  <c r="C14" i="84"/>
  <c r="E13" i="84"/>
  <c r="C13" i="84"/>
  <c r="E12" i="84"/>
  <c r="C12" i="84"/>
  <c r="E11" i="84"/>
  <c r="C11" i="84"/>
  <c r="E10" i="84"/>
  <c r="C10" i="84"/>
  <c r="E9" i="84"/>
  <c r="C9" i="84"/>
  <c r="E10" i="83"/>
  <c r="E11" i="83"/>
  <c r="E12" i="83"/>
  <c r="E13" i="83"/>
  <c r="E14" i="83"/>
  <c r="E15" i="83"/>
  <c r="E16" i="83"/>
  <c r="E17" i="83"/>
  <c r="E18" i="83"/>
  <c r="E19" i="83"/>
  <c r="E20" i="83"/>
  <c r="E21" i="83"/>
  <c r="E22" i="83"/>
  <c r="E23" i="83"/>
  <c r="E24" i="83"/>
  <c r="E25" i="83"/>
  <c r="E26" i="83"/>
  <c r="E27" i="83"/>
  <c r="E28" i="83"/>
  <c r="E29" i="83"/>
  <c r="E30" i="83"/>
  <c r="E31" i="83"/>
  <c r="E32" i="83"/>
  <c r="E33" i="83"/>
  <c r="E34" i="83"/>
  <c r="E35" i="83"/>
  <c r="E36" i="83"/>
  <c r="E37" i="83"/>
  <c r="E38" i="83"/>
  <c r="E39" i="83"/>
  <c r="E40" i="83"/>
  <c r="E41" i="83"/>
  <c r="E42" i="83"/>
  <c r="E43" i="83"/>
  <c r="E9" i="83"/>
  <c r="C10" i="83"/>
  <c r="C11" i="83"/>
  <c r="C12" i="83"/>
  <c r="C13" i="83"/>
  <c r="C14" i="83"/>
  <c r="C15" i="83"/>
  <c r="C16" i="83"/>
  <c r="C17" i="83"/>
  <c r="C18" i="83"/>
  <c r="C19" i="83"/>
  <c r="C20" i="83"/>
  <c r="C21" i="83"/>
  <c r="C22" i="83"/>
  <c r="C23" i="83"/>
  <c r="C24" i="83"/>
  <c r="C25" i="83"/>
  <c r="C26" i="83"/>
  <c r="C27" i="83"/>
  <c r="C28" i="83"/>
  <c r="C29" i="83"/>
  <c r="C30" i="83"/>
  <c r="C31" i="83"/>
  <c r="C32" i="83"/>
  <c r="C33" i="83"/>
  <c r="C34" i="83"/>
  <c r="C35" i="83"/>
  <c r="C36" i="83"/>
  <c r="C37" i="83"/>
  <c r="C38" i="83"/>
  <c r="C39" i="83"/>
  <c r="C40" i="83"/>
  <c r="C41" i="83"/>
  <c r="C42" i="83"/>
  <c r="C43" i="83"/>
  <c r="C9" i="83"/>
  <c r="E41" i="82"/>
  <c r="C41" i="82"/>
  <c r="E40" i="82"/>
  <c r="C40" i="82"/>
  <c r="E39" i="82"/>
  <c r="C39" i="82"/>
  <c r="E38" i="82"/>
  <c r="C38" i="82"/>
  <c r="E37" i="82"/>
  <c r="C37" i="82"/>
  <c r="E36" i="82"/>
  <c r="C36" i="82"/>
  <c r="E35" i="82"/>
  <c r="C35" i="82"/>
  <c r="E34" i="82"/>
  <c r="C34" i="82"/>
  <c r="E33" i="82"/>
  <c r="C33" i="82"/>
  <c r="E32" i="82"/>
  <c r="C32" i="82"/>
  <c r="E31" i="82"/>
  <c r="C31" i="82"/>
  <c r="E30" i="82"/>
  <c r="C30" i="82"/>
  <c r="E29" i="82"/>
  <c r="C29" i="82"/>
  <c r="E28" i="82"/>
  <c r="C28" i="82"/>
  <c r="E27" i="82"/>
  <c r="C27" i="82"/>
  <c r="E26" i="82"/>
  <c r="C26" i="82"/>
  <c r="E25" i="82"/>
  <c r="C25" i="82"/>
  <c r="E24" i="82"/>
  <c r="C24" i="82"/>
  <c r="E23" i="82"/>
  <c r="C23" i="82"/>
  <c r="E22" i="82"/>
  <c r="C22" i="82"/>
  <c r="E21" i="82"/>
  <c r="C21" i="82"/>
  <c r="E20" i="82"/>
  <c r="C20" i="82"/>
  <c r="E19" i="82"/>
  <c r="C19" i="82"/>
  <c r="E18" i="82"/>
  <c r="C18" i="82"/>
  <c r="E17" i="82"/>
  <c r="C17" i="82"/>
  <c r="E16" i="82"/>
  <c r="C16" i="82"/>
  <c r="E15" i="82"/>
  <c r="C15" i="82"/>
  <c r="E14" i="82"/>
  <c r="C14" i="82"/>
  <c r="E13" i="82"/>
  <c r="C13" i="82"/>
  <c r="E12" i="82"/>
  <c r="C12" i="82"/>
  <c r="E11" i="82"/>
  <c r="C11" i="82"/>
  <c r="E10" i="82"/>
  <c r="C10" i="82"/>
  <c r="E9" i="82"/>
  <c r="C9" i="82"/>
  <c r="E41" i="81"/>
  <c r="C41" i="81"/>
  <c r="E40" i="81"/>
  <c r="C40" i="81"/>
  <c r="E39" i="81"/>
  <c r="C39" i="81"/>
  <c r="E38" i="81"/>
  <c r="C38" i="81"/>
  <c r="E37" i="81"/>
  <c r="C37" i="81"/>
  <c r="E36" i="81"/>
  <c r="C36" i="81"/>
  <c r="E35" i="81"/>
  <c r="C35" i="81"/>
  <c r="E34" i="81"/>
  <c r="C34" i="81"/>
  <c r="E33" i="81"/>
  <c r="C33" i="81"/>
  <c r="E32" i="81"/>
  <c r="C32" i="81"/>
  <c r="E31" i="81"/>
  <c r="C31" i="81"/>
  <c r="E30" i="81"/>
  <c r="C30" i="81"/>
  <c r="E29" i="81"/>
  <c r="C29" i="81"/>
  <c r="E28" i="81"/>
  <c r="C28" i="81"/>
  <c r="E27" i="81"/>
  <c r="C27" i="81"/>
  <c r="E26" i="81"/>
  <c r="C26" i="81"/>
  <c r="E25" i="81"/>
  <c r="C25" i="81"/>
  <c r="E24" i="81"/>
  <c r="C24" i="81"/>
  <c r="E23" i="81"/>
  <c r="C23" i="81"/>
  <c r="E22" i="81"/>
  <c r="C22" i="81"/>
  <c r="E21" i="81"/>
  <c r="C21" i="81"/>
  <c r="E20" i="81"/>
  <c r="C20" i="81"/>
  <c r="E19" i="81"/>
  <c r="C19" i="81"/>
  <c r="E18" i="81"/>
  <c r="C18" i="81"/>
  <c r="E17" i="81"/>
  <c r="C17" i="81"/>
  <c r="E16" i="81"/>
  <c r="C16" i="81"/>
  <c r="E15" i="81"/>
  <c r="C15" i="81"/>
  <c r="E14" i="81"/>
  <c r="C14" i="81"/>
  <c r="E13" i="81"/>
  <c r="C13" i="81"/>
  <c r="E12" i="81"/>
  <c r="C12" i="81"/>
  <c r="E11" i="81"/>
  <c r="C11" i="81"/>
  <c r="E10" i="81"/>
  <c r="C10" i="81"/>
  <c r="E9" i="81"/>
  <c r="C9" i="81"/>
  <c r="B2" i="80"/>
  <c r="B5" i="80" s="1"/>
  <c r="B4" i="80" l="1"/>
  <c r="B3" i="80"/>
  <c r="E41" i="80"/>
  <c r="C41" i="80"/>
  <c r="E40" i="80"/>
  <c r="C40" i="80"/>
  <c r="E39" i="80"/>
  <c r="C39" i="80"/>
  <c r="E38" i="80"/>
  <c r="C38" i="80"/>
  <c r="E37" i="80"/>
  <c r="C37" i="80"/>
  <c r="E36" i="80"/>
  <c r="C36" i="80"/>
  <c r="E35" i="80"/>
  <c r="C35" i="80"/>
  <c r="E34" i="80"/>
  <c r="C34" i="80"/>
  <c r="E33" i="80"/>
  <c r="C33" i="80"/>
  <c r="E32" i="80"/>
  <c r="C32" i="80"/>
  <c r="E31" i="80"/>
  <c r="C31" i="80"/>
  <c r="E30" i="80"/>
  <c r="C30" i="80"/>
  <c r="E29" i="80"/>
  <c r="C29" i="80"/>
  <c r="E28" i="80"/>
  <c r="C28" i="80"/>
  <c r="E27" i="80"/>
  <c r="C27" i="80"/>
  <c r="E26" i="80"/>
  <c r="C26" i="80"/>
  <c r="E25" i="80"/>
  <c r="C25" i="80"/>
  <c r="E24" i="80"/>
  <c r="C24" i="80"/>
  <c r="E23" i="80"/>
  <c r="C23" i="80"/>
  <c r="E22" i="80"/>
  <c r="C22" i="80"/>
  <c r="E21" i="80"/>
  <c r="C21" i="80"/>
  <c r="E20" i="80"/>
  <c r="C20" i="80"/>
  <c r="E19" i="80"/>
  <c r="C19" i="80"/>
  <c r="E18" i="80"/>
  <c r="C18" i="80"/>
  <c r="E17" i="80"/>
  <c r="C17" i="80"/>
  <c r="E16" i="80"/>
  <c r="C16" i="80"/>
  <c r="E15" i="80"/>
  <c r="C15" i="80"/>
  <c r="E14" i="80"/>
  <c r="C14" i="80"/>
  <c r="E13" i="80"/>
  <c r="C13" i="80"/>
  <c r="E12" i="80"/>
  <c r="C12" i="80"/>
  <c r="E11" i="80"/>
  <c r="C11" i="80"/>
  <c r="E10" i="80"/>
  <c r="C10" i="80"/>
  <c r="E9" i="80"/>
  <c r="C9" i="80"/>
  <c r="E41" i="79"/>
  <c r="C41" i="79"/>
  <c r="E40" i="79"/>
  <c r="C40" i="79"/>
  <c r="E39" i="79"/>
  <c r="C39" i="79"/>
  <c r="E38" i="79"/>
  <c r="C38" i="79"/>
  <c r="E37" i="79"/>
  <c r="C37" i="79"/>
  <c r="E36" i="79"/>
  <c r="C36" i="79"/>
  <c r="E35" i="79"/>
  <c r="C35" i="79"/>
  <c r="E34" i="79"/>
  <c r="C34" i="79"/>
  <c r="E33" i="79"/>
  <c r="C33" i="79"/>
  <c r="E32" i="79"/>
  <c r="C32" i="79"/>
  <c r="E31" i="79"/>
  <c r="C31" i="79"/>
  <c r="E30" i="79"/>
  <c r="C30" i="79"/>
  <c r="E29" i="79"/>
  <c r="C29" i="79"/>
  <c r="E28" i="79"/>
  <c r="C28" i="79"/>
  <c r="E27" i="79"/>
  <c r="C27" i="79"/>
  <c r="E26" i="79"/>
  <c r="C26" i="79"/>
  <c r="E25" i="79"/>
  <c r="C25" i="79"/>
  <c r="E24" i="79"/>
  <c r="C24" i="79"/>
  <c r="E23" i="79"/>
  <c r="C23" i="79"/>
  <c r="E22" i="79"/>
  <c r="C22" i="79"/>
  <c r="E21" i="79"/>
  <c r="C21" i="79"/>
  <c r="E20" i="79"/>
  <c r="C20" i="79"/>
  <c r="E19" i="79"/>
  <c r="C19" i="79"/>
  <c r="E18" i="79"/>
  <c r="C18" i="79"/>
  <c r="E17" i="79"/>
  <c r="C17" i="79"/>
  <c r="E16" i="79"/>
  <c r="C16" i="79"/>
  <c r="E15" i="79"/>
  <c r="C15" i="79"/>
  <c r="E14" i="79"/>
  <c r="C14" i="79"/>
  <c r="E13" i="79"/>
  <c r="C13" i="79"/>
  <c r="E12" i="79"/>
  <c r="C12" i="79"/>
  <c r="E11" i="79"/>
  <c r="C11" i="79"/>
  <c r="E10" i="79"/>
  <c r="C10" i="79"/>
  <c r="E9" i="79"/>
  <c r="C9" i="79"/>
  <c r="B2" i="79"/>
  <c r="B3" i="79" s="1"/>
  <c r="E41" i="78"/>
  <c r="C41" i="78"/>
  <c r="E40" i="78"/>
  <c r="C40" i="78"/>
  <c r="E39" i="78"/>
  <c r="C39" i="78"/>
  <c r="E38" i="78"/>
  <c r="C38" i="78"/>
  <c r="E37" i="78"/>
  <c r="C37" i="78"/>
  <c r="E36" i="78"/>
  <c r="C36" i="78"/>
  <c r="E35" i="78"/>
  <c r="C35" i="78"/>
  <c r="E34" i="78"/>
  <c r="C34" i="78"/>
  <c r="E33" i="78"/>
  <c r="C33" i="78"/>
  <c r="E32" i="78"/>
  <c r="C32" i="78"/>
  <c r="E31" i="78"/>
  <c r="C31" i="78"/>
  <c r="E30" i="78"/>
  <c r="C30" i="78"/>
  <c r="E29" i="78"/>
  <c r="C29" i="78"/>
  <c r="E28" i="78"/>
  <c r="C28" i="78"/>
  <c r="E27" i="78"/>
  <c r="C27" i="78"/>
  <c r="E26" i="78"/>
  <c r="C26" i="78"/>
  <c r="E25" i="78"/>
  <c r="C25" i="78"/>
  <c r="E24" i="78"/>
  <c r="C24" i="78"/>
  <c r="E23" i="78"/>
  <c r="C23" i="78"/>
  <c r="E22" i="78"/>
  <c r="C22" i="78"/>
  <c r="E21" i="78"/>
  <c r="C21" i="78"/>
  <c r="E20" i="78"/>
  <c r="C20" i="78"/>
  <c r="E19" i="78"/>
  <c r="C19" i="78"/>
  <c r="E18" i="78"/>
  <c r="C18" i="78"/>
  <c r="E17" i="78"/>
  <c r="C17" i="78"/>
  <c r="E16" i="78"/>
  <c r="C16" i="78"/>
  <c r="E15" i="78"/>
  <c r="C15" i="78"/>
  <c r="E14" i="78"/>
  <c r="C14" i="78"/>
  <c r="E13" i="78"/>
  <c r="C13" i="78"/>
  <c r="E12" i="78"/>
  <c r="C12" i="78"/>
  <c r="E11" i="78"/>
  <c r="C11" i="78"/>
  <c r="E10" i="78"/>
  <c r="C10" i="78"/>
  <c r="E9" i="78"/>
  <c r="C9" i="78"/>
  <c r="B2" i="78"/>
  <c r="B3" i="78" s="1"/>
  <c r="E41" i="77"/>
  <c r="C41" i="77"/>
  <c r="E40" i="77"/>
  <c r="C40" i="77"/>
  <c r="E39" i="77"/>
  <c r="C39" i="77"/>
  <c r="E38" i="77"/>
  <c r="C38" i="77"/>
  <c r="E37" i="77"/>
  <c r="C37" i="77"/>
  <c r="E36" i="77"/>
  <c r="C36" i="77"/>
  <c r="E35" i="77"/>
  <c r="C35" i="77"/>
  <c r="E34" i="77"/>
  <c r="C34" i="77"/>
  <c r="E33" i="77"/>
  <c r="C33" i="77"/>
  <c r="E32" i="77"/>
  <c r="C32" i="77"/>
  <c r="E31" i="77"/>
  <c r="C31" i="77"/>
  <c r="E30" i="77"/>
  <c r="C30" i="77"/>
  <c r="E29" i="77"/>
  <c r="C29" i="77"/>
  <c r="E28" i="77"/>
  <c r="C28" i="77"/>
  <c r="E27" i="77"/>
  <c r="C27" i="77"/>
  <c r="E26" i="77"/>
  <c r="C26" i="77"/>
  <c r="E25" i="77"/>
  <c r="C25" i="77"/>
  <c r="E24" i="77"/>
  <c r="C24" i="77"/>
  <c r="E23" i="77"/>
  <c r="C23" i="77"/>
  <c r="E22" i="77"/>
  <c r="C22" i="77"/>
  <c r="E21" i="77"/>
  <c r="C21" i="77"/>
  <c r="E20" i="77"/>
  <c r="C20" i="77"/>
  <c r="E19" i="77"/>
  <c r="C19" i="77"/>
  <c r="E18" i="77"/>
  <c r="C18" i="77"/>
  <c r="E17" i="77"/>
  <c r="C17" i="77"/>
  <c r="E16" i="77"/>
  <c r="C16" i="77"/>
  <c r="E15" i="77"/>
  <c r="C15" i="77"/>
  <c r="E14" i="77"/>
  <c r="C14" i="77"/>
  <c r="E13" i="77"/>
  <c r="C13" i="77"/>
  <c r="E12" i="77"/>
  <c r="C12" i="77"/>
  <c r="E11" i="77"/>
  <c r="C11" i="77"/>
  <c r="E10" i="77"/>
  <c r="C10" i="77"/>
  <c r="E9" i="77"/>
  <c r="C9" i="77"/>
  <c r="B2" i="77"/>
  <c r="B3" i="77" s="1"/>
  <c r="E41" i="76"/>
  <c r="C41" i="76"/>
  <c r="E40" i="76"/>
  <c r="C40" i="76"/>
  <c r="E39" i="76"/>
  <c r="C39" i="76"/>
  <c r="E38" i="76"/>
  <c r="C38" i="76"/>
  <c r="E37" i="76"/>
  <c r="C37" i="76"/>
  <c r="E36" i="76"/>
  <c r="C36" i="76"/>
  <c r="E35" i="76"/>
  <c r="C35" i="76"/>
  <c r="E34" i="76"/>
  <c r="C34" i="76"/>
  <c r="E33" i="76"/>
  <c r="C33" i="76"/>
  <c r="E32" i="76"/>
  <c r="C32" i="76"/>
  <c r="E31" i="76"/>
  <c r="C31" i="76"/>
  <c r="E30" i="76"/>
  <c r="C30" i="76"/>
  <c r="E29" i="76"/>
  <c r="C29" i="76"/>
  <c r="E28" i="76"/>
  <c r="C28" i="76"/>
  <c r="E27" i="76"/>
  <c r="C27" i="76"/>
  <c r="E26" i="76"/>
  <c r="C26" i="76"/>
  <c r="E25" i="76"/>
  <c r="C25" i="76"/>
  <c r="E24" i="76"/>
  <c r="C24" i="76"/>
  <c r="E23" i="76"/>
  <c r="C23" i="76"/>
  <c r="E22" i="76"/>
  <c r="C22" i="76"/>
  <c r="E21" i="76"/>
  <c r="C21" i="76"/>
  <c r="E20" i="76"/>
  <c r="C20" i="76"/>
  <c r="E19" i="76"/>
  <c r="C19" i="76"/>
  <c r="E18" i="76"/>
  <c r="C18" i="76"/>
  <c r="E17" i="76"/>
  <c r="C17" i="76"/>
  <c r="E16" i="76"/>
  <c r="C16" i="76"/>
  <c r="E15" i="76"/>
  <c r="C15" i="76"/>
  <c r="E14" i="76"/>
  <c r="C14" i="76"/>
  <c r="E13" i="76"/>
  <c r="C13" i="76"/>
  <c r="E12" i="76"/>
  <c r="C12" i="76"/>
  <c r="E11" i="76"/>
  <c r="C11" i="76"/>
  <c r="E10" i="76"/>
  <c r="C10" i="76"/>
  <c r="E9" i="76"/>
  <c r="C9" i="76"/>
  <c r="B2" i="76"/>
  <c r="B3" i="76" s="1"/>
  <c r="E41" i="75"/>
  <c r="C41" i="75"/>
  <c r="E40" i="75"/>
  <c r="C40" i="75"/>
  <c r="E39" i="75"/>
  <c r="C39" i="75"/>
  <c r="E38" i="75"/>
  <c r="C38" i="75"/>
  <c r="E37" i="75"/>
  <c r="C37" i="75"/>
  <c r="E36" i="75"/>
  <c r="C36" i="75"/>
  <c r="E35" i="75"/>
  <c r="C35" i="75"/>
  <c r="E34" i="75"/>
  <c r="C34" i="75"/>
  <c r="E33" i="75"/>
  <c r="C33" i="75"/>
  <c r="E32" i="75"/>
  <c r="C32" i="75"/>
  <c r="E31" i="75"/>
  <c r="C31" i="75"/>
  <c r="E30" i="75"/>
  <c r="C30" i="75"/>
  <c r="E29" i="75"/>
  <c r="C29" i="75"/>
  <c r="E28" i="75"/>
  <c r="C28" i="75"/>
  <c r="E27" i="75"/>
  <c r="C27" i="75"/>
  <c r="E26" i="75"/>
  <c r="C26" i="75"/>
  <c r="E25" i="75"/>
  <c r="C25" i="75"/>
  <c r="E24" i="75"/>
  <c r="C24" i="75"/>
  <c r="E23" i="75"/>
  <c r="C23" i="75"/>
  <c r="E22" i="75"/>
  <c r="C22" i="75"/>
  <c r="E21" i="75"/>
  <c r="C21" i="75"/>
  <c r="E20" i="75"/>
  <c r="C20" i="75"/>
  <c r="E19" i="75"/>
  <c r="C19" i="75"/>
  <c r="E18" i="75"/>
  <c r="C18" i="75"/>
  <c r="E17" i="75"/>
  <c r="C17" i="75"/>
  <c r="E16" i="75"/>
  <c r="C16" i="75"/>
  <c r="E15" i="75"/>
  <c r="C15" i="75"/>
  <c r="E14" i="75"/>
  <c r="C14" i="75"/>
  <c r="E13" i="75"/>
  <c r="C13" i="75"/>
  <c r="E12" i="75"/>
  <c r="C12" i="75"/>
  <c r="E11" i="75"/>
  <c r="C11" i="75"/>
  <c r="E10" i="75"/>
  <c r="C10" i="75"/>
  <c r="E9" i="75"/>
  <c r="C9" i="75"/>
  <c r="B2" i="75"/>
  <c r="B3" i="75" s="1"/>
  <c r="E41" i="74"/>
  <c r="C41" i="74"/>
  <c r="E40" i="74"/>
  <c r="C40" i="74"/>
  <c r="E39" i="74"/>
  <c r="C39" i="74"/>
  <c r="E38" i="74"/>
  <c r="C38" i="74"/>
  <c r="E37" i="74"/>
  <c r="C37" i="74"/>
  <c r="E36" i="74"/>
  <c r="C36" i="74"/>
  <c r="E35" i="74"/>
  <c r="C35" i="74"/>
  <c r="E34" i="74"/>
  <c r="C34" i="74"/>
  <c r="E33" i="74"/>
  <c r="C33" i="74"/>
  <c r="E32" i="74"/>
  <c r="C32" i="74"/>
  <c r="E31" i="74"/>
  <c r="C31" i="74"/>
  <c r="E30" i="74"/>
  <c r="C30" i="74"/>
  <c r="E29" i="74"/>
  <c r="C29" i="74"/>
  <c r="E28" i="74"/>
  <c r="C28" i="74"/>
  <c r="E27" i="74"/>
  <c r="C27" i="74"/>
  <c r="E26" i="74"/>
  <c r="C26" i="74"/>
  <c r="E25" i="74"/>
  <c r="C25" i="74"/>
  <c r="E24" i="74"/>
  <c r="C24" i="74"/>
  <c r="E23" i="74"/>
  <c r="C23" i="74"/>
  <c r="E22" i="74"/>
  <c r="C22" i="74"/>
  <c r="E21" i="74"/>
  <c r="C21" i="74"/>
  <c r="E20" i="74"/>
  <c r="C20" i="74"/>
  <c r="E19" i="74"/>
  <c r="C19" i="74"/>
  <c r="E18" i="74"/>
  <c r="C18" i="74"/>
  <c r="E17" i="74"/>
  <c r="C17" i="74"/>
  <c r="E16" i="74"/>
  <c r="C16" i="74"/>
  <c r="E15" i="74"/>
  <c r="C15" i="74"/>
  <c r="E14" i="74"/>
  <c r="C14" i="74"/>
  <c r="E13" i="74"/>
  <c r="C13" i="74"/>
  <c r="E12" i="74"/>
  <c r="C12" i="74"/>
  <c r="E11" i="74"/>
  <c r="C11" i="74"/>
  <c r="E10" i="74"/>
  <c r="C10" i="74"/>
  <c r="E9" i="74"/>
  <c r="C9" i="74"/>
  <c r="B2" i="74"/>
  <c r="B3" i="74" s="1"/>
  <c r="E41" i="73"/>
  <c r="C41" i="73"/>
  <c r="E40" i="73"/>
  <c r="C40" i="73"/>
  <c r="E39" i="73"/>
  <c r="C39" i="73"/>
  <c r="E38" i="73"/>
  <c r="C38" i="73"/>
  <c r="E37" i="73"/>
  <c r="C37" i="73"/>
  <c r="E36" i="73"/>
  <c r="C36" i="73"/>
  <c r="E35" i="73"/>
  <c r="C35" i="73"/>
  <c r="E34" i="73"/>
  <c r="C34" i="73"/>
  <c r="E33" i="73"/>
  <c r="C33" i="73"/>
  <c r="E32" i="73"/>
  <c r="C32" i="73"/>
  <c r="E31" i="73"/>
  <c r="C31" i="73"/>
  <c r="E30" i="73"/>
  <c r="C30" i="73"/>
  <c r="E29" i="73"/>
  <c r="C29" i="73"/>
  <c r="E28" i="73"/>
  <c r="C28" i="73"/>
  <c r="E27" i="73"/>
  <c r="C27" i="73"/>
  <c r="E26" i="73"/>
  <c r="C26" i="73"/>
  <c r="E25" i="73"/>
  <c r="C25" i="73"/>
  <c r="E24" i="73"/>
  <c r="C24" i="73"/>
  <c r="E23" i="73"/>
  <c r="C23" i="73"/>
  <c r="E22" i="73"/>
  <c r="C22" i="73"/>
  <c r="E21" i="73"/>
  <c r="C21" i="73"/>
  <c r="E20" i="73"/>
  <c r="C20" i="73"/>
  <c r="E19" i="73"/>
  <c r="C19" i="73"/>
  <c r="E18" i="73"/>
  <c r="C18" i="73"/>
  <c r="E17" i="73"/>
  <c r="C17" i="73"/>
  <c r="E16" i="73"/>
  <c r="C16" i="73"/>
  <c r="E15" i="73"/>
  <c r="C15" i="73"/>
  <c r="E14" i="73"/>
  <c r="C14" i="73"/>
  <c r="E13" i="73"/>
  <c r="C13" i="73"/>
  <c r="E12" i="73"/>
  <c r="C12" i="73"/>
  <c r="E11" i="73"/>
  <c r="C11" i="73"/>
  <c r="E10" i="73"/>
  <c r="C10" i="73"/>
  <c r="E9" i="73"/>
  <c r="C9" i="73"/>
  <c r="B2" i="73"/>
  <c r="B3" i="73" s="1"/>
  <c r="E32" i="72"/>
  <c r="E31" i="72"/>
  <c r="C31" i="72"/>
  <c r="E30" i="72"/>
  <c r="E29" i="72"/>
  <c r="C29" i="72"/>
  <c r="E28" i="72"/>
  <c r="C28" i="72"/>
  <c r="E27" i="72"/>
  <c r="E26" i="72"/>
  <c r="C26" i="72"/>
  <c r="E25" i="72"/>
  <c r="E24" i="72"/>
  <c r="C24" i="72"/>
  <c r="E23" i="72"/>
  <c r="E22" i="72"/>
  <c r="C22" i="72"/>
  <c r="E21" i="72"/>
  <c r="E20" i="72"/>
  <c r="C20" i="72"/>
  <c r="E19" i="72"/>
  <c r="E18" i="72"/>
  <c r="C18" i="72"/>
  <c r="E17" i="72"/>
  <c r="E16" i="72"/>
  <c r="C16" i="72"/>
  <c r="E15" i="72"/>
  <c r="E14" i="72"/>
  <c r="C14" i="72"/>
  <c r="E13" i="72"/>
  <c r="C13" i="72"/>
  <c r="E12" i="72"/>
  <c r="C12" i="72"/>
  <c r="E11" i="72"/>
  <c r="C11" i="72"/>
  <c r="E10" i="72"/>
  <c r="E9" i="72"/>
  <c r="C9" i="72"/>
  <c r="B2" i="72"/>
  <c r="B3" i="72" s="1"/>
  <c r="E32" i="71"/>
  <c r="E31" i="71"/>
  <c r="C31" i="71"/>
  <c r="E30" i="71"/>
  <c r="E29" i="71"/>
  <c r="C29" i="71"/>
  <c r="E28" i="71"/>
  <c r="C28" i="71"/>
  <c r="E27" i="71"/>
  <c r="E26" i="71"/>
  <c r="C26" i="71"/>
  <c r="E25" i="71"/>
  <c r="E24" i="71"/>
  <c r="C24" i="71"/>
  <c r="E23" i="71"/>
  <c r="E22" i="71"/>
  <c r="C22" i="71"/>
  <c r="E21" i="71"/>
  <c r="E20" i="71"/>
  <c r="C20" i="71"/>
  <c r="E19" i="71"/>
  <c r="E18" i="71"/>
  <c r="C18" i="71"/>
  <c r="E17" i="71"/>
  <c r="E16" i="71"/>
  <c r="C16" i="71"/>
  <c r="E15" i="71"/>
  <c r="E14" i="71"/>
  <c r="C14" i="71"/>
  <c r="E13" i="71"/>
  <c r="C13" i="71"/>
  <c r="E12" i="71"/>
  <c r="C12" i="71"/>
  <c r="E11" i="71"/>
  <c r="C11" i="71"/>
  <c r="E10" i="71"/>
  <c r="E9" i="71"/>
  <c r="C9" i="71"/>
  <c r="B2" i="71"/>
  <c r="B3" i="71" s="1"/>
  <c r="E36" i="70"/>
  <c r="E35" i="70"/>
  <c r="C35" i="70"/>
  <c r="E34" i="70"/>
  <c r="E33" i="70"/>
  <c r="C33" i="70"/>
  <c r="E32" i="70"/>
  <c r="E31" i="70"/>
  <c r="C31" i="70"/>
  <c r="E30" i="70"/>
  <c r="C30" i="70"/>
  <c r="E29" i="70"/>
  <c r="C29" i="70"/>
  <c r="E28" i="70"/>
  <c r="C28" i="70"/>
  <c r="E27" i="70"/>
  <c r="E26" i="70"/>
  <c r="C26" i="70"/>
  <c r="E25" i="70"/>
  <c r="E24" i="70"/>
  <c r="C24" i="70"/>
  <c r="E23" i="70"/>
  <c r="E22" i="70"/>
  <c r="C22" i="70"/>
  <c r="E21" i="70"/>
  <c r="E20" i="70"/>
  <c r="C20" i="70"/>
  <c r="E19" i="70"/>
  <c r="E18" i="70"/>
  <c r="C18" i="70"/>
  <c r="E17" i="70"/>
  <c r="E16" i="70"/>
  <c r="C16" i="70"/>
  <c r="E15" i="70"/>
  <c r="E14" i="70"/>
  <c r="C14" i="70"/>
  <c r="E13" i="70"/>
  <c r="C13" i="70"/>
  <c r="E12" i="70"/>
  <c r="C12" i="70"/>
  <c r="E11" i="70"/>
  <c r="C11" i="70"/>
  <c r="E10" i="70"/>
  <c r="E9" i="70"/>
  <c r="C9" i="70"/>
  <c r="B2" i="70"/>
  <c r="B3" i="70" s="1"/>
  <c r="E41" i="69"/>
  <c r="C41" i="69"/>
  <c r="E40" i="69"/>
  <c r="C40" i="69"/>
  <c r="E39" i="69"/>
  <c r="E38" i="69"/>
  <c r="C38" i="69"/>
  <c r="E37" i="69"/>
  <c r="E36" i="69"/>
  <c r="C36" i="69"/>
  <c r="E35" i="69"/>
  <c r="E34" i="69"/>
  <c r="C34" i="69"/>
  <c r="E33" i="69"/>
  <c r="E32" i="69"/>
  <c r="C32" i="69"/>
  <c r="E31" i="69"/>
  <c r="E30" i="69"/>
  <c r="C30" i="69"/>
  <c r="E29" i="69"/>
  <c r="C29" i="69"/>
  <c r="E28" i="69"/>
  <c r="C28" i="69"/>
  <c r="E27" i="69"/>
  <c r="E26" i="69"/>
  <c r="C26" i="69"/>
  <c r="E25" i="69"/>
  <c r="E24" i="69"/>
  <c r="C24" i="69"/>
  <c r="E23" i="69"/>
  <c r="E22" i="69"/>
  <c r="C22" i="69"/>
  <c r="E21" i="69"/>
  <c r="E20" i="69"/>
  <c r="C20" i="69"/>
  <c r="E19" i="69"/>
  <c r="E18" i="69"/>
  <c r="C18" i="69"/>
  <c r="E17" i="69"/>
  <c r="E16" i="69"/>
  <c r="C16" i="69"/>
  <c r="E15" i="69"/>
  <c r="E14" i="69"/>
  <c r="C14" i="69"/>
  <c r="E13" i="69"/>
  <c r="C13" i="69"/>
  <c r="E12" i="69"/>
  <c r="C12" i="69"/>
  <c r="E11" i="69"/>
  <c r="C11" i="69"/>
  <c r="E10" i="69"/>
  <c r="E9" i="69"/>
  <c r="C9" i="69"/>
  <c r="B2" i="69"/>
  <c r="B3" i="69" s="1"/>
  <c r="E41" i="68"/>
  <c r="C41" i="68"/>
  <c r="E40" i="68"/>
  <c r="C40" i="68"/>
  <c r="E39" i="68"/>
  <c r="C39" i="68"/>
  <c r="E38" i="68"/>
  <c r="C38" i="68"/>
  <c r="E37" i="68"/>
  <c r="C37" i="68"/>
  <c r="E36" i="68"/>
  <c r="C36" i="68"/>
  <c r="E35" i="68"/>
  <c r="C35" i="68"/>
  <c r="E34" i="68"/>
  <c r="C34" i="68"/>
  <c r="E33" i="68"/>
  <c r="C33" i="68"/>
  <c r="E32" i="68"/>
  <c r="C32" i="68"/>
  <c r="E31" i="68"/>
  <c r="C31" i="68"/>
  <c r="E30" i="68"/>
  <c r="C30" i="68"/>
  <c r="E29" i="68"/>
  <c r="C29" i="68"/>
  <c r="E28" i="68"/>
  <c r="C28" i="68"/>
  <c r="E27" i="68"/>
  <c r="C27" i="68"/>
  <c r="E26" i="68"/>
  <c r="C26" i="68"/>
  <c r="E25" i="68"/>
  <c r="C25" i="68"/>
  <c r="E24" i="68"/>
  <c r="C24" i="68"/>
  <c r="E23" i="68"/>
  <c r="C23" i="68"/>
  <c r="E22" i="68"/>
  <c r="C22" i="68"/>
  <c r="E21" i="68"/>
  <c r="C21" i="68"/>
  <c r="E20" i="68"/>
  <c r="C20" i="68"/>
  <c r="E19" i="68"/>
  <c r="C19" i="68"/>
  <c r="E18" i="68"/>
  <c r="C18" i="68"/>
  <c r="E17" i="68"/>
  <c r="C17" i="68"/>
  <c r="E16" i="68"/>
  <c r="C16" i="68"/>
  <c r="E15" i="68"/>
  <c r="C15" i="68"/>
  <c r="E14" i="68"/>
  <c r="C14" i="68"/>
  <c r="E13" i="68"/>
  <c r="C13" i="68"/>
  <c r="E12" i="68"/>
  <c r="C12" i="68"/>
  <c r="E11" i="68"/>
  <c r="C11" i="68"/>
  <c r="E10" i="68"/>
  <c r="C10" i="68"/>
  <c r="E9" i="68"/>
  <c r="C9" i="68"/>
  <c r="B2" i="68"/>
  <c r="B3" i="68" s="1"/>
  <c r="E41" i="67"/>
  <c r="C41" i="67"/>
  <c r="E40" i="67"/>
  <c r="C40" i="67"/>
  <c r="E39" i="67"/>
  <c r="C39" i="67"/>
  <c r="E38" i="67"/>
  <c r="C38" i="67"/>
  <c r="E37" i="67"/>
  <c r="C37" i="67"/>
  <c r="E36" i="67"/>
  <c r="C36" i="67"/>
  <c r="E35" i="67"/>
  <c r="C35" i="67"/>
  <c r="E34" i="67"/>
  <c r="C34" i="67"/>
  <c r="E33" i="67"/>
  <c r="C33" i="67"/>
  <c r="E32" i="67"/>
  <c r="C32" i="67"/>
  <c r="E31" i="67"/>
  <c r="C31" i="67"/>
  <c r="E30" i="67"/>
  <c r="C30" i="67"/>
  <c r="E29" i="67"/>
  <c r="C29" i="67"/>
  <c r="E28" i="67"/>
  <c r="C28" i="67"/>
  <c r="E27" i="67"/>
  <c r="C27" i="67"/>
  <c r="E26" i="67"/>
  <c r="C26" i="67"/>
  <c r="E25" i="67"/>
  <c r="C25" i="67"/>
  <c r="E24" i="67"/>
  <c r="C24" i="67"/>
  <c r="E23" i="67"/>
  <c r="C23" i="67"/>
  <c r="E22" i="67"/>
  <c r="C22" i="67"/>
  <c r="E21" i="67"/>
  <c r="C21" i="67"/>
  <c r="E20" i="67"/>
  <c r="C20" i="67"/>
  <c r="E19" i="67"/>
  <c r="C19" i="67"/>
  <c r="E18" i="67"/>
  <c r="C18" i="67"/>
  <c r="E17" i="67"/>
  <c r="C17" i="67"/>
  <c r="E16" i="67"/>
  <c r="C16" i="67"/>
  <c r="E15" i="67"/>
  <c r="C15" i="67"/>
  <c r="E14" i="67"/>
  <c r="C14" i="67"/>
  <c r="E13" i="67"/>
  <c r="C13" i="67"/>
  <c r="E12" i="67"/>
  <c r="C12" i="67"/>
  <c r="E11" i="67"/>
  <c r="C11" i="67"/>
  <c r="E10" i="67"/>
  <c r="C10" i="67"/>
  <c r="E9" i="67"/>
  <c r="C9" i="67"/>
  <c r="B2" i="67"/>
  <c r="B3" i="67" s="1"/>
  <c r="E41" i="66"/>
  <c r="C41" i="66"/>
  <c r="E40" i="66"/>
  <c r="C40" i="66"/>
  <c r="E39" i="66"/>
  <c r="C39" i="66"/>
  <c r="E38" i="66"/>
  <c r="C38" i="66"/>
  <c r="E37" i="66"/>
  <c r="C37" i="66"/>
  <c r="E36" i="66"/>
  <c r="C36" i="66"/>
  <c r="E35" i="66"/>
  <c r="C35" i="66"/>
  <c r="E34" i="66"/>
  <c r="C34" i="66"/>
  <c r="E33" i="66"/>
  <c r="C33" i="66"/>
  <c r="E32" i="66"/>
  <c r="C32" i="66"/>
  <c r="E31" i="66"/>
  <c r="C31" i="66"/>
  <c r="E30" i="66"/>
  <c r="C30" i="66"/>
  <c r="E29" i="66"/>
  <c r="C29" i="66"/>
  <c r="E28" i="66"/>
  <c r="C28" i="66"/>
  <c r="E27" i="66"/>
  <c r="C27" i="66"/>
  <c r="E26" i="66"/>
  <c r="C26" i="66"/>
  <c r="E25" i="66"/>
  <c r="C25" i="66"/>
  <c r="E24" i="66"/>
  <c r="C24" i="66"/>
  <c r="E23" i="66"/>
  <c r="C23" i="66"/>
  <c r="E22" i="66"/>
  <c r="C22" i="66"/>
  <c r="E21" i="66"/>
  <c r="C21" i="66"/>
  <c r="E20" i="66"/>
  <c r="C20" i="66"/>
  <c r="E19" i="66"/>
  <c r="C19" i="66"/>
  <c r="E18" i="66"/>
  <c r="C18" i="66"/>
  <c r="E17" i="66"/>
  <c r="C17" i="66"/>
  <c r="E16" i="66"/>
  <c r="C16" i="66"/>
  <c r="E15" i="66"/>
  <c r="C15" i="66"/>
  <c r="E14" i="66"/>
  <c r="C14" i="66"/>
  <c r="E13" i="66"/>
  <c r="C13" i="66"/>
  <c r="E12" i="66"/>
  <c r="C12" i="66"/>
  <c r="E11" i="66"/>
  <c r="C11" i="66"/>
  <c r="E10" i="66"/>
  <c r="C10" i="66"/>
  <c r="E9" i="66"/>
  <c r="C9" i="66"/>
  <c r="B2" i="66"/>
  <c r="B3" i="66" s="1"/>
  <c r="E41" i="65"/>
  <c r="C41" i="65"/>
  <c r="E40" i="65"/>
  <c r="C40" i="65"/>
  <c r="E39" i="65"/>
  <c r="C39" i="65"/>
  <c r="E38" i="65"/>
  <c r="C38" i="65"/>
  <c r="E37" i="65"/>
  <c r="C37" i="65"/>
  <c r="E36" i="65"/>
  <c r="C36" i="65"/>
  <c r="E35" i="65"/>
  <c r="C35" i="65"/>
  <c r="E34" i="65"/>
  <c r="C34" i="65"/>
  <c r="E33" i="65"/>
  <c r="C33" i="65"/>
  <c r="E32" i="65"/>
  <c r="C32" i="65"/>
  <c r="E31" i="65"/>
  <c r="C31" i="65"/>
  <c r="E30" i="65"/>
  <c r="C30" i="65"/>
  <c r="E29" i="65"/>
  <c r="C29" i="65"/>
  <c r="E28" i="65"/>
  <c r="C28" i="65"/>
  <c r="E27" i="65"/>
  <c r="C27" i="65"/>
  <c r="E26" i="65"/>
  <c r="C26" i="65"/>
  <c r="E25" i="65"/>
  <c r="C25" i="65"/>
  <c r="E24" i="65"/>
  <c r="C24" i="65"/>
  <c r="E23" i="65"/>
  <c r="C23" i="65"/>
  <c r="E22" i="65"/>
  <c r="C22" i="65"/>
  <c r="E21" i="65"/>
  <c r="C21" i="65"/>
  <c r="E20" i="65"/>
  <c r="C20" i="65"/>
  <c r="E19" i="65"/>
  <c r="C19" i="65"/>
  <c r="E18" i="65"/>
  <c r="C18" i="65"/>
  <c r="E17" i="65"/>
  <c r="C17" i="65"/>
  <c r="E16" i="65"/>
  <c r="C16" i="65"/>
  <c r="E15" i="65"/>
  <c r="C15" i="65"/>
  <c r="E14" i="65"/>
  <c r="C14" i="65"/>
  <c r="E13" i="65"/>
  <c r="C13" i="65"/>
  <c r="E12" i="65"/>
  <c r="C12" i="65"/>
  <c r="E11" i="65"/>
  <c r="C11" i="65"/>
  <c r="E10" i="65"/>
  <c r="C10" i="65"/>
  <c r="E9" i="65"/>
  <c r="C9" i="65"/>
  <c r="B2" i="65"/>
  <c r="B5" i="65" s="1"/>
  <c r="E41" i="64"/>
  <c r="C41" i="64"/>
  <c r="E40" i="64"/>
  <c r="C40" i="64"/>
  <c r="E39" i="64"/>
  <c r="C39" i="64"/>
  <c r="E38" i="64"/>
  <c r="C38" i="64"/>
  <c r="E37" i="64"/>
  <c r="C37" i="64"/>
  <c r="E36" i="64"/>
  <c r="C36" i="64"/>
  <c r="E35" i="64"/>
  <c r="C35" i="64"/>
  <c r="E34" i="64"/>
  <c r="C34" i="64"/>
  <c r="E33" i="64"/>
  <c r="C33" i="64"/>
  <c r="E32" i="64"/>
  <c r="C32" i="64"/>
  <c r="E31" i="64"/>
  <c r="C31" i="64"/>
  <c r="E30" i="64"/>
  <c r="C30" i="64"/>
  <c r="E29" i="64"/>
  <c r="C29" i="64"/>
  <c r="E28" i="64"/>
  <c r="C28" i="64"/>
  <c r="E27" i="64"/>
  <c r="C27" i="64"/>
  <c r="E26" i="64"/>
  <c r="C26" i="64"/>
  <c r="E25" i="64"/>
  <c r="C25" i="64"/>
  <c r="E24" i="64"/>
  <c r="C24" i="64"/>
  <c r="E23" i="64"/>
  <c r="C23" i="64"/>
  <c r="E22" i="64"/>
  <c r="C22" i="64"/>
  <c r="E21" i="64"/>
  <c r="C21" i="64"/>
  <c r="E20" i="64"/>
  <c r="C20" i="64"/>
  <c r="E19" i="64"/>
  <c r="C19" i="64"/>
  <c r="E18" i="64"/>
  <c r="C18" i="64"/>
  <c r="E17" i="64"/>
  <c r="C17" i="64"/>
  <c r="E16" i="64"/>
  <c r="C16" i="64"/>
  <c r="E15" i="64"/>
  <c r="C15" i="64"/>
  <c r="E14" i="64"/>
  <c r="C14" i="64"/>
  <c r="E13" i="64"/>
  <c r="C13" i="64"/>
  <c r="E12" i="64"/>
  <c r="C12" i="64"/>
  <c r="E11" i="64"/>
  <c r="C11" i="64"/>
  <c r="E10" i="64"/>
  <c r="C10" i="64"/>
  <c r="E9" i="64"/>
  <c r="C9" i="64"/>
  <c r="B2" i="64"/>
  <c r="B3" i="64" s="1"/>
  <c r="E41" i="63"/>
  <c r="C41" i="63"/>
  <c r="E40" i="63"/>
  <c r="C40" i="63"/>
  <c r="E39" i="63"/>
  <c r="C39" i="63"/>
  <c r="E38" i="63"/>
  <c r="C38" i="63"/>
  <c r="E37" i="63"/>
  <c r="C37" i="63"/>
  <c r="E36" i="63"/>
  <c r="C36" i="63"/>
  <c r="E35" i="63"/>
  <c r="C35" i="63"/>
  <c r="E34" i="63"/>
  <c r="C34" i="63"/>
  <c r="E33" i="63"/>
  <c r="C33" i="63"/>
  <c r="E32" i="63"/>
  <c r="C32" i="63"/>
  <c r="E31" i="63"/>
  <c r="C31" i="63"/>
  <c r="E30" i="63"/>
  <c r="C30" i="63"/>
  <c r="E29" i="63"/>
  <c r="C29" i="63"/>
  <c r="E28" i="63"/>
  <c r="C28" i="63"/>
  <c r="E27" i="63"/>
  <c r="C27" i="63"/>
  <c r="E26" i="63"/>
  <c r="C26" i="63"/>
  <c r="E25" i="63"/>
  <c r="C25" i="63"/>
  <c r="E24" i="63"/>
  <c r="C24" i="63"/>
  <c r="E23" i="63"/>
  <c r="C23" i="63"/>
  <c r="E22" i="63"/>
  <c r="C22" i="63"/>
  <c r="E21" i="63"/>
  <c r="C21" i="63"/>
  <c r="E20" i="63"/>
  <c r="C20" i="63"/>
  <c r="E19" i="63"/>
  <c r="C19" i="63"/>
  <c r="E18" i="63"/>
  <c r="C18" i="63"/>
  <c r="E17" i="63"/>
  <c r="C17" i="63"/>
  <c r="E16" i="63"/>
  <c r="C16" i="63"/>
  <c r="E15" i="63"/>
  <c r="C15" i="63"/>
  <c r="E14" i="63"/>
  <c r="C14" i="63"/>
  <c r="E13" i="63"/>
  <c r="C13" i="63"/>
  <c r="E12" i="63"/>
  <c r="C12" i="63"/>
  <c r="E11" i="63"/>
  <c r="C11" i="63"/>
  <c r="E10" i="63"/>
  <c r="C10" i="63"/>
  <c r="E9" i="63"/>
  <c r="C9" i="63"/>
  <c r="B2" i="63"/>
  <c r="B3" i="63" s="1"/>
  <c r="E41" i="62"/>
  <c r="C41" i="62"/>
  <c r="E40" i="62"/>
  <c r="C40" i="62"/>
  <c r="E39" i="62"/>
  <c r="C39" i="62"/>
  <c r="E38" i="62"/>
  <c r="C38" i="62"/>
  <c r="E37" i="62"/>
  <c r="C37" i="62"/>
  <c r="E36" i="62"/>
  <c r="C36" i="62"/>
  <c r="E35" i="62"/>
  <c r="C35" i="62"/>
  <c r="E34" i="62"/>
  <c r="C34" i="62"/>
  <c r="E33" i="62"/>
  <c r="C33" i="62"/>
  <c r="E32" i="62"/>
  <c r="C32" i="62"/>
  <c r="E31" i="62"/>
  <c r="C31" i="62"/>
  <c r="E30" i="62"/>
  <c r="C30" i="62"/>
  <c r="E29" i="62"/>
  <c r="C29" i="62"/>
  <c r="E28" i="62"/>
  <c r="C28" i="62"/>
  <c r="E27" i="62"/>
  <c r="C27" i="62"/>
  <c r="E26" i="62"/>
  <c r="C26" i="62"/>
  <c r="E25" i="62"/>
  <c r="C25" i="62"/>
  <c r="E24" i="62"/>
  <c r="C24" i="62"/>
  <c r="E23" i="62"/>
  <c r="C23" i="62"/>
  <c r="E22" i="62"/>
  <c r="C22" i="62"/>
  <c r="E21" i="62"/>
  <c r="C21" i="62"/>
  <c r="E20" i="62"/>
  <c r="C20" i="62"/>
  <c r="E19" i="62"/>
  <c r="C19" i="62"/>
  <c r="E18" i="62"/>
  <c r="C18" i="62"/>
  <c r="E17" i="62"/>
  <c r="C17" i="62"/>
  <c r="E16" i="62"/>
  <c r="C16" i="62"/>
  <c r="E15" i="62"/>
  <c r="C15" i="62"/>
  <c r="E14" i="62"/>
  <c r="C14" i="62"/>
  <c r="E13" i="62"/>
  <c r="C13" i="62"/>
  <c r="E12" i="62"/>
  <c r="C12" i="62"/>
  <c r="E11" i="62"/>
  <c r="C11" i="62"/>
  <c r="E10" i="62"/>
  <c r="C10" i="62"/>
  <c r="E9" i="62"/>
  <c r="C9" i="62"/>
  <c r="B2" i="62"/>
  <c r="B3" i="62" s="1"/>
  <c r="E41" i="61"/>
  <c r="C41" i="61"/>
  <c r="E40" i="61"/>
  <c r="C40" i="61"/>
  <c r="E39" i="61"/>
  <c r="C39" i="61"/>
  <c r="E38" i="61"/>
  <c r="C38" i="61"/>
  <c r="E37" i="61"/>
  <c r="C37" i="61"/>
  <c r="E36" i="61"/>
  <c r="C36" i="61"/>
  <c r="E35" i="61"/>
  <c r="C35" i="61"/>
  <c r="E34" i="61"/>
  <c r="C34" i="61"/>
  <c r="E33" i="61"/>
  <c r="C33" i="61"/>
  <c r="E32" i="61"/>
  <c r="C32" i="61"/>
  <c r="E31" i="61"/>
  <c r="C31" i="61"/>
  <c r="E30" i="61"/>
  <c r="C30" i="61"/>
  <c r="E29" i="61"/>
  <c r="C29" i="61"/>
  <c r="E28" i="61"/>
  <c r="C28" i="61"/>
  <c r="E27" i="61"/>
  <c r="C27" i="61"/>
  <c r="E26" i="61"/>
  <c r="C26" i="61"/>
  <c r="E25" i="61"/>
  <c r="C25" i="61"/>
  <c r="E24" i="61"/>
  <c r="C24" i="61"/>
  <c r="E23" i="61"/>
  <c r="C23" i="61"/>
  <c r="E22" i="61"/>
  <c r="C22" i="61"/>
  <c r="E21" i="61"/>
  <c r="C21" i="61"/>
  <c r="E20" i="61"/>
  <c r="C20" i="61"/>
  <c r="E19" i="61"/>
  <c r="C19" i="61"/>
  <c r="E18" i="61"/>
  <c r="C18" i="61"/>
  <c r="E17" i="61"/>
  <c r="C17" i="61"/>
  <c r="E16" i="61"/>
  <c r="C16" i="61"/>
  <c r="E15" i="61"/>
  <c r="C15" i="61"/>
  <c r="E14" i="61"/>
  <c r="C14" i="61"/>
  <c r="E13" i="61"/>
  <c r="C13" i="61"/>
  <c r="E12" i="61"/>
  <c r="C12" i="61"/>
  <c r="E11" i="61"/>
  <c r="C11" i="61"/>
  <c r="E10" i="61"/>
  <c r="C10" i="61"/>
  <c r="E9" i="61"/>
  <c r="C9" i="61"/>
  <c r="B2" i="61"/>
  <c r="B3" i="61" s="1"/>
  <c r="E41" i="60"/>
  <c r="C41" i="60"/>
  <c r="E40" i="60"/>
  <c r="C40" i="60"/>
  <c r="E39" i="60"/>
  <c r="C39" i="60"/>
  <c r="E38" i="60"/>
  <c r="C38" i="60"/>
  <c r="E37" i="60"/>
  <c r="C37" i="60"/>
  <c r="E36" i="60"/>
  <c r="C36" i="60"/>
  <c r="E35" i="60"/>
  <c r="C35" i="60"/>
  <c r="E34" i="60"/>
  <c r="C34" i="60"/>
  <c r="E33" i="60"/>
  <c r="C33" i="60"/>
  <c r="E32" i="60"/>
  <c r="C32" i="60"/>
  <c r="E31" i="60"/>
  <c r="C31" i="60"/>
  <c r="E30" i="60"/>
  <c r="C30" i="60"/>
  <c r="E29" i="60"/>
  <c r="C29" i="60"/>
  <c r="E28" i="60"/>
  <c r="C28" i="60"/>
  <c r="E27" i="60"/>
  <c r="C27" i="60"/>
  <c r="E26" i="60"/>
  <c r="C26" i="60"/>
  <c r="E25" i="60"/>
  <c r="C25" i="60"/>
  <c r="E24" i="60"/>
  <c r="C24" i="60"/>
  <c r="E23" i="60"/>
  <c r="C23" i="60"/>
  <c r="E22" i="60"/>
  <c r="C22" i="60"/>
  <c r="E21" i="60"/>
  <c r="C21" i="60"/>
  <c r="E20" i="60"/>
  <c r="C20" i="60"/>
  <c r="E19" i="60"/>
  <c r="C19" i="60"/>
  <c r="E18" i="60"/>
  <c r="C18" i="60"/>
  <c r="E17" i="60"/>
  <c r="C17" i="60"/>
  <c r="E16" i="60"/>
  <c r="C16" i="60"/>
  <c r="E15" i="60"/>
  <c r="C15" i="60"/>
  <c r="E14" i="60"/>
  <c r="C14" i="60"/>
  <c r="E13" i="60"/>
  <c r="C13" i="60"/>
  <c r="E12" i="60"/>
  <c r="C12" i="60"/>
  <c r="E11" i="60"/>
  <c r="C11" i="60"/>
  <c r="E10" i="60"/>
  <c r="C10" i="60"/>
  <c r="E9" i="60"/>
  <c r="C9" i="60"/>
  <c r="B2" i="60"/>
  <c r="B3" i="60" s="1"/>
  <c r="E29" i="59"/>
  <c r="E28" i="59"/>
  <c r="C28" i="59"/>
  <c r="E27" i="59"/>
  <c r="C27" i="59"/>
  <c r="E26" i="59"/>
  <c r="C26" i="59"/>
  <c r="E25" i="59"/>
  <c r="C25" i="59"/>
  <c r="E24" i="59"/>
  <c r="E23" i="59"/>
  <c r="C23" i="59"/>
  <c r="E22" i="59"/>
  <c r="C22" i="59"/>
  <c r="E21" i="59"/>
  <c r="C21" i="59"/>
  <c r="E20" i="59"/>
  <c r="E19" i="59"/>
  <c r="C19" i="59"/>
  <c r="E18" i="59"/>
  <c r="E17" i="59"/>
  <c r="C17" i="59"/>
  <c r="E16" i="59"/>
  <c r="E15" i="59"/>
  <c r="C15" i="59"/>
  <c r="E14" i="59"/>
  <c r="C14" i="59"/>
  <c r="E13" i="59"/>
  <c r="C13" i="59"/>
  <c r="E12" i="59"/>
  <c r="C12" i="59"/>
  <c r="E11" i="59"/>
  <c r="C11" i="59"/>
  <c r="E10" i="59"/>
  <c r="E9" i="59"/>
  <c r="C9" i="59"/>
  <c r="B2" i="59"/>
  <c r="B5" i="59" s="1"/>
  <c r="E35" i="58"/>
  <c r="E34" i="58"/>
  <c r="E33" i="58"/>
  <c r="E32" i="58"/>
  <c r="C32" i="58"/>
  <c r="E31" i="58"/>
  <c r="E30" i="58"/>
  <c r="C30" i="58"/>
  <c r="E29" i="58"/>
  <c r="E28" i="58"/>
  <c r="C28" i="58"/>
  <c r="E27" i="58"/>
  <c r="E26" i="58"/>
  <c r="E25" i="58"/>
  <c r="E24" i="58"/>
  <c r="C24" i="58"/>
  <c r="E23" i="58"/>
  <c r="E22" i="58"/>
  <c r="C22" i="58"/>
  <c r="E21" i="58"/>
  <c r="C21" i="58"/>
  <c r="E20" i="58"/>
  <c r="C20" i="58"/>
  <c r="E19" i="58"/>
  <c r="E18" i="58"/>
  <c r="C18" i="58"/>
  <c r="E17" i="58"/>
  <c r="E16" i="58"/>
  <c r="C16" i="58"/>
  <c r="E15" i="58"/>
  <c r="E14" i="58"/>
  <c r="C14" i="58"/>
  <c r="E13" i="58"/>
  <c r="C13" i="58"/>
  <c r="E12" i="58"/>
  <c r="C12" i="58"/>
  <c r="E11" i="58"/>
  <c r="C11" i="58"/>
  <c r="E10" i="58"/>
  <c r="E9" i="58"/>
  <c r="C9" i="58"/>
  <c r="B2" i="58"/>
  <c r="E34" i="57"/>
  <c r="E33" i="57"/>
  <c r="C33" i="57"/>
  <c r="E32" i="57"/>
  <c r="C32" i="57"/>
  <c r="E31" i="57"/>
  <c r="E30" i="57"/>
  <c r="C30" i="57"/>
  <c r="E29" i="57"/>
  <c r="C29" i="57"/>
  <c r="E28" i="57"/>
  <c r="E27" i="57"/>
  <c r="C27" i="57"/>
  <c r="E26" i="57"/>
  <c r="C26" i="57"/>
  <c r="E25" i="57"/>
  <c r="E24" i="57"/>
  <c r="C24" i="57"/>
  <c r="E23" i="57"/>
  <c r="E22" i="57"/>
  <c r="C22" i="57"/>
  <c r="E21" i="57"/>
  <c r="E20" i="57"/>
  <c r="C20" i="57"/>
  <c r="E19" i="57"/>
  <c r="E18" i="57"/>
  <c r="C18" i="57"/>
  <c r="E17" i="57"/>
  <c r="E16" i="57"/>
  <c r="C16" i="57"/>
  <c r="E15" i="57"/>
  <c r="E14" i="57"/>
  <c r="C14" i="57"/>
  <c r="E13" i="57"/>
  <c r="C13" i="57"/>
  <c r="E12" i="57"/>
  <c r="C12" i="57"/>
  <c r="E11" i="57"/>
  <c r="C11" i="57"/>
  <c r="E10" i="57"/>
  <c r="E9" i="57"/>
  <c r="C9" i="57"/>
  <c r="B2" i="57"/>
  <c r="B5" i="57" s="1"/>
  <c r="E38" i="56"/>
  <c r="E37" i="56"/>
  <c r="C37" i="56"/>
  <c r="E36" i="56"/>
  <c r="E35" i="56"/>
  <c r="C35" i="56"/>
  <c r="E34" i="56"/>
  <c r="C34" i="56"/>
  <c r="E33" i="56"/>
  <c r="E32" i="56"/>
  <c r="C32" i="56"/>
  <c r="E31" i="56"/>
  <c r="C31" i="56"/>
  <c r="E30" i="56"/>
  <c r="E29" i="56"/>
  <c r="C29" i="56"/>
  <c r="E28" i="56"/>
  <c r="C28" i="56"/>
  <c r="E27" i="56"/>
  <c r="E26" i="56"/>
  <c r="C26" i="56"/>
  <c r="E25" i="56"/>
  <c r="E24" i="56"/>
  <c r="C24" i="56"/>
  <c r="E23" i="56"/>
  <c r="E22" i="56"/>
  <c r="C22" i="56"/>
  <c r="E21" i="56"/>
  <c r="E20" i="56"/>
  <c r="C20" i="56"/>
  <c r="E19" i="56"/>
  <c r="E18" i="56"/>
  <c r="C18" i="56"/>
  <c r="E17" i="56"/>
  <c r="E16" i="56"/>
  <c r="C16" i="56"/>
  <c r="E15" i="56"/>
  <c r="E14" i="56"/>
  <c r="C14" i="56"/>
  <c r="E13" i="56"/>
  <c r="C13" i="56"/>
  <c r="E12" i="56"/>
  <c r="C12" i="56"/>
  <c r="E11" i="56"/>
  <c r="C11" i="56"/>
  <c r="E10" i="56"/>
  <c r="E9" i="56"/>
  <c r="C9" i="56"/>
  <c r="B2" i="56"/>
  <c r="B5" i="56" s="1"/>
  <c r="E37" i="55"/>
  <c r="C37" i="55"/>
  <c r="E30" i="55"/>
  <c r="E29" i="55"/>
  <c r="C29" i="55"/>
  <c r="E28" i="55"/>
  <c r="C28" i="55"/>
  <c r="E27" i="55"/>
  <c r="E26" i="55"/>
  <c r="C26" i="55"/>
  <c r="E25" i="55"/>
  <c r="E24" i="55"/>
  <c r="C24" i="55"/>
  <c r="E23" i="55"/>
  <c r="E22" i="55"/>
  <c r="C22" i="55"/>
  <c r="E21" i="55"/>
  <c r="E20" i="55"/>
  <c r="C20" i="55"/>
  <c r="E19" i="55"/>
  <c r="E18" i="55"/>
  <c r="C18" i="55"/>
  <c r="E17" i="55"/>
  <c r="E16" i="55"/>
  <c r="C16" i="55"/>
  <c r="E15" i="55"/>
  <c r="E14" i="55"/>
  <c r="C14" i="55"/>
  <c r="E13" i="55"/>
  <c r="C13" i="55"/>
  <c r="E12" i="55"/>
  <c r="C12" i="55"/>
  <c r="E11" i="55"/>
  <c r="C11" i="55"/>
  <c r="E10" i="55"/>
  <c r="E9" i="55"/>
  <c r="C9" i="55"/>
  <c r="B2" i="55"/>
  <c r="E27" i="54"/>
  <c r="E26" i="54"/>
  <c r="C26" i="54"/>
  <c r="E25" i="54"/>
  <c r="E24" i="54"/>
  <c r="C24" i="54"/>
  <c r="E23" i="54"/>
  <c r="E22" i="54"/>
  <c r="C22" i="54"/>
  <c r="E21" i="54"/>
  <c r="E20" i="54"/>
  <c r="C20" i="54"/>
  <c r="E19" i="54"/>
  <c r="E18" i="54"/>
  <c r="C18" i="54"/>
  <c r="E17" i="54"/>
  <c r="E16" i="54"/>
  <c r="C16" i="54"/>
  <c r="E15" i="54"/>
  <c r="E14" i="54"/>
  <c r="C14" i="54"/>
  <c r="E13" i="54"/>
  <c r="C13" i="54"/>
  <c r="E12" i="54"/>
  <c r="C12" i="54"/>
  <c r="E11" i="54"/>
  <c r="C11" i="54"/>
  <c r="E10" i="54"/>
  <c r="E9" i="54"/>
  <c r="C9" i="54"/>
  <c r="B2" i="54"/>
  <c r="B5" i="54" s="1"/>
  <c r="E37" i="53"/>
  <c r="E28" i="53"/>
  <c r="C28" i="53"/>
  <c r="E27" i="53"/>
  <c r="E26" i="53"/>
  <c r="C26" i="53"/>
  <c r="E25" i="53"/>
  <c r="C25" i="53"/>
  <c r="E24" i="53"/>
  <c r="E23" i="53"/>
  <c r="C23" i="53"/>
  <c r="E22" i="53"/>
  <c r="C22" i="53"/>
  <c r="E21" i="53"/>
  <c r="E20" i="53"/>
  <c r="C20" i="53"/>
  <c r="E19" i="53"/>
  <c r="E18" i="53"/>
  <c r="C18" i="53"/>
  <c r="E17" i="53"/>
  <c r="E16" i="53"/>
  <c r="C16" i="53"/>
  <c r="E15" i="53"/>
  <c r="E14" i="53"/>
  <c r="C14" i="53"/>
  <c r="E13" i="53"/>
  <c r="C13" i="53"/>
  <c r="E12" i="53"/>
  <c r="C12" i="53"/>
  <c r="E11" i="53"/>
  <c r="C11" i="53"/>
  <c r="E10" i="53"/>
  <c r="E9" i="53"/>
  <c r="C9" i="53"/>
  <c r="B2" i="53"/>
  <c r="B5" i="53" s="1"/>
  <c r="E10" i="52"/>
  <c r="E11" i="52"/>
  <c r="E12" i="52"/>
  <c r="E13" i="52"/>
  <c r="E14" i="52"/>
  <c r="E15" i="52"/>
  <c r="E16" i="52"/>
  <c r="E17" i="52"/>
  <c r="E18" i="52"/>
  <c r="E19" i="52"/>
  <c r="E20" i="52"/>
  <c r="E21" i="52"/>
  <c r="E22" i="52"/>
  <c r="E23" i="52"/>
  <c r="E24" i="52"/>
  <c r="E25" i="52"/>
  <c r="E26" i="52"/>
  <c r="E27" i="52"/>
  <c r="E28" i="52"/>
  <c r="E29" i="52"/>
  <c r="E30" i="52"/>
  <c r="E9" i="52"/>
  <c r="C11" i="52"/>
  <c r="C12" i="52"/>
  <c r="C13" i="52"/>
  <c r="C14" i="52"/>
  <c r="C15" i="52"/>
  <c r="C17" i="52"/>
  <c r="C19" i="52"/>
  <c r="C22" i="52"/>
  <c r="C24" i="52"/>
  <c r="C26" i="52"/>
  <c r="C28" i="52"/>
  <c r="C29" i="52"/>
  <c r="C9" i="52"/>
  <c r="B2" i="52"/>
  <c r="E41" i="51"/>
  <c r="C41" i="51"/>
  <c r="E40" i="51"/>
  <c r="E39" i="51"/>
  <c r="C39" i="51"/>
  <c r="E38" i="51"/>
  <c r="C38" i="51"/>
  <c r="E37" i="51"/>
  <c r="E36" i="51"/>
  <c r="C36" i="51"/>
  <c r="E35" i="51"/>
  <c r="C35" i="51"/>
  <c r="E34" i="51"/>
  <c r="E33" i="51"/>
  <c r="C33" i="51"/>
  <c r="E32" i="51"/>
  <c r="C32" i="51"/>
  <c r="E31" i="51"/>
  <c r="E30" i="51"/>
  <c r="C30" i="51"/>
  <c r="E29" i="51"/>
  <c r="E28" i="51"/>
  <c r="C28" i="51"/>
  <c r="E27" i="51"/>
  <c r="E26" i="51"/>
  <c r="C26" i="51"/>
  <c r="E25" i="51"/>
  <c r="E24" i="51"/>
  <c r="C24" i="51"/>
  <c r="E23" i="51"/>
  <c r="E22" i="51"/>
  <c r="C22" i="51"/>
  <c r="E21" i="51"/>
  <c r="E20" i="51"/>
  <c r="C20" i="51"/>
  <c r="E19" i="51"/>
  <c r="E18" i="51"/>
  <c r="C18" i="51"/>
  <c r="E17" i="51"/>
  <c r="E16" i="51"/>
  <c r="C16" i="51"/>
  <c r="E15" i="51"/>
  <c r="E14" i="51"/>
  <c r="C14" i="51"/>
  <c r="E13" i="51"/>
  <c r="C13" i="51"/>
  <c r="E12" i="51"/>
  <c r="C12" i="51"/>
  <c r="E11" i="51"/>
  <c r="C11" i="51"/>
  <c r="E10" i="51"/>
  <c r="E9" i="51"/>
  <c r="C9" i="51"/>
  <c r="B2" i="51"/>
  <c r="B5" i="51" s="1"/>
  <c r="E35" i="50"/>
  <c r="E34" i="50"/>
  <c r="C34" i="50"/>
  <c r="E33" i="50"/>
  <c r="E32" i="50"/>
  <c r="C32" i="50"/>
  <c r="E31" i="50"/>
  <c r="C31" i="50"/>
  <c r="E30" i="50"/>
  <c r="E29" i="50"/>
  <c r="C29" i="50"/>
  <c r="E28" i="50"/>
  <c r="C28" i="50"/>
  <c r="E27" i="50"/>
  <c r="E26" i="50"/>
  <c r="C26" i="50"/>
  <c r="E25" i="50"/>
  <c r="E24" i="50"/>
  <c r="C24" i="50"/>
  <c r="E23" i="50"/>
  <c r="E22" i="50"/>
  <c r="C22" i="50"/>
  <c r="E21" i="50"/>
  <c r="E20" i="50"/>
  <c r="C20" i="50"/>
  <c r="E19" i="50"/>
  <c r="E18" i="50"/>
  <c r="C18" i="50"/>
  <c r="E17" i="50"/>
  <c r="E16" i="50"/>
  <c r="C16" i="50"/>
  <c r="E15" i="50"/>
  <c r="E14" i="50"/>
  <c r="C14" i="50"/>
  <c r="E13" i="50"/>
  <c r="C13" i="50"/>
  <c r="E12" i="50"/>
  <c r="C12" i="50"/>
  <c r="E11" i="50"/>
  <c r="C11" i="50"/>
  <c r="E10" i="50"/>
  <c r="E9" i="50"/>
  <c r="C9" i="50"/>
  <c r="B2" i="50"/>
  <c r="B5" i="50" s="1"/>
  <c r="E37" i="49"/>
  <c r="E36" i="49"/>
  <c r="C36" i="49"/>
  <c r="E35" i="49"/>
  <c r="E34" i="49"/>
  <c r="C34" i="49"/>
  <c r="E33" i="49"/>
  <c r="C33" i="49"/>
  <c r="E32" i="49"/>
  <c r="E31" i="49"/>
  <c r="C31" i="49"/>
  <c r="E30" i="49"/>
  <c r="C30" i="49"/>
  <c r="E29" i="49"/>
  <c r="E28" i="49"/>
  <c r="C28" i="49"/>
  <c r="E27" i="49"/>
  <c r="E26" i="49"/>
  <c r="C26" i="49"/>
  <c r="E25" i="49"/>
  <c r="E24" i="49"/>
  <c r="C24" i="49"/>
  <c r="E23" i="49"/>
  <c r="E22" i="49"/>
  <c r="C22" i="49"/>
  <c r="E21" i="49"/>
  <c r="E20" i="49"/>
  <c r="C20" i="49"/>
  <c r="E19" i="49"/>
  <c r="E18" i="49"/>
  <c r="C18" i="49"/>
  <c r="E17" i="49"/>
  <c r="E16" i="49"/>
  <c r="C16" i="49"/>
  <c r="E15" i="49"/>
  <c r="E14" i="49"/>
  <c r="C14" i="49"/>
  <c r="E13" i="49"/>
  <c r="C13" i="49"/>
  <c r="E12" i="49"/>
  <c r="C12" i="49"/>
  <c r="E11" i="49"/>
  <c r="C11" i="49"/>
  <c r="E10" i="49"/>
  <c r="E9" i="49"/>
  <c r="C9" i="49"/>
  <c r="B2" i="49"/>
  <c r="B5" i="49" s="1"/>
  <c r="E29" i="48"/>
  <c r="E28" i="48"/>
  <c r="C28" i="48"/>
  <c r="E27" i="48"/>
  <c r="E26" i="48"/>
  <c r="C26" i="48"/>
  <c r="E25" i="48"/>
  <c r="E24" i="48"/>
  <c r="C24" i="48"/>
  <c r="E23" i="48"/>
  <c r="E22" i="48"/>
  <c r="C22" i="48"/>
  <c r="E21" i="48"/>
  <c r="E20" i="48"/>
  <c r="C20" i="48"/>
  <c r="E19" i="48"/>
  <c r="E18" i="48"/>
  <c r="C18" i="48"/>
  <c r="E17" i="48"/>
  <c r="E16" i="48"/>
  <c r="C16" i="48"/>
  <c r="E15" i="48"/>
  <c r="E14" i="48"/>
  <c r="C14" i="48"/>
  <c r="E13" i="48"/>
  <c r="C13" i="48"/>
  <c r="E12" i="48"/>
  <c r="C12" i="48"/>
  <c r="E11" i="48"/>
  <c r="C11" i="48"/>
  <c r="E10" i="48"/>
  <c r="E9" i="48"/>
  <c r="C9" i="48"/>
  <c r="B2" i="48"/>
  <c r="B5" i="48" s="1"/>
  <c r="B3" i="59" l="1"/>
  <c r="B4" i="59"/>
  <c r="B4" i="58"/>
  <c r="B5" i="58"/>
  <c r="B3" i="58"/>
  <c r="B3" i="57"/>
  <c r="B4" i="57"/>
  <c r="B3" i="56"/>
  <c r="B4" i="56"/>
  <c r="B4" i="55"/>
  <c r="B5" i="55"/>
  <c r="B3" i="55"/>
  <c r="B3" i="54"/>
  <c r="B4" i="54"/>
  <c r="B3" i="53"/>
  <c r="B4" i="53"/>
  <c r="B4" i="52"/>
  <c r="B5" i="52"/>
  <c r="B3" i="52"/>
  <c r="B3" i="51"/>
  <c r="B4" i="51"/>
  <c r="B3" i="50"/>
  <c r="B4" i="50"/>
  <c r="B3" i="49"/>
  <c r="B4" i="49"/>
  <c r="B3" i="48"/>
  <c r="B4" i="48"/>
  <c r="B4" i="79"/>
  <c r="B5" i="79"/>
  <c r="B4" i="78"/>
  <c r="B5" i="78"/>
  <c r="B4" i="77"/>
  <c r="B5" i="77"/>
  <c r="B4" i="76"/>
  <c r="B5" i="76"/>
  <c r="B4" i="75"/>
  <c r="B5" i="75"/>
  <c r="B4" i="74"/>
  <c r="B5" i="74"/>
  <c r="B4" i="73"/>
  <c r="B5" i="73"/>
  <c r="B4" i="72"/>
  <c r="B5" i="72"/>
  <c r="B4" i="71"/>
  <c r="B5" i="71"/>
  <c r="B4" i="70"/>
  <c r="B5" i="70"/>
  <c r="B4" i="69"/>
  <c r="B5" i="69"/>
  <c r="B4" i="68"/>
  <c r="B5" i="68"/>
  <c r="B4" i="67"/>
  <c r="B5" i="67"/>
  <c r="B4" i="66"/>
  <c r="B5" i="66"/>
  <c r="B3" i="65"/>
  <c r="B4" i="65"/>
  <c r="B4" i="64"/>
  <c r="B5" i="64"/>
  <c r="B4" i="63"/>
  <c r="B5" i="63"/>
  <c r="B4" i="62"/>
  <c r="B5" i="62"/>
  <c r="B4" i="61"/>
  <c r="B5" i="61"/>
  <c r="B4" i="60"/>
  <c r="B5" i="60"/>
  <c r="C11" i="47"/>
  <c r="C12" i="47"/>
  <c r="C13" i="47"/>
  <c r="C14" i="47"/>
  <c r="C16" i="47"/>
  <c r="C18" i="47"/>
  <c r="C20" i="47"/>
  <c r="C22" i="47"/>
  <c r="C24" i="47"/>
  <c r="C26" i="47"/>
  <c r="C28" i="47"/>
  <c r="C30" i="47"/>
  <c r="C31" i="47"/>
  <c r="C33" i="47"/>
  <c r="C34" i="47"/>
  <c r="C36" i="47"/>
  <c r="C9" i="47"/>
  <c r="E10" i="47"/>
  <c r="E11" i="47"/>
  <c r="E12" i="47"/>
  <c r="E13" i="47"/>
  <c r="E14" i="47"/>
  <c r="E15" i="47"/>
  <c r="E16" i="47"/>
  <c r="E17" i="47"/>
  <c r="E18" i="47"/>
  <c r="E19" i="47"/>
  <c r="E20" i="47"/>
  <c r="E21" i="47"/>
  <c r="E22" i="47"/>
  <c r="E23" i="47"/>
  <c r="E24" i="47"/>
  <c r="E25" i="47"/>
  <c r="E26" i="47"/>
  <c r="E27" i="47"/>
  <c r="E28" i="47"/>
  <c r="E29" i="47"/>
  <c r="E30" i="47"/>
  <c r="E31" i="47"/>
  <c r="E32" i="47"/>
  <c r="E33" i="47"/>
  <c r="E34" i="47"/>
  <c r="E35" i="47"/>
  <c r="E36" i="47"/>
  <c r="E37" i="47"/>
  <c r="E9" i="47"/>
  <c r="E10" i="46"/>
  <c r="E11" i="46"/>
  <c r="E12" i="46"/>
  <c r="E13" i="46"/>
  <c r="E14" i="46"/>
  <c r="E15" i="46"/>
  <c r="E16" i="46"/>
  <c r="E17" i="46"/>
  <c r="E18" i="46"/>
  <c r="E19" i="46"/>
  <c r="E20" i="46"/>
  <c r="E21" i="46"/>
  <c r="E22" i="46"/>
  <c r="E23" i="46"/>
  <c r="E9" i="46"/>
  <c r="C11" i="46"/>
  <c r="C12" i="46"/>
  <c r="C13" i="46"/>
  <c r="C15" i="46"/>
  <c r="C16" i="46"/>
  <c r="C17" i="46"/>
  <c r="C19" i="46"/>
  <c r="C20" i="46"/>
  <c r="C22" i="46"/>
  <c r="C23" i="46"/>
  <c r="C9" i="46"/>
  <c r="C11" i="45"/>
  <c r="C12" i="45"/>
  <c r="C13" i="45"/>
  <c r="C14" i="45"/>
  <c r="C16" i="45"/>
  <c r="C18" i="45"/>
  <c r="C20" i="45"/>
  <c r="C22" i="45"/>
  <c r="C23" i="45"/>
  <c r="C25" i="45"/>
  <c r="C26" i="45"/>
  <c r="C28" i="45"/>
  <c r="C9" i="45"/>
  <c r="E10" i="45"/>
  <c r="E11" i="45"/>
  <c r="E12" i="45"/>
  <c r="E13" i="45"/>
  <c r="E14" i="45"/>
  <c r="E15" i="45"/>
  <c r="E16" i="45"/>
  <c r="E17" i="45"/>
  <c r="E18" i="45"/>
  <c r="E19" i="45"/>
  <c r="E20" i="45"/>
  <c r="E21" i="45"/>
  <c r="E22" i="45"/>
  <c r="E23" i="45"/>
  <c r="E24" i="45"/>
  <c r="E25" i="45"/>
  <c r="E26" i="45"/>
  <c r="E27" i="45"/>
  <c r="E28" i="45"/>
  <c r="E29" i="45"/>
  <c r="E9" i="45"/>
  <c r="E10" i="44"/>
  <c r="E11" i="44"/>
  <c r="E12" i="44"/>
  <c r="E13" i="44"/>
  <c r="E14" i="44"/>
  <c r="E15" i="44"/>
  <c r="E16" i="44"/>
  <c r="E17" i="44"/>
  <c r="E18" i="44"/>
  <c r="E19" i="44"/>
  <c r="E20" i="44"/>
  <c r="E21" i="44"/>
  <c r="E22" i="44"/>
  <c r="E23" i="44"/>
  <c r="E24" i="44"/>
  <c r="E25" i="44"/>
  <c r="E26" i="44"/>
  <c r="E27" i="44"/>
  <c r="E28" i="44"/>
  <c r="E29" i="44"/>
  <c r="E9" i="44"/>
  <c r="C11" i="44"/>
  <c r="C12" i="44"/>
  <c r="C13" i="44"/>
  <c r="C14" i="44"/>
  <c r="C16" i="44"/>
  <c r="C18" i="44"/>
  <c r="C20" i="44"/>
  <c r="C22" i="44"/>
  <c r="C23" i="44"/>
  <c r="C25" i="44"/>
  <c r="C26" i="44"/>
  <c r="C28" i="44"/>
  <c r="C9" i="44"/>
  <c r="C11" i="43"/>
  <c r="C12" i="43"/>
  <c r="C13" i="43"/>
  <c r="C14" i="43"/>
  <c r="C16" i="43"/>
  <c r="C18" i="43"/>
  <c r="C20" i="43"/>
  <c r="C21" i="43"/>
  <c r="C23" i="43"/>
  <c r="C24" i="43"/>
  <c r="C26" i="43"/>
  <c r="C9" i="43"/>
  <c r="E10" i="43"/>
  <c r="E11" i="43"/>
  <c r="E12" i="43"/>
  <c r="E13" i="43"/>
  <c r="E14" i="43"/>
  <c r="E15" i="43"/>
  <c r="E16" i="43"/>
  <c r="E17" i="43"/>
  <c r="E18" i="43"/>
  <c r="E19" i="43"/>
  <c r="E20" i="43"/>
  <c r="E21" i="43"/>
  <c r="E22" i="43"/>
  <c r="E23" i="43"/>
  <c r="E24" i="43"/>
  <c r="E25" i="43"/>
  <c r="E26" i="43"/>
  <c r="E27" i="43"/>
  <c r="E9" i="43"/>
  <c r="E10" i="42"/>
  <c r="E11" i="42"/>
  <c r="E12" i="42"/>
  <c r="E13" i="42"/>
  <c r="E14" i="42"/>
  <c r="E15" i="42"/>
  <c r="E16" i="42"/>
  <c r="E17" i="42"/>
  <c r="E18" i="42"/>
  <c r="E19" i="42"/>
  <c r="E20" i="42"/>
  <c r="E21" i="42"/>
  <c r="E22" i="42"/>
  <c r="E23" i="42"/>
  <c r="E24" i="42"/>
  <c r="E25" i="42"/>
  <c r="E26" i="42"/>
  <c r="E27" i="42"/>
  <c r="E9" i="42"/>
  <c r="C11" i="42"/>
  <c r="C12" i="42"/>
  <c r="C13" i="42"/>
  <c r="C14" i="42"/>
  <c r="C18" i="42"/>
  <c r="C20" i="42"/>
  <c r="C21" i="42"/>
  <c r="C23" i="42"/>
  <c r="C24" i="42"/>
  <c r="C26" i="42"/>
  <c r="C9" i="42"/>
  <c r="C11" i="41"/>
  <c r="C12" i="41"/>
  <c r="C13" i="41"/>
  <c r="C14" i="41"/>
  <c r="C15" i="41"/>
  <c r="C17" i="41"/>
  <c r="C19" i="41"/>
  <c r="C20" i="41"/>
  <c r="C22" i="41"/>
  <c r="C23" i="41"/>
  <c r="C25" i="41"/>
  <c r="C9" i="41"/>
  <c r="E10" i="41"/>
  <c r="E11" i="41"/>
  <c r="E12" i="41"/>
  <c r="E13" i="41"/>
  <c r="E14" i="41"/>
  <c r="E15" i="41"/>
  <c r="E16" i="41"/>
  <c r="E17" i="41"/>
  <c r="E18" i="41"/>
  <c r="E19" i="41"/>
  <c r="E20" i="41"/>
  <c r="E21" i="41"/>
  <c r="E22" i="41"/>
  <c r="E23" i="41"/>
  <c r="E24" i="41"/>
  <c r="E25" i="41"/>
  <c r="E26" i="41"/>
  <c r="E9" i="41"/>
  <c r="E10" i="40"/>
  <c r="E11" i="40"/>
  <c r="E12" i="40"/>
  <c r="E13" i="40"/>
  <c r="E14" i="40"/>
  <c r="E15" i="40"/>
  <c r="E16" i="40"/>
  <c r="E17" i="40"/>
  <c r="E18" i="40"/>
  <c r="E19" i="40"/>
  <c r="E20" i="40"/>
  <c r="E21" i="40"/>
  <c r="E22" i="40"/>
  <c r="E23" i="40"/>
  <c r="E24" i="40"/>
  <c r="E25" i="40"/>
  <c r="E26" i="40"/>
  <c r="E9" i="40"/>
  <c r="C11" i="40"/>
  <c r="C12" i="40"/>
  <c r="C13" i="40"/>
  <c r="C14" i="40"/>
  <c r="C15" i="40"/>
  <c r="C17" i="40"/>
  <c r="C19" i="40"/>
  <c r="C20" i="40"/>
  <c r="C22" i="40"/>
  <c r="C23" i="40"/>
  <c r="C25" i="40"/>
  <c r="C9" i="40"/>
  <c r="C11" i="39"/>
  <c r="C12" i="39"/>
  <c r="C13" i="39"/>
  <c r="C14" i="39"/>
  <c r="C16" i="39"/>
  <c r="C18" i="39"/>
  <c r="C21" i="39"/>
  <c r="C26" i="39"/>
  <c r="C9" i="39"/>
  <c r="E10" i="39"/>
  <c r="E11" i="39"/>
  <c r="E12" i="39"/>
  <c r="E13" i="39"/>
  <c r="E14" i="39"/>
  <c r="E15" i="39"/>
  <c r="E16" i="39"/>
  <c r="E17" i="39"/>
  <c r="E18" i="39"/>
  <c r="E19" i="39"/>
  <c r="E20" i="39"/>
  <c r="E21" i="39"/>
  <c r="E22" i="39"/>
  <c r="E23" i="39"/>
  <c r="E26" i="39"/>
  <c r="E27" i="39"/>
  <c r="E9" i="39"/>
  <c r="E10" i="38"/>
  <c r="E11" i="38"/>
  <c r="E12" i="38"/>
  <c r="E13" i="38"/>
  <c r="E14" i="38"/>
  <c r="E15" i="38"/>
  <c r="E16" i="38"/>
  <c r="E17" i="38"/>
  <c r="E18" i="38"/>
  <c r="E19" i="38"/>
  <c r="E20" i="38"/>
  <c r="E21" i="38"/>
  <c r="E22" i="38"/>
  <c r="E23" i="38"/>
  <c r="E9" i="38"/>
  <c r="C11" i="38"/>
  <c r="C12" i="38"/>
  <c r="C13" i="38"/>
  <c r="C14" i="38"/>
  <c r="C16" i="38"/>
  <c r="C18" i="38"/>
  <c r="C9" i="38"/>
  <c r="C11" i="37"/>
  <c r="C12" i="37"/>
  <c r="C13" i="37"/>
  <c r="C14" i="37"/>
  <c r="C16" i="37"/>
  <c r="C18" i="37"/>
  <c r="C19" i="37"/>
  <c r="C21" i="37"/>
  <c r="C22" i="37"/>
  <c r="C24" i="37"/>
  <c r="C9" i="37"/>
  <c r="E10" i="37"/>
  <c r="E11" i="37"/>
  <c r="E12" i="37"/>
  <c r="E13" i="37"/>
  <c r="E14" i="37"/>
  <c r="E15" i="37"/>
  <c r="E16" i="37"/>
  <c r="E17" i="37"/>
  <c r="E18" i="37"/>
  <c r="E19" i="37"/>
  <c r="E20" i="37"/>
  <c r="E21" i="37"/>
  <c r="E22" i="37"/>
  <c r="E23" i="37"/>
  <c r="E24" i="37"/>
  <c r="E9" i="37"/>
  <c r="E10" i="36"/>
  <c r="E11" i="36"/>
  <c r="E12" i="36"/>
  <c r="E13" i="36"/>
  <c r="E14" i="36"/>
  <c r="E15" i="36"/>
  <c r="E16" i="36"/>
  <c r="E17" i="36"/>
  <c r="E18" i="36"/>
  <c r="E19" i="36"/>
  <c r="E20" i="36"/>
  <c r="E21" i="36"/>
  <c r="E22" i="36"/>
  <c r="E23" i="36"/>
  <c r="E24" i="36"/>
  <c r="E25" i="36"/>
  <c r="E9" i="36"/>
  <c r="C11" i="36"/>
  <c r="C12" i="36"/>
  <c r="C13" i="36"/>
  <c r="C14" i="36"/>
  <c r="C16" i="36"/>
  <c r="C18" i="36"/>
  <c r="C19" i="36"/>
  <c r="C21" i="36"/>
  <c r="C22" i="36"/>
  <c r="C24" i="36"/>
  <c r="C9" i="36"/>
  <c r="C11" i="35"/>
  <c r="C12" i="35"/>
  <c r="C13" i="35"/>
  <c r="C14" i="35"/>
  <c r="C16" i="35"/>
  <c r="C17" i="35"/>
  <c r="C19" i="35"/>
  <c r="C20" i="35"/>
  <c r="C22" i="35"/>
  <c r="C9" i="35"/>
  <c r="E10" i="35"/>
  <c r="E11" i="35"/>
  <c r="E12" i="35"/>
  <c r="E13" i="35"/>
  <c r="E14" i="35"/>
  <c r="E15" i="35"/>
  <c r="E16" i="35"/>
  <c r="E17" i="35"/>
  <c r="E18" i="35"/>
  <c r="E19" i="35"/>
  <c r="E20" i="35"/>
  <c r="E21" i="35"/>
  <c r="E22" i="35"/>
  <c r="E23" i="35"/>
  <c r="E9" i="35"/>
  <c r="E10" i="34"/>
  <c r="E11" i="34"/>
  <c r="E12" i="34"/>
  <c r="E13" i="34"/>
  <c r="E14" i="34"/>
  <c r="E15" i="34"/>
  <c r="E16" i="34"/>
  <c r="E17" i="34"/>
  <c r="E18" i="34"/>
  <c r="E19" i="34"/>
  <c r="E20" i="34"/>
  <c r="E21" i="34"/>
  <c r="E22" i="34"/>
  <c r="E23" i="34"/>
  <c r="E9" i="34"/>
  <c r="C11" i="34"/>
  <c r="C12" i="34"/>
  <c r="C13" i="34"/>
  <c r="C14" i="34"/>
  <c r="C16" i="34"/>
  <c r="C19" i="34"/>
  <c r="C20" i="34"/>
  <c r="C22" i="34"/>
  <c r="C9" i="34"/>
  <c r="C11" i="33"/>
  <c r="C12" i="33"/>
  <c r="C13" i="33"/>
  <c r="C14" i="33"/>
  <c r="C16" i="33"/>
  <c r="C9" i="33"/>
  <c r="E10" i="33"/>
  <c r="E11" i="33"/>
  <c r="E12" i="33"/>
  <c r="E13" i="33"/>
  <c r="E14" i="33"/>
  <c r="E15" i="33"/>
  <c r="E16" i="33"/>
  <c r="E17" i="33"/>
  <c r="E9" i="33"/>
  <c r="E10" i="32"/>
  <c r="E11" i="32"/>
  <c r="E12" i="32"/>
  <c r="E13" i="32"/>
  <c r="E14" i="32"/>
  <c r="E15" i="32"/>
  <c r="E16" i="32"/>
  <c r="E17" i="32"/>
  <c r="E18" i="32"/>
  <c r="E19" i="32"/>
  <c r="E20" i="32"/>
  <c r="E21" i="32"/>
  <c r="E26" i="32"/>
  <c r="E27" i="32"/>
  <c r="E28" i="32"/>
  <c r="E29" i="32"/>
  <c r="E34" i="32"/>
  <c r="E35" i="32"/>
  <c r="E36" i="32"/>
  <c r="E37" i="32"/>
  <c r="E9" i="32"/>
  <c r="C11" i="32"/>
  <c r="C12" i="32"/>
  <c r="C13" i="32"/>
  <c r="C14" i="32"/>
  <c r="C16" i="32"/>
  <c r="C18" i="32"/>
  <c r="C20" i="32"/>
  <c r="C26" i="32"/>
  <c r="C28" i="32"/>
  <c r="C34" i="32"/>
  <c r="C36" i="32"/>
  <c r="C9" i="32"/>
  <c r="C11" i="31"/>
  <c r="C12" i="31"/>
  <c r="C13" i="31"/>
  <c r="C14" i="31"/>
  <c r="C15" i="31"/>
  <c r="C17" i="31"/>
  <c r="C18" i="31"/>
  <c r="C20" i="31"/>
  <c r="C21" i="31"/>
  <c r="C23" i="31"/>
  <c r="C9" i="31"/>
  <c r="E10" i="31"/>
  <c r="E11" i="31"/>
  <c r="E12" i="31"/>
  <c r="E13" i="31"/>
  <c r="E14" i="31"/>
  <c r="E15" i="31"/>
  <c r="E16" i="31"/>
  <c r="E17" i="31"/>
  <c r="E18" i="31"/>
  <c r="E19" i="31"/>
  <c r="E20" i="31"/>
  <c r="E21" i="31"/>
  <c r="E22" i="31"/>
  <c r="E23" i="31"/>
  <c r="E24" i="31"/>
  <c r="E9" i="31"/>
  <c r="E10" i="30"/>
  <c r="E11" i="30"/>
  <c r="E12" i="30"/>
  <c r="E13" i="30"/>
  <c r="E14" i="30"/>
  <c r="E15" i="30"/>
  <c r="E16" i="30"/>
  <c r="E17" i="30"/>
  <c r="E18" i="30"/>
  <c r="E19" i="30"/>
  <c r="E20" i="30"/>
  <c r="E21" i="30"/>
  <c r="E22" i="30"/>
  <c r="E23" i="30"/>
  <c r="E24" i="30"/>
  <c r="E9" i="30"/>
  <c r="C11" i="30"/>
  <c r="C12" i="30"/>
  <c r="C13" i="30"/>
  <c r="C14" i="30"/>
  <c r="C15" i="30"/>
  <c r="C17" i="30"/>
  <c r="C18" i="30"/>
  <c r="C20" i="30"/>
  <c r="C21" i="30"/>
  <c r="C23" i="30"/>
  <c r="C9" i="30"/>
  <c r="C11" i="29"/>
  <c r="C12" i="29"/>
  <c r="C13" i="29"/>
  <c r="C14" i="29"/>
  <c r="C15" i="29"/>
  <c r="C17" i="29"/>
  <c r="C9" i="29"/>
  <c r="E10" i="29"/>
  <c r="E11" i="29"/>
  <c r="E12" i="29"/>
  <c r="E13" i="29"/>
  <c r="E14" i="29"/>
  <c r="E15" i="29"/>
  <c r="E16" i="29"/>
  <c r="E17" i="29"/>
  <c r="E18" i="29"/>
  <c r="E9" i="29"/>
  <c r="E10" i="28"/>
  <c r="E12" i="28"/>
  <c r="E13" i="28"/>
  <c r="E14" i="28"/>
  <c r="E15" i="28"/>
  <c r="E16" i="28"/>
  <c r="E17" i="28"/>
  <c r="E18" i="28"/>
  <c r="E19" i="28"/>
  <c r="E20" i="28"/>
  <c r="E21" i="28"/>
  <c r="E22" i="28"/>
  <c r="E23" i="28"/>
  <c r="E24" i="28"/>
  <c r="E25" i="28"/>
  <c r="E26" i="28"/>
  <c r="E27" i="28"/>
  <c r="E28" i="28"/>
  <c r="E29" i="28"/>
  <c r="E30" i="28"/>
  <c r="E31" i="28"/>
  <c r="E32" i="28"/>
  <c r="E33" i="28"/>
  <c r="E34" i="28"/>
  <c r="E35" i="28"/>
  <c r="E36" i="28"/>
  <c r="E9" i="28"/>
  <c r="C12" i="28"/>
  <c r="C13" i="28"/>
  <c r="C14" i="28"/>
  <c r="C15" i="28"/>
  <c r="C17" i="28"/>
  <c r="C19" i="28"/>
  <c r="C21" i="28"/>
  <c r="C23" i="28"/>
  <c r="C25" i="28"/>
  <c r="C27" i="28"/>
  <c r="C29" i="28"/>
  <c r="C31" i="28"/>
  <c r="C32" i="28"/>
  <c r="C33" i="28"/>
  <c r="C35" i="28"/>
  <c r="C9" i="28"/>
  <c r="C12" i="27"/>
  <c r="C13" i="27"/>
  <c r="C14" i="27"/>
  <c r="C16" i="27"/>
  <c r="C17" i="27"/>
  <c r="C19" i="27"/>
  <c r="C20" i="27"/>
  <c r="C22" i="27"/>
  <c r="C24" i="27"/>
  <c r="C25" i="27"/>
  <c r="C27" i="27"/>
  <c r="C28" i="27"/>
  <c r="C30" i="27"/>
  <c r="C32" i="27"/>
  <c r="C34" i="27"/>
  <c r="C35" i="27"/>
  <c r="C36" i="27"/>
  <c r="C38" i="27"/>
  <c r="C40" i="27"/>
  <c r="C9" i="27"/>
  <c r="E10" i="27"/>
  <c r="E12" i="27"/>
  <c r="E13" i="27"/>
  <c r="E14" i="27"/>
  <c r="E15" i="27"/>
  <c r="E16" i="27"/>
  <c r="E17" i="27"/>
  <c r="E18" i="27"/>
  <c r="E19" i="27"/>
  <c r="E20" i="27"/>
  <c r="E21" i="27"/>
  <c r="E22" i="27"/>
  <c r="E23" i="27"/>
  <c r="E24" i="27"/>
  <c r="E25" i="27"/>
  <c r="E26" i="27"/>
  <c r="E27" i="27"/>
  <c r="E28" i="27"/>
  <c r="E29" i="27"/>
  <c r="E30" i="27"/>
  <c r="E31" i="27"/>
  <c r="E32" i="27"/>
  <c r="E33" i="27"/>
  <c r="E34" i="27"/>
  <c r="E35" i="27"/>
  <c r="E36" i="27"/>
  <c r="E37" i="27"/>
  <c r="E38" i="27"/>
  <c r="E39" i="27"/>
  <c r="E40" i="27"/>
  <c r="E9" i="27"/>
  <c r="E10" i="26"/>
  <c r="E12" i="26"/>
  <c r="E14" i="26"/>
  <c r="E15" i="26"/>
  <c r="E16" i="26"/>
  <c r="E17" i="26"/>
  <c r="E18" i="26"/>
  <c r="E19" i="26"/>
  <c r="E20" i="26"/>
  <c r="E21" i="26"/>
  <c r="E22" i="26"/>
  <c r="E23" i="26"/>
  <c r="E24" i="26"/>
  <c r="E25" i="26"/>
  <c r="E26" i="26"/>
  <c r="E27" i="26"/>
  <c r="E28" i="26"/>
  <c r="E29" i="26"/>
  <c r="E30" i="26"/>
  <c r="E31" i="26"/>
  <c r="E9" i="26"/>
  <c r="C12" i="26"/>
  <c r="C14" i="26"/>
  <c r="C16" i="26"/>
  <c r="C17" i="26"/>
  <c r="C19" i="26"/>
  <c r="C20" i="26"/>
  <c r="C22" i="26"/>
  <c r="C24" i="26"/>
  <c r="C25" i="26"/>
  <c r="C27" i="26"/>
  <c r="C28" i="26"/>
  <c r="C30" i="26"/>
  <c r="C9" i="26"/>
  <c r="C12" i="25"/>
  <c r="C13" i="25"/>
  <c r="C14" i="25"/>
  <c r="C15" i="25"/>
  <c r="C17" i="25"/>
  <c r="C19" i="25"/>
  <c r="C21" i="25"/>
  <c r="C23" i="25"/>
  <c r="C25" i="25"/>
  <c r="C27" i="25"/>
  <c r="C29" i="25"/>
  <c r="C30" i="25"/>
  <c r="C31" i="25"/>
  <c r="C33" i="25"/>
  <c r="C35" i="25"/>
  <c r="C37" i="25"/>
  <c r="C38" i="25"/>
  <c r="C39" i="25"/>
  <c r="C41" i="25"/>
  <c r="C43" i="25"/>
  <c r="C45" i="25"/>
  <c r="C47" i="25"/>
  <c r="C49" i="25"/>
  <c r="C51" i="25"/>
  <c r="C52" i="25"/>
  <c r="C53" i="25"/>
  <c r="C55" i="25"/>
  <c r="C56" i="25"/>
  <c r="C57" i="25"/>
  <c r="C9" i="25"/>
  <c r="E10" i="25"/>
  <c r="E12" i="25"/>
  <c r="E13" i="25"/>
  <c r="E14" i="25"/>
  <c r="E15" i="25"/>
  <c r="E16" i="25"/>
  <c r="E17" i="25"/>
  <c r="E18" i="25"/>
  <c r="E19" i="25"/>
  <c r="E20" i="25"/>
  <c r="E21" i="25"/>
  <c r="E22" i="25"/>
  <c r="E23" i="25"/>
  <c r="E24" i="25"/>
  <c r="E25" i="25"/>
  <c r="E26" i="25"/>
  <c r="E27" i="25"/>
  <c r="E28" i="25"/>
  <c r="E29" i="25"/>
  <c r="E30" i="25"/>
  <c r="E31" i="25"/>
  <c r="E32" i="25"/>
  <c r="E33" i="25"/>
  <c r="E34" i="25"/>
  <c r="E35" i="25"/>
  <c r="E36" i="25"/>
  <c r="E37" i="25"/>
  <c r="E38" i="25"/>
  <c r="E39" i="25"/>
  <c r="E40" i="25"/>
  <c r="E41" i="25"/>
  <c r="E42" i="25"/>
  <c r="E43" i="25"/>
  <c r="E44" i="25"/>
  <c r="E45" i="25"/>
  <c r="E46" i="25"/>
  <c r="E47" i="25"/>
  <c r="E48" i="25"/>
  <c r="E49" i="25"/>
  <c r="E50" i="25"/>
  <c r="E51" i="25"/>
  <c r="E52" i="25"/>
  <c r="E53" i="25"/>
  <c r="E54" i="25"/>
  <c r="E55" i="25"/>
  <c r="E56" i="25"/>
  <c r="E57" i="25"/>
  <c r="E58" i="25"/>
  <c r="E9" i="25"/>
  <c r="E10" i="24"/>
  <c r="E12" i="24"/>
  <c r="E13" i="24"/>
  <c r="E14" i="24"/>
  <c r="E15" i="24"/>
  <c r="E16" i="24"/>
  <c r="E17" i="24"/>
  <c r="E18" i="24"/>
  <c r="E19" i="24"/>
  <c r="E20" i="24"/>
  <c r="E21" i="24"/>
  <c r="E22" i="24"/>
  <c r="E23" i="24"/>
  <c r="E24" i="24"/>
  <c r="E25" i="24"/>
  <c r="E26" i="24"/>
  <c r="E27" i="24"/>
  <c r="E9" i="24"/>
  <c r="C12" i="24"/>
  <c r="C13" i="24"/>
  <c r="C14" i="24"/>
  <c r="C16" i="24"/>
  <c r="C18" i="24"/>
  <c r="C20" i="24"/>
  <c r="C23" i="24"/>
  <c r="C24" i="24"/>
  <c r="C26" i="24"/>
  <c r="C9" i="24"/>
  <c r="C9" i="23"/>
  <c r="C12" i="23"/>
  <c r="C13" i="23"/>
  <c r="C16" i="23"/>
  <c r="C17" i="23"/>
  <c r="C20" i="23"/>
  <c r="C23" i="23"/>
  <c r="C31" i="23"/>
  <c r="E9" i="22"/>
  <c r="E10" i="22"/>
  <c r="E11" i="22"/>
  <c r="E12" i="22"/>
  <c r="E13" i="22"/>
  <c r="E14" i="22"/>
  <c r="E15" i="22"/>
  <c r="E16" i="22"/>
  <c r="E17" i="22"/>
  <c r="E18" i="22"/>
  <c r="E19" i="22"/>
  <c r="E20" i="22"/>
  <c r="E21" i="22"/>
  <c r="E22" i="22"/>
  <c r="E23" i="22"/>
  <c r="E24" i="22"/>
  <c r="E25" i="22"/>
  <c r="E26" i="22"/>
  <c r="C11" i="22"/>
  <c r="C12" i="22"/>
  <c r="C14" i="22"/>
  <c r="C15" i="22"/>
  <c r="C17" i="22"/>
  <c r="C19" i="22"/>
  <c r="C20" i="22"/>
  <c r="C22" i="22"/>
  <c r="C23" i="22"/>
  <c r="C25" i="22"/>
  <c r="C9" i="21"/>
  <c r="C11" i="21"/>
  <c r="C12" i="21"/>
  <c r="C13" i="21"/>
  <c r="C14" i="21"/>
  <c r="C16" i="21"/>
  <c r="C18" i="21"/>
  <c r="C20" i="21"/>
  <c r="C22" i="21"/>
  <c r="C24" i="21"/>
  <c r="C35" i="21"/>
  <c r="C36" i="21"/>
  <c r="C37" i="21"/>
  <c r="C38" i="21"/>
  <c r="C40" i="21"/>
  <c r="E9" i="21"/>
  <c r="E10" i="21"/>
  <c r="E11" i="21"/>
  <c r="E12" i="21"/>
  <c r="E13" i="21"/>
  <c r="E14" i="21"/>
  <c r="E16" i="21"/>
  <c r="E17" i="21"/>
  <c r="E18" i="21"/>
  <c r="E19" i="21"/>
  <c r="E20" i="21"/>
  <c r="E21" i="21"/>
  <c r="E22" i="21"/>
  <c r="E23" i="21"/>
  <c r="E24" i="21"/>
  <c r="E25" i="21"/>
  <c r="E35" i="21"/>
  <c r="E36" i="21"/>
  <c r="E37" i="21"/>
  <c r="E38" i="21"/>
  <c r="E39" i="21"/>
  <c r="E40" i="21"/>
  <c r="E9" i="20"/>
  <c r="E10" i="20"/>
  <c r="E11" i="20"/>
  <c r="E12" i="20"/>
  <c r="E13" i="20"/>
  <c r="E14" i="20"/>
  <c r="E15" i="20"/>
  <c r="E16" i="20"/>
  <c r="E17" i="20"/>
  <c r="E18" i="20"/>
  <c r="E19" i="20"/>
  <c r="E20" i="20"/>
  <c r="E21" i="20"/>
  <c r="E22" i="20"/>
  <c r="E23" i="20"/>
  <c r="E24" i="20"/>
  <c r="E25" i="20"/>
  <c r="E26" i="20"/>
  <c r="E27" i="20"/>
  <c r="E28" i="20"/>
  <c r="C9" i="20"/>
  <c r="C11" i="20"/>
  <c r="C12" i="20"/>
  <c r="C13" i="20"/>
  <c r="C14" i="20"/>
  <c r="C15" i="20"/>
  <c r="C17" i="20"/>
  <c r="C19" i="20"/>
  <c r="C21" i="20"/>
  <c r="C24" i="20"/>
  <c r="C25" i="20"/>
  <c r="C26" i="20"/>
  <c r="C28" i="20"/>
  <c r="C9" i="19"/>
  <c r="C11" i="19"/>
  <c r="C12" i="19"/>
  <c r="C13" i="19"/>
  <c r="C14" i="19"/>
  <c r="C15" i="19"/>
  <c r="C17" i="19"/>
  <c r="C19" i="19"/>
  <c r="C21" i="19"/>
  <c r="C22" i="19"/>
  <c r="C23" i="19"/>
  <c r="C27" i="19"/>
  <c r="E9" i="19"/>
  <c r="E10" i="19"/>
  <c r="E11" i="19"/>
  <c r="E12" i="19"/>
  <c r="E13" i="19"/>
  <c r="E14" i="19"/>
  <c r="E15" i="19"/>
  <c r="E16" i="19"/>
  <c r="E17" i="19"/>
  <c r="E18" i="19"/>
  <c r="E19" i="19"/>
  <c r="E20" i="19"/>
  <c r="E21" i="19"/>
  <c r="E22" i="19"/>
  <c r="E23" i="19"/>
  <c r="E24" i="19"/>
  <c r="E27" i="19"/>
  <c r="E28" i="19"/>
  <c r="E9" i="18"/>
  <c r="E10" i="18"/>
  <c r="E11" i="18"/>
  <c r="E12" i="18"/>
  <c r="E13" i="18"/>
  <c r="E14" i="18"/>
  <c r="E15" i="18"/>
  <c r="E16" i="18"/>
  <c r="E17" i="18"/>
  <c r="E18" i="18"/>
  <c r="E19" i="18"/>
  <c r="E20" i="18"/>
  <c r="E21" i="18"/>
  <c r="E22" i="18"/>
  <c r="E23" i="18"/>
  <c r="E24" i="18"/>
  <c r="E25" i="18"/>
  <c r="E26" i="18"/>
  <c r="C9" i="18"/>
  <c r="C11" i="18"/>
  <c r="C12" i="18"/>
  <c r="C13" i="18"/>
  <c r="C14" i="18"/>
  <c r="C15" i="18"/>
  <c r="C17" i="18"/>
  <c r="C19" i="18"/>
  <c r="C21" i="18"/>
  <c r="C22" i="18"/>
  <c r="C23" i="18"/>
  <c r="C25" i="18"/>
  <c r="C9" i="17"/>
  <c r="C11" i="17"/>
  <c r="C12" i="17"/>
  <c r="C13" i="17"/>
  <c r="C14" i="17"/>
  <c r="C16" i="17"/>
  <c r="C18" i="17"/>
  <c r="C20" i="17"/>
  <c r="C22" i="17"/>
  <c r="C24" i="17"/>
  <c r="C26" i="17"/>
  <c r="C28" i="17"/>
  <c r="C30" i="17"/>
  <c r="E9" i="17"/>
  <c r="E10" i="17"/>
  <c r="E11" i="17"/>
  <c r="E12" i="17"/>
  <c r="E13" i="17"/>
  <c r="E14" i="17"/>
  <c r="E15" i="17"/>
  <c r="E16" i="17"/>
  <c r="E17" i="17"/>
  <c r="E18" i="17"/>
  <c r="E19" i="17"/>
  <c r="E20" i="17"/>
  <c r="E21" i="17"/>
  <c r="E22" i="17"/>
  <c r="E23" i="17"/>
  <c r="E24" i="17"/>
  <c r="E25" i="17"/>
  <c r="E26" i="17"/>
  <c r="E27" i="17"/>
  <c r="E28" i="17"/>
  <c r="E29" i="17"/>
  <c r="E30" i="17"/>
  <c r="E31" i="17"/>
  <c r="E9" i="16"/>
  <c r="E10" i="16"/>
  <c r="E11" i="16"/>
  <c r="E12" i="16"/>
  <c r="E13" i="16"/>
  <c r="E14" i="16"/>
  <c r="E15" i="16"/>
  <c r="E16" i="16"/>
  <c r="E17" i="16"/>
  <c r="E18" i="16"/>
  <c r="E19" i="16"/>
  <c r="E20" i="16"/>
  <c r="E21" i="16"/>
  <c r="E22" i="16"/>
  <c r="E23" i="16"/>
  <c r="E24" i="16"/>
  <c r="E25" i="16"/>
  <c r="E26" i="16"/>
  <c r="E27" i="16"/>
  <c r="E28" i="16"/>
  <c r="E29" i="16"/>
  <c r="C9" i="16"/>
  <c r="C11" i="16"/>
  <c r="C12" i="16"/>
  <c r="C13" i="16"/>
  <c r="C14" i="16"/>
  <c r="C16" i="16"/>
  <c r="C18" i="16"/>
  <c r="C20" i="16"/>
  <c r="C22" i="16"/>
  <c r="C24" i="16"/>
  <c r="C26" i="16"/>
  <c r="C28" i="16"/>
  <c r="C9" i="15"/>
  <c r="C11" i="15"/>
  <c r="C12" i="15"/>
  <c r="C13" i="15"/>
  <c r="C14" i="15"/>
  <c r="C16" i="15"/>
  <c r="C18" i="15"/>
  <c r="C20" i="15"/>
  <c r="C22" i="15"/>
  <c r="C24" i="15"/>
  <c r="C26" i="15"/>
  <c r="C28" i="15"/>
  <c r="C30" i="15"/>
  <c r="C32" i="15"/>
  <c r="C33" i="15"/>
  <c r="E9" i="15"/>
  <c r="E10" i="15"/>
  <c r="E11" i="15"/>
  <c r="E12" i="15"/>
  <c r="E13" i="15"/>
  <c r="E14" i="15"/>
  <c r="E15" i="15"/>
  <c r="E16" i="15"/>
  <c r="E17" i="15"/>
  <c r="E18" i="15"/>
  <c r="E19" i="15"/>
  <c r="E20" i="15"/>
  <c r="E21" i="15"/>
  <c r="E22" i="15"/>
  <c r="E23" i="15"/>
  <c r="E24" i="15"/>
  <c r="E25" i="15"/>
  <c r="E26" i="15"/>
  <c r="E27" i="15"/>
  <c r="E28" i="15"/>
  <c r="E29" i="15"/>
  <c r="E30" i="15"/>
  <c r="E31" i="15"/>
  <c r="E32" i="15"/>
  <c r="E33" i="15"/>
  <c r="E34" i="15"/>
  <c r="E9" i="14"/>
  <c r="E10" i="14"/>
  <c r="E11" i="14"/>
  <c r="E12" i="14"/>
  <c r="E13" i="14"/>
  <c r="E14" i="14"/>
  <c r="E15" i="14"/>
  <c r="E16" i="14"/>
  <c r="E17" i="14"/>
  <c r="E18" i="14"/>
  <c r="C9" i="14"/>
  <c r="C11" i="14"/>
  <c r="C12" i="14"/>
  <c r="C13" i="14"/>
  <c r="C14" i="14"/>
  <c r="C15" i="14"/>
  <c r="C17" i="14"/>
  <c r="C9" i="13"/>
  <c r="C11" i="13"/>
  <c r="C12" i="13"/>
  <c r="C13" i="13"/>
  <c r="C14" i="13"/>
  <c r="C15" i="13"/>
  <c r="C17" i="13"/>
  <c r="E9" i="13"/>
  <c r="E10" i="13"/>
  <c r="E11" i="13"/>
  <c r="E12" i="13"/>
  <c r="E13" i="13"/>
  <c r="E14" i="13"/>
  <c r="E15" i="13"/>
  <c r="E16" i="13"/>
  <c r="E17" i="13"/>
  <c r="E18" i="13"/>
  <c r="E9" i="12"/>
  <c r="E10" i="12"/>
  <c r="E11" i="12"/>
  <c r="E12" i="12"/>
  <c r="E13" i="12"/>
  <c r="E14" i="12"/>
  <c r="E15" i="12"/>
  <c r="E16" i="12"/>
  <c r="E17" i="12"/>
  <c r="E18" i="12"/>
  <c r="E19" i="12"/>
  <c r="E20" i="12"/>
  <c r="E21" i="12"/>
  <c r="E22" i="12"/>
  <c r="E23" i="12"/>
  <c r="E24" i="12"/>
  <c r="E25" i="12"/>
  <c r="E26" i="12"/>
  <c r="E27" i="12"/>
  <c r="E28" i="12"/>
  <c r="C9" i="12"/>
  <c r="C11" i="12"/>
  <c r="C12" i="12"/>
  <c r="C13" i="12"/>
  <c r="C14" i="12"/>
  <c r="C15" i="12"/>
  <c r="C17" i="12"/>
  <c r="C19" i="12"/>
  <c r="C21" i="12"/>
  <c r="C23" i="12"/>
  <c r="C25" i="12"/>
  <c r="C27" i="12"/>
  <c r="E9" i="11"/>
  <c r="E10" i="11"/>
  <c r="E11" i="11"/>
  <c r="E12" i="11"/>
  <c r="E13" i="11"/>
  <c r="E14" i="11"/>
  <c r="E15" i="11"/>
  <c r="E16" i="11"/>
  <c r="E17" i="11"/>
  <c r="E18" i="11"/>
  <c r="C9" i="11"/>
  <c r="C11" i="11"/>
  <c r="C12" i="11"/>
  <c r="C13" i="11"/>
  <c r="C14" i="11"/>
  <c r="C15" i="11"/>
  <c r="C17" i="11"/>
  <c r="C9" i="10"/>
  <c r="C11" i="10"/>
  <c r="C12" i="10"/>
  <c r="C13" i="10"/>
  <c r="C14" i="10"/>
  <c r="C15" i="10"/>
  <c r="C17" i="10"/>
  <c r="C19" i="10"/>
  <c r="C21" i="10"/>
  <c r="C23" i="10"/>
  <c r="C25" i="10"/>
  <c r="C27" i="10"/>
  <c r="C28" i="10"/>
  <c r="C29" i="10"/>
  <c r="E9" i="10"/>
  <c r="E10" i="10"/>
  <c r="E11" i="10"/>
  <c r="E12" i="10"/>
  <c r="E13" i="10"/>
  <c r="E14" i="10"/>
  <c r="E15" i="10"/>
  <c r="E16" i="10"/>
  <c r="E17" i="10"/>
  <c r="E18" i="10"/>
  <c r="E19" i="10"/>
  <c r="E20" i="10"/>
  <c r="E21" i="10"/>
  <c r="E22" i="10"/>
  <c r="E23" i="10"/>
  <c r="E24" i="10"/>
  <c r="E25" i="10"/>
  <c r="E26" i="10"/>
  <c r="E27" i="10"/>
  <c r="E28" i="10"/>
  <c r="E29" i="10"/>
  <c r="E30" i="10"/>
  <c r="E9" i="9"/>
  <c r="E10" i="9"/>
  <c r="E11" i="9"/>
  <c r="E12" i="9"/>
  <c r="E13" i="9"/>
  <c r="E14" i="9"/>
  <c r="E15" i="9"/>
  <c r="E16" i="9"/>
  <c r="E17" i="9"/>
  <c r="E18" i="9"/>
  <c r="C9" i="9"/>
  <c r="C11" i="9"/>
  <c r="C12" i="9"/>
  <c r="C13" i="9"/>
  <c r="C14" i="9"/>
  <c r="C15" i="9"/>
  <c r="C17" i="9"/>
  <c r="C9" i="8"/>
  <c r="C11" i="8"/>
  <c r="C12" i="8"/>
  <c r="C13" i="8"/>
  <c r="C14" i="8"/>
  <c r="C15" i="8"/>
  <c r="E9" i="8"/>
  <c r="E10" i="8"/>
  <c r="E11" i="8"/>
  <c r="E12" i="8"/>
  <c r="E13" i="8"/>
  <c r="E14" i="8"/>
  <c r="E15" i="8"/>
  <c r="E16" i="8"/>
  <c r="E17" i="8"/>
  <c r="E18" i="8"/>
  <c r="E9" i="7"/>
  <c r="E10" i="7"/>
  <c r="E11" i="7"/>
  <c r="E12" i="7"/>
  <c r="E13" i="7"/>
  <c r="E14" i="7"/>
  <c r="E15" i="7"/>
  <c r="E16" i="7"/>
  <c r="E17" i="7"/>
  <c r="E18" i="7"/>
  <c r="C9" i="7"/>
  <c r="C11" i="7"/>
  <c r="C12" i="7"/>
  <c r="C13" i="7"/>
  <c r="C14" i="7"/>
  <c r="C15" i="7"/>
  <c r="C11" i="6"/>
  <c r="C12" i="6"/>
  <c r="C14" i="6"/>
  <c r="C19" i="6"/>
  <c r="E9" i="6"/>
  <c r="E10" i="6"/>
  <c r="E11" i="6"/>
  <c r="E12" i="6"/>
  <c r="E14" i="6"/>
  <c r="E15" i="6"/>
  <c r="E16" i="6"/>
  <c r="E17" i="6"/>
  <c r="E18" i="6"/>
  <c r="E19" i="6"/>
  <c r="E20" i="6"/>
  <c r="E9" i="5"/>
  <c r="E10" i="5"/>
  <c r="E12" i="5"/>
  <c r="E13" i="5"/>
  <c r="E14" i="5"/>
  <c r="E15" i="5"/>
  <c r="E16" i="5"/>
  <c r="E17" i="5"/>
  <c r="E9" i="4"/>
  <c r="E10" i="4"/>
  <c r="E12" i="4"/>
  <c r="E13" i="4"/>
  <c r="E14" i="4"/>
  <c r="E16" i="4"/>
  <c r="E17" i="4"/>
  <c r="E18" i="4"/>
  <c r="E20" i="4"/>
  <c r="E21" i="4"/>
  <c r="C9" i="4"/>
  <c r="C12" i="4"/>
  <c r="C13" i="4"/>
  <c r="C16" i="4"/>
  <c r="C17" i="4"/>
  <c r="C20" i="4"/>
  <c r="C12" i="2"/>
  <c r="B2" i="4" l="1"/>
  <c r="B3" i="4" s="1"/>
  <c r="B4" i="4" l="1"/>
  <c r="B5" i="4"/>
  <c r="E12" i="2"/>
  <c r="E10" i="2" l="1"/>
  <c r="E9" i="2"/>
  <c r="C9" i="2" l="1"/>
  <c r="C11" i="2"/>
  <c r="B2" i="47" l="1"/>
  <c r="B2" i="46"/>
  <c r="B2" i="45"/>
  <c r="B2" i="44"/>
  <c r="B2" i="43"/>
  <c r="B2" i="42"/>
  <c r="B2" i="41"/>
  <c r="B2" i="40"/>
  <c r="B2" i="39"/>
  <c r="B2" i="38"/>
  <c r="B2" i="37"/>
  <c r="B2" i="36"/>
  <c r="B4" i="47" l="1"/>
  <c r="B5" i="47"/>
  <c r="B3" i="47"/>
  <c r="B4" i="45"/>
  <c r="B5" i="45"/>
  <c r="B3" i="45"/>
  <c r="B4" i="44"/>
  <c r="B5" i="44"/>
  <c r="B3" i="44"/>
  <c r="B4" i="46"/>
  <c r="B5" i="46"/>
  <c r="B3" i="46"/>
  <c r="B4" i="43"/>
  <c r="B5" i="43"/>
  <c r="B3" i="43"/>
  <c r="B4" i="42"/>
  <c r="B5" i="42"/>
  <c r="B3" i="42"/>
  <c r="B4" i="41"/>
  <c r="B5" i="41"/>
  <c r="B3" i="41"/>
  <c r="B4" i="40"/>
  <c r="B5" i="40"/>
  <c r="B3" i="40"/>
  <c r="B4" i="39"/>
  <c r="B5" i="39"/>
  <c r="B3" i="39"/>
  <c r="B4" i="38"/>
  <c r="B5" i="38"/>
  <c r="B3" i="38"/>
  <c r="B4" i="37"/>
  <c r="B5" i="37"/>
  <c r="B3" i="37"/>
  <c r="B4" i="36"/>
  <c r="B5" i="36"/>
  <c r="B3" i="36"/>
  <c r="B2" i="35"/>
  <c r="B2" i="34"/>
  <c r="B2" i="33"/>
  <c r="B5" i="33" s="1"/>
  <c r="B4" i="35" l="1"/>
  <c r="B5" i="35"/>
  <c r="B3" i="35"/>
  <c r="B4" i="34"/>
  <c r="B5" i="34"/>
  <c r="B3" i="34"/>
  <c r="B3" i="33"/>
  <c r="B4" i="33"/>
  <c r="B2" i="32"/>
  <c r="B2" i="31"/>
  <c r="B5" i="31" s="1"/>
  <c r="B2" i="30"/>
  <c r="B2" i="29"/>
  <c r="B2" i="10"/>
  <c r="B4" i="10" s="1"/>
  <c r="B2" i="28"/>
  <c r="B5" i="28" s="1"/>
  <c r="B2" i="27"/>
  <c r="B2" i="26"/>
  <c r="B2" i="25"/>
  <c r="B2" i="24"/>
  <c r="B2" i="23"/>
  <c r="B2" i="22"/>
  <c r="B2" i="21"/>
  <c r="B4" i="21" s="1"/>
  <c r="B2" i="20"/>
  <c r="B4" i="20" s="1"/>
  <c r="B2" i="19"/>
  <c r="B4" i="19" s="1"/>
  <c r="B2" i="18"/>
  <c r="B5" i="18" s="1"/>
  <c r="B2" i="16"/>
  <c r="B5" i="16" s="1"/>
  <c r="B2" i="15"/>
  <c r="B3" i="15" s="1"/>
  <c r="B2" i="14"/>
  <c r="B3" i="14" s="1"/>
  <c r="B2" i="13"/>
  <c r="B3" i="13" s="1"/>
  <c r="B2" i="12"/>
  <c r="B5" i="12" s="1"/>
  <c r="B2" i="11"/>
  <c r="B3" i="11" s="1"/>
  <c r="B4" i="32" l="1"/>
  <c r="B5" i="32"/>
  <c r="B3" i="32"/>
  <c r="B3" i="31"/>
  <c r="B4" i="31"/>
  <c r="B4" i="30"/>
  <c r="B5" i="30"/>
  <c r="B3" i="30"/>
  <c r="B4" i="29"/>
  <c r="B5" i="29"/>
  <c r="B3" i="29"/>
  <c r="B3" i="28"/>
  <c r="B4" i="28"/>
  <c r="B4" i="27"/>
  <c r="B5" i="27"/>
  <c r="B3" i="27"/>
  <c r="B4" i="26"/>
  <c r="B5" i="26"/>
  <c r="B3" i="26"/>
  <c r="B4" i="25"/>
  <c r="B5" i="25"/>
  <c r="B3" i="25"/>
  <c r="B4" i="24"/>
  <c r="B5" i="24"/>
  <c r="B3" i="24"/>
  <c r="B4" i="23"/>
  <c r="B5" i="23"/>
  <c r="B3" i="23"/>
  <c r="B4" i="22"/>
  <c r="B3" i="22"/>
  <c r="B5" i="22"/>
  <c r="B3" i="10"/>
  <c r="B5" i="10"/>
  <c r="B5" i="21"/>
  <c r="B3" i="21"/>
  <c r="B5" i="20"/>
  <c r="B3" i="20"/>
  <c r="B5" i="19"/>
  <c r="B3" i="19"/>
  <c r="B4" i="18"/>
  <c r="B3" i="18"/>
  <c r="B3" i="16"/>
  <c r="B4" i="16"/>
  <c r="B4" i="15"/>
  <c r="B5" i="15"/>
  <c r="B5" i="14"/>
  <c r="B4" i="14"/>
  <c r="B4" i="13"/>
  <c r="B5" i="13"/>
  <c r="B3" i="12"/>
  <c r="B4" i="12"/>
  <c r="B4" i="11"/>
  <c r="B5" i="11"/>
  <c r="B2" i="9"/>
  <c r="B3" i="9" s="1"/>
  <c r="B2" i="8"/>
  <c r="B3" i="8" s="1"/>
  <c r="B2" i="7"/>
  <c r="B3" i="7" s="1"/>
  <c r="E11" i="2"/>
  <c r="B2" i="17"/>
  <c r="B3" i="17" s="1"/>
  <c r="B2" i="6"/>
  <c r="B4" i="6" s="1"/>
  <c r="B2" i="5"/>
  <c r="B5" i="5" s="1"/>
  <c r="B4" i="8" l="1"/>
  <c r="B4" i="9"/>
  <c r="B5" i="9"/>
  <c r="B5" i="8"/>
  <c r="B5" i="7"/>
  <c r="B4" i="7"/>
  <c r="B4" i="17"/>
  <c r="B5" i="17"/>
  <c r="B5" i="6"/>
  <c r="B3" i="6"/>
  <c r="B3" i="5"/>
  <c r="B4" i="5"/>
  <c r="B2" i="101"/>
  <c r="B5" i="101" s="1"/>
  <c r="B2" i="100"/>
  <c r="B3" i="100" s="1"/>
  <c r="B2" i="99"/>
  <c r="B3" i="99" s="1"/>
  <c r="B2" i="98"/>
  <c r="B4" i="98" s="1"/>
  <c r="B2" i="97"/>
  <c r="B3" i="97" s="1"/>
  <c r="B2" i="96"/>
  <c r="B3" i="96" s="1"/>
  <c r="B2" i="95"/>
  <c r="B5" i="95" s="1"/>
  <c r="B2" i="94"/>
  <c r="B5" i="94" s="1"/>
  <c r="B2" i="93"/>
  <c r="B3" i="93" s="1"/>
  <c r="B2" i="92"/>
  <c r="B5" i="92" s="1"/>
  <c r="B2" i="91"/>
  <c r="B5" i="91" s="1"/>
  <c r="B2" i="90"/>
  <c r="B3" i="90" s="1"/>
  <c r="B2" i="89"/>
  <c r="B4" i="89" s="1"/>
  <c r="E15" i="2"/>
  <c r="B2" i="2"/>
  <c r="B5" i="2" s="1"/>
  <c r="B2" i="88"/>
  <c r="B5" i="88" s="1"/>
  <c r="B2" i="87"/>
  <c r="B5" i="87" s="1"/>
  <c r="B2" i="86"/>
  <c r="B4" i="86" s="1"/>
  <c r="B2" i="85"/>
  <c r="B5" i="85" s="1"/>
  <c r="B2" i="84"/>
  <c r="B4" i="84" s="1"/>
  <c r="B2" i="83"/>
  <c r="B5" i="83" s="1"/>
  <c r="B2" i="82"/>
  <c r="B5" i="82" s="1"/>
  <c r="B2" i="81"/>
  <c r="B5" i="81" s="1"/>
  <c r="B4" i="100" l="1"/>
  <c r="B5" i="100"/>
  <c r="B3" i="101"/>
  <c r="B4" i="101"/>
  <c r="B4" i="99"/>
  <c r="B5" i="99"/>
  <c r="B5" i="98"/>
  <c r="B3" i="98"/>
  <c r="B4" i="97"/>
  <c r="B5" i="97"/>
  <c r="B4" i="96"/>
  <c r="B5" i="96"/>
  <c r="B4" i="95"/>
  <c r="B3" i="95"/>
  <c r="B3" i="94"/>
  <c r="B4" i="94"/>
  <c r="B5" i="93"/>
  <c r="B4" i="93"/>
  <c r="B3" i="92"/>
  <c r="B4" i="92"/>
  <c r="B3" i="91"/>
  <c r="B4" i="91"/>
  <c r="B4" i="90"/>
  <c r="B5" i="90"/>
  <c r="B3" i="89"/>
  <c r="B5" i="89"/>
  <c r="B3" i="2"/>
  <c r="B4" i="2"/>
  <c r="B3" i="88"/>
  <c r="B4" i="88"/>
  <c r="B3" i="87"/>
  <c r="B4" i="87"/>
  <c r="B5" i="86"/>
  <c r="B3" i="86"/>
  <c r="B3" i="85"/>
  <c r="B4" i="85"/>
  <c r="B5" i="84"/>
  <c r="B3" i="84"/>
  <c r="B3" i="83"/>
  <c r="B4" i="83"/>
  <c r="B3" i="82"/>
  <c r="B4" i="82"/>
  <c r="B3" i="81"/>
  <c r="B4" i="81"/>
</calcChain>
</file>

<file path=xl/sharedStrings.xml><?xml version="1.0" encoding="utf-8"?>
<sst xmlns="http://schemas.openxmlformats.org/spreadsheetml/2006/main" count="10979" uniqueCount="580">
  <si>
    <t xml:space="preserve"> </t>
  </si>
  <si>
    <t>#</t>
  </si>
  <si>
    <t>Title</t>
  </si>
  <si>
    <t>Status</t>
  </si>
  <si>
    <t>Return to Test Case Overview</t>
  </si>
  <si>
    <t>Test Case ID</t>
  </si>
  <si>
    <t>Test Case</t>
  </si>
  <si>
    <t>Step</t>
  </si>
  <si>
    <t>Action</t>
  </si>
  <si>
    <t>Message | Input</t>
  </si>
  <si>
    <t>Notes &amp; Data Settings</t>
  </si>
  <si>
    <t>[RECORD CALL ID  HERE]</t>
  </si>
  <si>
    <t>NOTHING</t>
  </si>
  <si>
    <t>HANGUP</t>
  </si>
  <si>
    <t>PEG</t>
  </si>
  <si>
    <t>PEG #</t>
  </si>
  <si>
    <t>PROMPT PHRASE</t>
  </si>
  <si>
    <t xml:space="preserve">APPLICATION </t>
  </si>
  <si>
    <t>Test Data #</t>
  </si>
  <si>
    <t>TEST DATA #</t>
  </si>
  <si>
    <t>Test Data Description</t>
  </si>
  <si>
    <t>Description</t>
  </si>
  <si>
    <t>Additional Notes</t>
  </si>
  <si>
    <t>TC10</t>
  </si>
  <si>
    <t>TC11</t>
  </si>
  <si>
    <t>TC12</t>
  </si>
  <si>
    <t>TC13</t>
  </si>
  <si>
    <t>TC14</t>
  </si>
  <si>
    <t>TC15</t>
  </si>
  <si>
    <t>TC16</t>
  </si>
  <si>
    <t>TC17</t>
  </si>
  <si>
    <t>TC18</t>
  </si>
  <si>
    <t>TC19</t>
  </si>
  <si>
    <t>TC20</t>
  </si>
  <si>
    <t>TC21</t>
  </si>
  <si>
    <t>TC22</t>
  </si>
  <si>
    <t>TC23</t>
  </si>
  <si>
    <t>TC24</t>
  </si>
  <si>
    <t>TC25</t>
  </si>
  <si>
    <t>TC26</t>
  </si>
  <si>
    <t>TC27</t>
  </si>
  <si>
    <t>TC28</t>
  </si>
  <si>
    <t>TC29</t>
  </si>
  <si>
    <t>TC30</t>
  </si>
  <si>
    <t>TC31</t>
  </si>
  <si>
    <t>TC32</t>
  </si>
  <si>
    <t>TC33</t>
  </si>
  <si>
    <t>TC34</t>
  </si>
  <si>
    <t>TC35</t>
  </si>
  <si>
    <t>TC36</t>
  </si>
  <si>
    <t>TC37</t>
  </si>
  <si>
    <t>TC38</t>
  </si>
  <si>
    <t>TC39</t>
  </si>
  <si>
    <t>TC40</t>
  </si>
  <si>
    <t>TC41</t>
  </si>
  <si>
    <t>TC42</t>
  </si>
  <si>
    <t>TC43</t>
  </si>
  <si>
    <t>TC44</t>
  </si>
  <si>
    <t>TC45</t>
  </si>
  <si>
    <t>TC46</t>
  </si>
  <si>
    <t>TC47</t>
  </si>
  <si>
    <t>TC48</t>
  </si>
  <si>
    <t>TC49</t>
  </si>
  <si>
    <t>TC50</t>
  </si>
  <si>
    <t>TC51</t>
  </si>
  <si>
    <t>TC52</t>
  </si>
  <si>
    <t>TC53</t>
  </si>
  <si>
    <t>TC54</t>
  </si>
  <si>
    <t>TC55</t>
  </si>
  <si>
    <t>TC56</t>
  </si>
  <si>
    <t>TC57</t>
  </si>
  <si>
    <t>TC58</t>
  </si>
  <si>
    <t>TC59</t>
  </si>
  <si>
    <t>TC60</t>
  </si>
  <si>
    <t>TC61</t>
  </si>
  <si>
    <t>TC62</t>
  </si>
  <si>
    <t>TC63</t>
  </si>
  <si>
    <t>TC64</t>
  </si>
  <si>
    <t>TC65</t>
  </si>
  <si>
    <t>TC66</t>
  </si>
  <si>
    <t>TC67</t>
  </si>
  <si>
    <t>TC68</t>
  </si>
  <si>
    <t>TC69</t>
  </si>
  <si>
    <t>TC70</t>
  </si>
  <si>
    <t>TC71</t>
  </si>
  <si>
    <t>TC72</t>
  </si>
  <si>
    <t>TC73</t>
  </si>
  <si>
    <t>TC74</t>
  </si>
  <si>
    <t>TC75</t>
  </si>
  <si>
    <t>TC76</t>
  </si>
  <si>
    <t>TC77</t>
  </si>
  <si>
    <t>TC1</t>
  </si>
  <si>
    <t>TC2</t>
  </si>
  <si>
    <t>TC3</t>
  </si>
  <si>
    <t>TC4</t>
  </si>
  <si>
    <t>TC5</t>
  </si>
  <si>
    <t>TC6</t>
  </si>
  <si>
    <t>TC7</t>
  </si>
  <si>
    <t>TC8</t>
  </si>
  <si>
    <t>TC9</t>
  </si>
  <si>
    <t>TC78</t>
  </si>
  <si>
    <t>TC79</t>
  </si>
  <si>
    <t>TC80</t>
  </si>
  <si>
    <t>TC81</t>
  </si>
  <si>
    <t>TC82</t>
  </si>
  <si>
    <t>TC83</t>
  </si>
  <si>
    <t>TC84</t>
  </si>
  <si>
    <t>TC85</t>
  </si>
  <si>
    <t>TC86</t>
  </si>
  <si>
    <t>TC87</t>
  </si>
  <si>
    <t>TC88</t>
  </si>
  <si>
    <t>TC89</t>
  </si>
  <si>
    <t>TC90</t>
  </si>
  <si>
    <t>TC91</t>
  </si>
  <si>
    <t>DIAL</t>
  </si>
  <si>
    <t>HEAR</t>
  </si>
  <si>
    <t>TC92</t>
  </si>
  <si>
    <t>TC93</t>
  </si>
  <si>
    <t>TC94</t>
  </si>
  <si>
    <t>TC95</t>
  </si>
  <si>
    <t>TC96</t>
  </si>
  <si>
    <t>TC97</t>
  </si>
  <si>
    <t>TC98</t>
  </si>
  <si>
    <t>TC99</t>
  </si>
  <si>
    <t>SPEAK</t>
  </si>
  <si>
    <t>TEST DID NUMBER</t>
  </si>
  <si>
    <t>TYPE</t>
  </si>
  <si>
    <t># from from data request</t>
  </si>
  <si>
    <t>[Client Logo]</t>
  </si>
  <si>
    <t>Sorry, I didn’t understand.</t>
  </si>
  <si>
    <t>Let’s try that one more time.</t>
  </si>
  <si>
    <t>I didn’t get that.</t>
  </si>
  <si>
    <t>I still didn’t get that.</t>
  </si>
  <si>
    <t>Just say yes or no.</t>
  </si>
  <si>
    <t>You can say yes or press 1. Otherwise say no or press 2.</t>
  </si>
  <si>
    <t>To get started, tell me your Account Number</t>
  </si>
  <si>
    <t>Just tell me your account number.</t>
  </si>
  <si>
    <t>Thanks, I found your account!</t>
  </si>
  <si>
    <t>I did not find an account.</t>
  </si>
  <si>
    <t>Just enter the numbers using your touchtone keypad.</t>
  </si>
  <si>
    <t>I did not find an account matching that invoice number.</t>
  </si>
  <si>
    <t>Your plan is currently not active.</t>
  </si>
  <si>
    <t>Would you like to pay this in full today?</t>
  </si>
  <si>
    <t>Would you like to pay this in full today?  Just say yes or no.</t>
  </si>
  <si>
    <t>Just say yes or press 1 to pay in full. Otherwise say no, or press 2</t>
  </si>
  <si>
    <t>Ok, what amount do you want to pay?</t>
  </si>
  <si>
    <t>What amount do you want to pay?  Just say the amount like this “forty dollars and fifty cents.  Now go ahead.</t>
  </si>
  <si>
    <t xml:space="preserve">Just tell me the amount you want to pay today or enter it on your telephone keypad in dollars and cents.  For example, to enter forty dollars and fifty cents enter 4-5-5-0.  Now go ahead.  </t>
  </si>
  <si>
    <t>Would you like to make a payment now?</t>
  </si>
  <si>
    <t>If you would like to make a payment, just say yes or no.</t>
  </si>
  <si>
    <t>To make a payment say yes or press 1.  Otherwise say no or press 2.</t>
  </si>
  <si>
    <t>Do you need to update your payment information?</t>
  </si>
  <si>
    <t>Do you need to update your payment information?  Just say yes or no.</t>
  </si>
  <si>
    <t>If you need to update your payment information, say yes or press 1.  Otherwise say no or press 2.</t>
  </si>
  <si>
    <t>Is this information correct?  Just say yes or no.</t>
  </si>
  <si>
    <t>To confirm this payment, say yes or press 1.
Otherwise say no or press 2.</t>
  </si>
  <si>
    <t>Ok, are you using Credit, Debit, Checking or Savings?</t>
  </si>
  <si>
    <t>Are you using Credit, Debit, Checking, or Savings?</t>
  </si>
  <si>
    <t>To use a credit card, press 1
Debit card, press 2
Checking account press 3
Savings account press 4</t>
  </si>
  <si>
    <t>Tell me your 9-digit routing number.</t>
  </si>
  <si>
    <t>Just say your 9-digit routing number.</t>
  </si>
  <si>
    <t>You can say or enter your 9-digit routing number using your telephone keypad.</t>
  </si>
  <si>
    <t>Is that the right routing number?  Just say yes or no.</t>
  </si>
  <si>
    <t>If that number is correct, say yes or press 1.
Otherwise say no or press 2.</t>
  </si>
  <si>
    <t>Is that the correct number? Just say yes or no.</t>
  </si>
  <si>
    <t>Now what is your checking account number.</t>
  </si>
  <si>
    <t>Now what is your savings account number.</t>
  </si>
  <si>
    <t>Tell me the checking account number you would like to use.</t>
  </si>
  <si>
    <t>Tell me the savings account number you would like to use.</t>
  </si>
  <si>
    <t>Just say or enter the checking account number, 1 digit at a time.</t>
  </si>
  <si>
    <t>Just say or enter the savings account number, 1 digit at a time.</t>
  </si>
  <si>
    <t>Do you agree?  Just say yes or no</t>
  </si>
  <si>
    <t>If you agree, say yes or press 1.  If you wish to cancel this payment, say no or press 2.</t>
  </si>
  <si>
    <t>To finalize the payment, just say yes or press 1. To cancel, say no or press 2.</t>
  </si>
  <si>
    <t>Before I give you the confirmation number, would you like to use this account to setup recurring monthly payments?</t>
  </si>
  <si>
    <t>Would you like to setup recurring monthly payments? Just say yes or no.</t>
  </si>
  <si>
    <t>To setup recurring payments, say yes or press 1. Otherwise say no or press 2.</t>
  </si>
  <si>
    <t>To setup recurring payments, just say yes or press 1.  To cancel, say no or press 2.</t>
  </si>
  <si>
    <t>Ok, your payment information will not be updated.</t>
  </si>
  <si>
    <t>Tell me the card number you wish to use.</t>
  </si>
  <si>
    <t>Just say or enter the card number 1 digit at a time.</t>
  </si>
  <si>
    <t>Is that the right card number?  Just say yes or no.</t>
  </si>
  <si>
    <t>If the card number is correct, say yes or press 1.  If not correct, say no or press2.</t>
  </si>
  <si>
    <t>Tell me the expiration date of enter it on your telephone keypad using 2 digits for the month and 4 digits for the year.  For example, For March 2025 enter 0-3-2-0-2-5.  Now go ahead.</t>
  </si>
  <si>
    <t>If that is correct, say yes or press 1.
If not, say no or press 2.</t>
  </si>
  <si>
    <t>I was unable to process a payment using the card provided.  Would you like to use a different payment method?</t>
  </si>
  <si>
    <t>Would you like to use a different payment method?  Just say yes or no</t>
  </si>
  <si>
    <t>To use another payment method just say yes or press 1.  Otherwise say no or press 2.</t>
  </si>
  <si>
    <t>If that is correct, say yes or press 1.
Otherwise say no or press 2.</t>
  </si>
  <si>
    <t>Would you like me to text the confirmation number?</t>
  </si>
  <si>
    <t>Would you like me to text the confirmation number?  Just say yes or no.</t>
  </si>
  <si>
    <t>To receive your confirmation number by text, say yes or press 1.  Otherwise, say no or press 2.</t>
  </si>
  <si>
    <t>Is that the right number?  Just say yes or no.</t>
  </si>
  <si>
    <t>To receive a text confirmation just say yes or press 1.  To use a different number, say no or press 2.</t>
  </si>
  <si>
    <t>Would you like to use a different phone number?</t>
  </si>
  <si>
    <t>Would you like to use a different number?  Just say yes or no.</t>
  </si>
  <si>
    <t>To use a different number just say yes or press 1.  Otherwise, say no or press 2.</t>
  </si>
  <si>
    <t>Tell me the phone number you would like to use.</t>
  </si>
  <si>
    <t>Just say the phone number you would like to use.</t>
  </si>
  <si>
    <t>You can say or enter the phone number using your touchtone keypad.</t>
  </si>
  <si>
    <t xml:space="preserve">If that number is correct, just say yes or press 1.  If not, then say no and press 2.  </t>
  </si>
  <si>
    <t>I'm sorry, but I am unable to send a text at this time.</t>
  </si>
  <si>
    <t>Would you like to use a different account to pay the remaining balance?  Your account will be suspended if payment is not received within 60 days.</t>
  </si>
  <si>
    <t>To use a different account to pay the remaining balance, say yes.  Otherwise, say no.</t>
  </si>
  <si>
    <t>To use a different account to pay the remaining balance, say yes or press 1.  Otherwise, say no or press 2.</t>
  </si>
  <si>
    <t>One moment while I get someone to help you.</t>
  </si>
  <si>
    <t>It seems you are having trouble. For future transactions you can also access your plan details, or manage your account online anytime at members.lacare.com. One moment while I get someone to help. Make sure to have your invoice available.</t>
  </si>
  <si>
    <t>For future transactions you can also access your plan details, or manage your account online anytime at members.lacare.com.  Thank you for calling.</t>
  </si>
  <si>
    <t>Your account is updated with the new payment method. For future transactions you can also access your plan details, or manage your account online anytime at members.lacare.com.  Thank you for calling.</t>
  </si>
  <si>
    <t>Thank you for your payment today.  For future transactions, you can access your plan details or manage your account anytime online at members.lacare.com.</t>
  </si>
  <si>
    <t>Prompt</t>
  </si>
  <si>
    <t>To confirm, you want to pay &lt;ivrPmtAmt&gt; with the account ending in &lt;SAP01_ivrStoredPmtLast4Digits&gt;
Is that right?</t>
  </si>
  <si>
    <t>Is &lt;ivrBankKey&gt; the right number?</t>
  </si>
  <si>
    <t>Is &lt;ivrBankAcct&gt; the right number?</t>
  </si>
  <si>
    <t>Today &lt;SAP01_SystemDate&gt; I’d like to confirm that you &lt;SAP01_NameFirst&gt; &lt;SAP01_NameLast&gt; are authorizing a payment in the amount of &lt;ivrPmtAmt&gt;
to be processed as an electronic funds transfer, or draft drawn from your account.  Do you agree?</t>
  </si>
  <si>
    <t>If your payment is returned unpaid, you authorize us or our service provider to collect the payment and your State’s return item fee of &lt;SAP01_NSFAmount&gt; by electronic funds transfer(s) or draft(s) drawn from your account.  Do you agree and authorize the payment?</t>
  </si>
  <si>
    <t>To confirm, you want to update your payment method using the account ending in &lt;last 4 digits of ivrBankAcct&gt; Is that right?</t>
  </si>
  <si>
    <t>Is &lt;ivrCardNbr&gt; the right number?</t>
  </si>
  <si>
    <t>Now, what is the expiration date?  Just say it like this, March &lt;Current Year +3&gt; 
Now go ahead.</t>
  </si>
  <si>
    <t>Just tell me the expiration date.  Say it like this, March &lt;Current Year +3&gt; 
Now go ahead.</t>
  </si>
  <si>
    <t>To confirm, you want to pay &lt;ivrPmtAmt&gt; with a card ending in &lt;last 4 digits of ivrCardNbr&gt;.
Is that right?</t>
  </si>
  <si>
    <t>To confirm, you want to update your account with a card ending in &lt;last 4 digits of ivrCardNbr&gt;.
Is that right?</t>
  </si>
  <si>
    <t>Would you like me to text the confirmation to the phone number ending in &lt;Last 4 ANI digits&gt;?</t>
  </si>
  <si>
    <t>That was &lt;iSMSPhoneNbr&gt;.
Is that right?</t>
  </si>
  <si>
    <t>Is this the correct number? Just say yes or no.</t>
  </si>
  <si>
    <t>Your one-time initial payment of &lt;SAP01_CurrentDue&gt; is due by &lt;SAP01_Duedate&gt;</t>
  </si>
  <si>
    <t>Your last payment of &lt;SAP01_ivrLastPaymentAmount&gt; was received on &lt;SAP01_ivrLastPaymentDate&gt;</t>
  </si>
  <si>
    <t>A current balance of &lt;SAP01_CurrentDue&gt; is due by &lt;SAP01_Duedate&gt;.</t>
  </si>
  <si>
    <t>This includes a past due amount of &lt;SAP01_PastDue&gt;.</t>
  </si>
  <si>
    <t>You are already setup for recurring payments in the amount of &lt;SAP01_CurrentDue&gt; to be deducted on the last day of each month.</t>
  </si>
  <si>
    <t>The last payment of &lt;SAP01_ivrLastPaymentAmount&gt; was declined.</t>
  </si>
  <si>
    <t>Your last payment was posted on &lt;SAP01_ivrLastPaymentDate&gt;.</t>
  </si>
  <si>
    <t>Do you want to use the checking account on file ending in &lt;SAP01_ivrStoredPmtLast4Digits&gt;.</t>
  </si>
  <si>
    <t>Do you want to use the savings account on file ending in &lt;SAP01_ivrStoredPmtLast4Digits&gt;.</t>
  </si>
  <si>
    <t>If you want to use the checking account on file ending in &lt;SAP01_ivrStoredPmtLast4Digits&gt;.</t>
  </si>
  <si>
    <t>If you want to use the savings account on file ending in &lt;SAP01_ivrStoredPmtLast4Digits&gt;.</t>
  </si>
  <si>
    <t>Your payment method has been updated.
Your confirmation number is &lt;SAP04_ConfirmationNum&gt;.
Again, that confirmation number is &lt;SAP04_ConfirmationNum&gt;.</t>
  </si>
  <si>
    <t>Recurring payments in the amount of &lt;SAP01_CurrentDue&gt;, will be deducted on the last day of each month starting in &lt;the month following the SAP01_Duedate&gt;.</t>
  </si>
  <si>
    <t>Today's payment in the amount of &lt;ivrPmtAmt&gt;, has been processed.  Your confirmation number is &lt;ivrConfirmationNum&gt;. Again, that confirmation number is &lt;ivrConfirmationNum&gt;.</t>
  </si>
  <si>
    <t>LACare Billing Testing Outline</t>
  </si>
  <si>
    <t>Test Number:  DNIS:  ANI:</t>
  </si>
  <si>
    <t>GREET</t>
  </si>
  <si>
    <t>Hello, you have reached LA Care's Customer Solution Center.  
Para continuar su llamada en Espanol, por favor marque el 7.  
If you are a doctor, hospital o rprovider of healthcare services, Press 9.
If this is a medical emergency, please hang up &amp; dial 911 or go to the nearest emergency room for services.
This call will be recorded for quality purposes.  For your convenience we are open 24 hours a day, 7 days a week.  Please visit us at LACare.org for many self-service options.  Please have your ID Card available for this call.</t>
  </si>
  <si>
    <t>Main Menu</t>
  </si>
  <si>
    <t>Thank you for being a member of LA Care Covered Health Plan, a proud participant of Covered California.
If you are calling to change your primary care physician, Press 1.
To make a premium payment, Press 2.
If you would like to hear how to access plan benefits, services and how to pay your premium through LA Care's member portal, Press 3.
If you're unable to access an urgent care, and would like a phone consultation with a Provider, Press 4.
Please make your selection now or simply remain on the line for th enext available Customer Service Representative.</t>
  </si>
  <si>
    <t>1000-1</t>
  </si>
  <si>
    <t>1000-2</t>
  </si>
  <si>
    <t>1000-3</t>
  </si>
  <si>
    <t>1010-1</t>
  </si>
  <si>
    <t>1011-1</t>
  </si>
  <si>
    <t>1200-1</t>
  </si>
  <si>
    <t>1200-2</t>
  </si>
  <si>
    <t>1200-3</t>
  </si>
  <si>
    <t>1210-1</t>
  </si>
  <si>
    <t>1211-1</t>
  </si>
  <si>
    <t>1300-1</t>
  </si>
  <si>
    <t>1310-1</t>
  </si>
  <si>
    <t>1320-1</t>
  </si>
  <si>
    <t>1330-1</t>
  </si>
  <si>
    <t>1340-1</t>
  </si>
  <si>
    <t>1400-1</t>
  </si>
  <si>
    <t>1400-2</t>
  </si>
  <si>
    <t>1400-3</t>
  </si>
  <si>
    <t>1410-1</t>
  </si>
  <si>
    <t>1410-2</t>
  </si>
  <si>
    <t>1410-3</t>
  </si>
  <si>
    <t>1500-1</t>
  </si>
  <si>
    <t>1510-1</t>
  </si>
  <si>
    <t>1515-1</t>
  </si>
  <si>
    <t>1515-2</t>
  </si>
  <si>
    <t>1515-3</t>
  </si>
  <si>
    <t>1520-1</t>
  </si>
  <si>
    <t>1530-1</t>
  </si>
  <si>
    <t>1530-2</t>
  </si>
  <si>
    <t>1530-3</t>
  </si>
  <si>
    <t>1600-1a</t>
  </si>
  <si>
    <t>1600-1b</t>
  </si>
  <si>
    <t>1600-1c</t>
  </si>
  <si>
    <t>1600-2a</t>
  </si>
  <si>
    <t>1600-2b</t>
  </si>
  <si>
    <t>1600-2c</t>
  </si>
  <si>
    <t>1600-3a</t>
  </si>
  <si>
    <t>1600-3b</t>
  </si>
  <si>
    <t>1600-3c</t>
  </si>
  <si>
    <t>1610-2</t>
  </si>
  <si>
    <t>1610-3</t>
  </si>
  <si>
    <t>1700-1</t>
  </si>
  <si>
    <t>1700-2</t>
  </si>
  <si>
    <t>1700-3</t>
  </si>
  <si>
    <t>1800-1</t>
  </si>
  <si>
    <t>1800-2</t>
  </si>
  <si>
    <t>1800-3</t>
  </si>
  <si>
    <t>1810-1</t>
  </si>
  <si>
    <t>1810-2</t>
  </si>
  <si>
    <t>1810-3</t>
  </si>
  <si>
    <t>1820-1a</t>
  </si>
  <si>
    <t>1820-1b</t>
  </si>
  <si>
    <t>1820-2a</t>
  </si>
  <si>
    <t>1820-2b</t>
  </si>
  <si>
    <t>1820-3a</t>
  </si>
  <si>
    <t>1820-3b</t>
  </si>
  <si>
    <t>1830-1</t>
  </si>
  <si>
    <t>1830-2</t>
  </si>
  <si>
    <t>1830-3</t>
  </si>
  <si>
    <t>1900-1</t>
  </si>
  <si>
    <t>1900-2</t>
  </si>
  <si>
    <t>1900-3</t>
  </si>
  <si>
    <t>1910-1</t>
  </si>
  <si>
    <t>1910-2</t>
  </si>
  <si>
    <t>1910-3</t>
  </si>
  <si>
    <t>1920-1</t>
  </si>
  <si>
    <t>1920-2</t>
  </si>
  <si>
    <t>1920-3</t>
  </si>
  <si>
    <t>2000-1</t>
  </si>
  <si>
    <t>2000-2</t>
  </si>
  <si>
    <t>2000-3</t>
  </si>
  <si>
    <t>2010-1</t>
  </si>
  <si>
    <t>2020-1</t>
  </si>
  <si>
    <t>2100-1</t>
  </si>
  <si>
    <t>2100-2</t>
  </si>
  <si>
    <t>2110-1</t>
  </si>
  <si>
    <t>2110-2</t>
  </si>
  <si>
    <t>2110-3</t>
  </si>
  <si>
    <t>2120-1</t>
  </si>
  <si>
    <t>2120-2</t>
  </si>
  <si>
    <t>2120-3</t>
  </si>
  <si>
    <t>2130-1</t>
  </si>
  <si>
    <t>2130-2</t>
  </si>
  <si>
    <t>2130-3</t>
  </si>
  <si>
    <t>2200-1</t>
  </si>
  <si>
    <t>2200-2</t>
  </si>
  <si>
    <t>2200-3</t>
  </si>
  <si>
    <t>2210-1</t>
  </si>
  <si>
    <t>2210-2</t>
  </si>
  <si>
    <t>2300-1</t>
  </si>
  <si>
    <t>2300-2</t>
  </si>
  <si>
    <t>2300-3</t>
  </si>
  <si>
    <t>2310-1</t>
  </si>
  <si>
    <t>2320-1</t>
  </si>
  <si>
    <t>2400-1</t>
  </si>
  <si>
    <t>2410-1</t>
  </si>
  <si>
    <t>2420-1</t>
  </si>
  <si>
    <t>2420-2</t>
  </si>
  <si>
    <t>2420-3</t>
  </si>
  <si>
    <t>2430-1</t>
  </si>
  <si>
    <t>2430-2</t>
  </si>
  <si>
    <t>2430-3</t>
  </si>
  <si>
    <t>2500-1</t>
  </si>
  <si>
    <t>2500-2</t>
  </si>
  <si>
    <t>2500-3</t>
  </si>
  <si>
    <t>2510-1</t>
  </si>
  <si>
    <t>2510-2</t>
  </si>
  <si>
    <t>2510-3</t>
  </si>
  <si>
    <t>2520-1</t>
  </si>
  <si>
    <t>2520-2</t>
  </si>
  <si>
    <t>2520-3</t>
  </si>
  <si>
    <t>2610-1</t>
  </si>
  <si>
    <t>2620-1</t>
  </si>
  <si>
    <t>2620-2</t>
  </si>
  <si>
    <t>2620-3</t>
  </si>
  <si>
    <t>2700-1</t>
  </si>
  <si>
    <t>2710-1</t>
  </si>
  <si>
    <t>2720-1</t>
  </si>
  <si>
    <t>2730-1</t>
  </si>
  <si>
    <t>2740-1</t>
  </si>
  <si>
    <t>NoInput1</t>
  </si>
  <si>
    <t>NoInput2</t>
  </si>
  <si>
    <t>NoMatch1</t>
  </si>
  <si>
    <t>NoMatch2</t>
  </si>
  <si>
    <t>YesorNo1</t>
  </si>
  <si>
    <t>YesorNo2</t>
  </si>
  <si>
    <t>SAP01</t>
  </si>
  <si>
    <t>DB</t>
  </si>
  <si>
    <t>SAP02</t>
  </si>
  <si>
    <t>SAP03</t>
  </si>
  <si>
    <t>SAP04</t>
  </si>
  <si>
    <r>
      <rPr>
        <b/>
        <sz val="11"/>
        <rFont val="Calibri"/>
        <family val="2"/>
        <scheme val="minor"/>
      </rPr>
      <t>SAP HANA - SAP02_EFTPaymentNotification</t>
    </r>
    <r>
      <rPr>
        <sz val="11"/>
        <rFont val="Calibri"/>
        <family val="2"/>
        <scheme val="minor"/>
      </rPr>
      <t xml:space="preserve">
</t>
    </r>
    <r>
      <rPr>
        <b/>
        <sz val="11"/>
        <rFont val="Calibri"/>
        <family val="2"/>
        <scheme val="minor"/>
      </rPr>
      <t>inputs:</t>
    </r>
    <r>
      <rPr>
        <b/>
        <sz val="11"/>
        <color theme="1"/>
        <rFont val="Calibri"/>
        <family val="2"/>
        <scheme val="minor"/>
      </rPr>
      <t xml:space="preserve"> </t>
    </r>
    <r>
      <rPr>
        <sz val="11"/>
        <color theme="1"/>
        <rFont val="Calibri"/>
        <family val="2"/>
        <scheme val="minor"/>
      </rPr>
      <t xml:space="preserve">
Businesspartner = </t>
    </r>
    <r>
      <rPr>
        <sz val="11"/>
        <color rgb="FF7AB648"/>
        <rFont val="Calibri"/>
        <family val="2"/>
        <scheme val="minor"/>
      </rPr>
      <t>SAP01_Partner</t>
    </r>
    <r>
      <rPr>
        <sz val="11"/>
        <color theme="1"/>
        <rFont val="Calibri"/>
        <family val="2"/>
        <scheme val="minor"/>
      </rPr>
      <t xml:space="preserve"> 
Insobject = </t>
    </r>
    <r>
      <rPr>
        <sz val="11"/>
        <color rgb="FF7AB648"/>
        <rFont val="Calibri"/>
        <family val="2"/>
        <scheme val="minor"/>
      </rPr>
      <t>SAP01_Insobject</t>
    </r>
    <r>
      <rPr>
        <sz val="11"/>
        <color theme="1"/>
        <rFont val="Calibri"/>
        <family val="2"/>
        <scheme val="minor"/>
      </rPr>
      <t xml:space="preserve"> 
BankKey = </t>
    </r>
    <r>
      <rPr>
        <sz val="11"/>
        <color rgb="FF7AB648"/>
        <rFont val="Calibri"/>
        <family val="2"/>
        <scheme val="minor"/>
      </rPr>
      <t xml:space="preserve">ivrBankKey </t>
    </r>
    <r>
      <rPr>
        <sz val="11"/>
        <color theme="1"/>
        <rFont val="Calibri"/>
        <family val="2"/>
        <scheme val="minor"/>
      </rPr>
      <t xml:space="preserve">
BankAcct = </t>
    </r>
    <r>
      <rPr>
        <sz val="11"/>
        <color rgb="FF7AB648"/>
        <rFont val="Calibri"/>
        <family val="2"/>
        <scheme val="minor"/>
      </rPr>
      <t>ivrBankAcct</t>
    </r>
    <r>
      <rPr>
        <sz val="11"/>
        <color theme="1"/>
        <rFont val="Calibri"/>
        <family val="2"/>
        <scheme val="minor"/>
      </rPr>
      <t xml:space="preserve"> 
Accountholder = </t>
    </r>
    <r>
      <rPr>
        <sz val="11"/>
        <color rgb="FF7AB648"/>
        <rFont val="Calibri"/>
        <family val="2"/>
        <scheme val="minor"/>
      </rPr>
      <t>ivrAccountHolder</t>
    </r>
    <r>
      <rPr>
        <sz val="11"/>
        <color theme="1"/>
        <rFont val="Calibri"/>
        <family val="2"/>
        <scheme val="minor"/>
      </rPr>
      <t xml:space="preserve"> 
BankAccountType = </t>
    </r>
    <r>
      <rPr>
        <sz val="11"/>
        <color rgb="FF7AB648"/>
        <rFont val="Calibri"/>
        <family val="2"/>
        <scheme val="minor"/>
      </rPr>
      <t>ivrBankAccountType</t>
    </r>
    <r>
      <rPr>
        <sz val="11"/>
        <color theme="1"/>
        <rFont val="Calibri"/>
        <family val="2"/>
        <scheme val="minor"/>
      </rPr>
      <t xml:space="preserve"> 
RecurringBank = </t>
    </r>
    <r>
      <rPr>
        <sz val="11"/>
        <color rgb="FF7AB648"/>
        <rFont val="Calibri"/>
        <family val="2"/>
        <scheme val="minor"/>
      </rPr>
      <t>ivrRecurringBank</t>
    </r>
    <r>
      <rPr>
        <sz val="11"/>
        <color theme="1"/>
        <rFont val="Calibri"/>
        <family val="2"/>
        <scheme val="minor"/>
      </rPr>
      <t xml:space="preserve">  
StoredBank = </t>
    </r>
    <r>
      <rPr>
        <sz val="11"/>
        <color rgb="FF7AB648"/>
        <rFont val="Calibri"/>
        <family val="2"/>
        <scheme val="minor"/>
      </rPr>
      <t>ivrPmtMethodStored</t>
    </r>
    <r>
      <rPr>
        <sz val="11"/>
        <color theme="1"/>
        <rFont val="Calibri"/>
        <family val="2"/>
        <scheme val="minor"/>
      </rPr>
      <t xml:space="preserve"> 
PaymentAmount = </t>
    </r>
    <r>
      <rPr>
        <sz val="11"/>
        <color rgb="FF7AB648"/>
        <rFont val="Calibri"/>
        <family val="2"/>
        <scheme val="minor"/>
      </rPr>
      <t>ivrPmtAmt</t>
    </r>
    <r>
      <rPr>
        <sz val="11"/>
        <color theme="1"/>
        <rFont val="Calibri"/>
        <family val="2"/>
        <scheme val="minor"/>
      </rPr>
      <t xml:space="preserve"> 
</t>
    </r>
    <r>
      <rPr>
        <b/>
        <sz val="11"/>
        <color theme="1"/>
        <rFont val="Calibri"/>
        <family val="2"/>
        <scheme val="minor"/>
      </rPr>
      <t xml:space="preserve">outputs: </t>
    </r>
    <r>
      <rPr>
        <sz val="11"/>
        <color theme="1"/>
        <rFont val="Calibri"/>
        <family val="2"/>
        <scheme val="minor"/>
      </rPr>
      <t xml:space="preserve">
SAP02_ConfirmationNum Payment Confirmation Number (i.e. 300000000105) </t>
    </r>
  </si>
  <si>
    <r>
      <rPr>
        <b/>
        <sz val="11"/>
        <rFont val="Calibri"/>
        <family val="2"/>
        <scheme val="minor"/>
      </rPr>
      <t>SAP HANA – SAP01_GetMember</t>
    </r>
    <r>
      <rPr>
        <sz val="11"/>
        <rFont val="Calibri"/>
        <family val="2"/>
        <scheme val="minor"/>
      </rPr>
      <t xml:space="preserve">
</t>
    </r>
    <r>
      <rPr>
        <b/>
        <sz val="11"/>
        <rFont val="Calibri"/>
        <family val="2"/>
        <scheme val="minor"/>
      </rPr>
      <t>inputs:</t>
    </r>
    <r>
      <rPr>
        <sz val="11"/>
        <rFont val="Calibri"/>
        <family val="2"/>
        <scheme val="minor"/>
      </rPr>
      <t xml:space="preserve">
idnumber = iIdnumber	T
idtype 	= iIdtype
</t>
    </r>
    <r>
      <rPr>
        <b/>
        <sz val="11"/>
        <rFont val="Calibri"/>
        <family val="2"/>
        <scheme val="minor"/>
      </rPr>
      <t>outputs:</t>
    </r>
    <r>
      <rPr>
        <sz val="11"/>
        <rFont val="Calibri"/>
        <family val="2"/>
        <scheme val="minor"/>
      </rPr>
      <t xml:space="preserve">
~ Billing Reference
~ Enrollment Details
~ Billing Details
~ Last Payment
~ Recurring Payment Method
~ Stored Payment Method</t>
    </r>
  </si>
  <si>
    <r>
      <t xml:space="preserve">SAP HANA - SAP03_CardPaymentNotification
</t>
    </r>
    <r>
      <rPr>
        <sz val="11"/>
        <color theme="1"/>
        <rFont val="Calibri"/>
        <family val="2"/>
        <scheme val="minor"/>
      </rPr>
      <t>inputs:
Businesspartner   = SAP01_Partner
Insobject                 = SAP01_Insobject
subscriberID	    = CYB02_cardTokenId
Type		    = ivrCardType	             
Name                        = ivrFirstName + ' ' + ivrLastName				
Expiration	    = ivrExpiration 
Recurring	    = ivrRecurring  
Stored		    = ivrPmtMethodStored  
Last4Digits	    = ivrLast4Digits 
Paymentamount  = ivrPmtAmt 
ReferenceNumber= CYB02_approvalCode
outputs:
SAP03_ConfirmationNum  Payment Confirmation Number</t>
    </r>
  </si>
  <si>
    <t>SAP05</t>
  </si>
  <si>
    <r>
      <rPr>
        <b/>
        <sz val="11"/>
        <color theme="1"/>
        <rFont val="Calibri"/>
        <family val="2"/>
        <scheme val="minor"/>
      </rPr>
      <t xml:space="preserve">SAP HANA - SAP04_CreateEFTPaymentMethod
inputs:
</t>
    </r>
    <r>
      <rPr>
        <sz val="11"/>
        <color theme="1"/>
        <rFont val="Calibri"/>
        <family val="2"/>
        <scheme val="minor"/>
      </rPr>
      <t xml:space="preserve">Businesspartner	= SAP01_Partner
Insobject		= SAP01_Insobject
BankKey		= ivrBankKey
BankAcct		= ivrBankAcct
Accountholder	= SAP01_NameFirst + ' ' + SAP01_NameLast 
BankAccountType	= ivrBankAccountType
RecurringBank	= "X"
StoredBank	= "X"
DeleteBank	= " "
</t>
    </r>
    <r>
      <rPr>
        <b/>
        <sz val="11"/>
        <color theme="1"/>
        <rFont val="Calibri"/>
        <family val="2"/>
        <scheme val="minor"/>
      </rPr>
      <t>outputs:</t>
    </r>
    <r>
      <rPr>
        <sz val="11"/>
        <color theme="1"/>
        <rFont val="Calibri"/>
        <family val="2"/>
        <scheme val="minor"/>
      </rPr>
      <t xml:space="preserve">
SAP04_ConfirmationNum</t>
    </r>
  </si>
  <si>
    <r>
      <rPr>
        <b/>
        <sz val="11"/>
        <color theme="1"/>
        <rFont val="Calibri"/>
        <family val="2"/>
        <scheme val="minor"/>
      </rPr>
      <t>SAP HANA – SAP05_CreateCardPaymentMethod</t>
    </r>
    <r>
      <rPr>
        <sz val="11"/>
        <color theme="1"/>
        <rFont val="Calibri"/>
        <family val="2"/>
        <scheme val="minor"/>
      </rPr>
      <t xml:space="preserve">
</t>
    </r>
    <r>
      <rPr>
        <b/>
        <sz val="11"/>
        <color theme="1"/>
        <rFont val="Calibri"/>
        <family val="2"/>
        <scheme val="minor"/>
      </rPr>
      <t>inputs:</t>
    </r>
    <r>
      <rPr>
        <sz val="11"/>
        <color theme="1"/>
        <rFont val="Calibri"/>
        <family val="2"/>
        <scheme val="minor"/>
      </rPr>
      <t xml:space="preserve">
Businesspartner = SAP01_Partner
Insobject = SAP01_Insobject
CardNumber = CYB03_cardTokenId	
CreditcardnameName  = ivrFirstName + ' ' + ivrLastName
CardType = ivrCardType	
CardExpiration	= ivrExpiration 	
Last4Digits = ivrLast4Digits    
RecurringCarD  = "X"          	
StoredCard = "X"           
DeleteCard = " "	
</t>
    </r>
    <r>
      <rPr>
        <b/>
        <sz val="11"/>
        <color theme="1"/>
        <rFont val="Calibri"/>
        <family val="2"/>
        <scheme val="minor"/>
      </rPr>
      <t>outputs:</t>
    </r>
    <r>
      <rPr>
        <sz val="11"/>
        <color theme="1"/>
        <rFont val="Calibri"/>
        <family val="2"/>
        <scheme val="minor"/>
      </rPr>
      <t xml:space="preserve">
SAP05_ConfirmationNum	
</t>
    </r>
  </si>
  <si>
    <t>CYB02</t>
  </si>
  <si>
    <t>CYB03</t>
  </si>
  <si>
    <r>
      <rPr>
        <b/>
        <sz val="11"/>
        <color theme="1"/>
        <rFont val="Calibri"/>
        <family val="2"/>
        <scheme val="minor"/>
      </rPr>
      <t>CyberSource – CYB02_AuthCard</t>
    </r>
    <r>
      <rPr>
        <sz val="11"/>
        <color theme="1"/>
        <rFont val="Calibri"/>
        <family val="2"/>
        <scheme val="minor"/>
      </rPr>
      <t xml:space="preserve">
Input a card_tokenId or a card_number.
</t>
    </r>
    <r>
      <rPr>
        <b/>
        <sz val="11"/>
        <color theme="1"/>
        <rFont val="Calibri"/>
        <family val="2"/>
        <scheme val="minor"/>
      </rPr>
      <t>inputs:</t>
    </r>
    <r>
      <rPr>
        <sz val="11"/>
        <color theme="1"/>
        <rFont val="Calibri"/>
        <family val="2"/>
        <scheme val="minor"/>
      </rPr>
      <t xml:space="preserve">
clientReference_code = IVR.sessionid+"-" +paymentCount
card_tokenId = ivrStoredCardTokenId	
card_number = ivrCardNbr
card_expirationMonth	= ivrCardExpMM		
card_expirationYear = ivrCardExpYYYY			
totalAmount = ivrPmtAmt		
first_name =
last_name =
actionTokenizeFlag = true		
</t>
    </r>
    <r>
      <rPr>
        <b/>
        <sz val="11"/>
        <color theme="1"/>
        <rFont val="Calibri"/>
        <family val="2"/>
        <scheme val="minor"/>
      </rPr>
      <t>outputs:</t>
    </r>
    <r>
      <rPr>
        <sz val="11"/>
        <color theme="1"/>
        <rFont val="Calibri"/>
        <family val="2"/>
        <scheme val="minor"/>
      </rPr>
      <t xml:space="preserve">
CYB02_submitTimeUtc	
CYB02_id	
CYB02_status	
CYB02_approvalCode					
CYB02_responseCode	
CYB02_errorReason
CYB02_errorMesssage
CYB02_cardTokenId	</t>
    </r>
  </si>
  <si>
    <t>Account Number</t>
  </si>
  <si>
    <t>Account Number No Match x3</t>
  </si>
  <si>
    <t>Friday</t>
  </si>
  <si>
    <t>YES</t>
  </si>
  <si>
    <t>$$ Amount</t>
  </si>
  <si>
    <t>No</t>
  </si>
  <si>
    <t>1610-1</t>
  </si>
  <si>
    <t>Valid Account Number</t>
  </si>
  <si>
    <t>DIAl</t>
  </si>
  <si>
    <t>Acct Number</t>
  </si>
  <si>
    <t>Checking</t>
  </si>
  <si>
    <t>Routing Number</t>
  </si>
  <si>
    <t>Credit</t>
  </si>
  <si>
    <t>CC Nbr</t>
  </si>
  <si>
    <t>Exp Date</t>
  </si>
  <si>
    <t>Acct Nbr</t>
  </si>
  <si>
    <t>Account with Balance - Partial Payment</t>
  </si>
  <si>
    <t>Yes</t>
  </si>
  <si>
    <t>Recurring Declined - Make Payment</t>
  </si>
  <si>
    <t>Recurring Declined - No Payment</t>
  </si>
  <si>
    <t>Account with Balance - Do Not Use Stored Pmt</t>
  </si>
  <si>
    <t>Account with Balance - Use stored Pmt Method</t>
  </si>
  <si>
    <t>Recurring Update Information - Checking</t>
  </si>
  <si>
    <t>Recurring Update Information - Credit</t>
  </si>
  <si>
    <t>Recurring Update Information - Debit</t>
  </si>
  <si>
    <t>Recurring Update Information - NO</t>
  </si>
  <si>
    <t xml:space="preserve">NO </t>
  </si>
  <si>
    <t>Valid Acct Nbr</t>
  </si>
  <si>
    <t>Debit</t>
  </si>
  <si>
    <t>Debit Card Nbr</t>
  </si>
  <si>
    <t>NO</t>
  </si>
  <si>
    <t>NACHA - YES</t>
  </si>
  <si>
    <t>Valid Routing Nbr</t>
  </si>
  <si>
    <t>Valid Checking Nbr</t>
  </si>
  <si>
    <t>Savings</t>
  </si>
  <si>
    <t>Valid Savings Acct</t>
  </si>
  <si>
    <t>NACHA First Prompt - NO</t>
  </si>
  <si>
    <t>NACHA Second Prompt- NO</t>
  </si>
  <si>
    <t>Valid Saving Acct</t>
  </si>
  <si>
    <t>Phone Nbr</t>
  </si>
  <si>
    <t>SMS01</t>
  </si>
  <si>
    <t>Set ivrSMSMsg=
Your payment confirmation is &lt;ivrConfirmationNum&gt;</t>
  </si>
  <si>
    <r>
      <rPr>
        <b/>
        <sz val="11"/>
        <color theme="1"/>
        <rFont val="Calibri"/>
        <family val="2"/>
        <scheme val="minor"/>
      </rPr>
      <t>CyberSource – CYB03_CreateInstrumentIdentifier</t>
    </r>
    <r>
      <rPr>
        <sz val="11"/>
        <color theme="1"/>
        <rFont val="Calibri"/>
        <family val="2"/>
        <scheme val="minor"/>
      </rPr>
      <t xml:space="preserve">
Input a card number and receive an instrumentIdentifier.
</t>
    </r>
    <r>
      <rPr>
        <b/>
        <sz val="11"/>
        <color theme="1"/>
        <rFont val="Calibri"/>
        <family val="2"/>
        <scheme val="minor"/>
      </rPr>
      <t>inputs:</t>
    </r>
    <r>
      <rPr>
        <sz val="11"/>
        <color theme="1"/>
        <rFont val="Calibri"/>
        <family val="2"/>
        <scheme val="minor"/>
      </rPr>
      <t xml:space="preserve">
card_number = ivrCardNbr		
</t>
    </r>
    <r>
      <rPr>
        <b/>
        <sz val="11"/>
        <color theme="1"/>
        <rFont val="Calibri"/>
        <family val="2"/>
        <scheme val="minor"/>
      </rPr>
      <t>outputs:</t>
    </r>
    <r>
      <rPr>
        <sz val="11"/>
        <color theme="1"/>
        <rFont val="Calibri"/>
        <family val="2"/>
        <scheme val="minor"/>
      </rPr>
      <t xml:space="preserve">
CYB03_cardTokenId			</t>
    </r>
  </si>
  <si>
    <r>
      <rPr>
        <b/>
        <sz val="11"/>
        <color theme="1"/>
        <rFont val="Calibri"/>
        <family val="2"/>
        <scheme val="minor"/>
      </rPr>
      <t>SMS - SMS01_SendSMSMsg</t>
    </r>
    <r>
      <rPr>
        <sz val="11"/>
        <color theme="1"/>
        <rFont val="Calibri"/>
        <family val="2"/>
        <scheme val="minor"/>
      </rPr>
      <t xml:space="preserve">
</t>
    </r>
    <r>
      <rPr>
        <b/>
        <sz val="11"/>
        <color theme="1"/>
        <rFont val="Calibri"/>
        <family val="2"/>
        <scheme val="minor"/>
      </rPr>
      <t xml:space="preserve">inputs: 	</t>
    </r>
    <r>
      <rPr>
        <sz val="11"/>
        <color theme="1"/>
        <rFont val="Calibri"/>
        <family val="2"/>
        <scheme val="minor"/>
      </rPr>
      <t xml:space="preserve">
from			= CFG02_BillingSMSFromPhone
to 			= ivrSMSPhoneNbr_x000B_body 		= ivrSMSMsg
</t>
    </r>
    <r>
      <rPr>
        <b/>
        <sz val="11"/>
        <color theme="1"/>
        <rFont val="Calibri"/>
        <family val="2"/>
        <scheme val="minor"/>
      </rPr>
      <t xml:space="preserve">outputs: </t>
    </r>
  </si>
  <si>
    <t>Vali Acct Nbr</t>
  </si>
  <si>
    <t>Remaining Balance - NO</t>
  </si>
  <si>
    <t>Remaining Balance - YES</t>
  </si>
  <si>
    <t>Any Amount less than what is owed</t>
  </si>
  <si>
    <t>Debit Card #</t>
  </si>
  <si>
    <t>Past Due Amt</t>
  </si>
  <si>
    <t>DTMF Test Cycle</t>
  </si>
  <si>
    <t>Account - Future Active</t>
  </si>
  <si>
    <t>Last Payment Declined No Match x3</t>
  </si>
  <si>
    <t>Last Payment Declined No Input x3</t>
  </si>
  <si>
    <t>Update Information Yes</t>
  </si>
  <si>
    <t>Update Information No</t>
  </si>
  <si>
    <t>Update Information No Input x3</t>
  </si>
  <si>
    <t>Update information No Match x3</t>
  </si>
  <si>
    <t>Get Pmt Method No Input x3</t>
  </si>
  <si>
    <t>Get Pmt Method No Match x3</t>
  </si>
  <si>
    <t>Get Route Nbr No Input x3</t>
  </si>
  <si>
    <t>Get Route Nbr No Match x3</t>
  </si>
  <si>
    <t>Confirm Route No Input x3</t>
  </si>
  <si>
    <t>Confirm Route No Match x3</t>
  </si>
  <si>
    <t>TC100</t>
  </si>
  <si>
    <t>TC101</t>
  </si>
  <si>
    <t>TC102</t>
  </si>
  <si>
    <t>TC103</t>
  </si>
  <si>
    <t>TC104</t>
  </si>
  <si>
    <t>TC105</t>
  </si>
  <si>
    <t>TC106</t>
  </si>
  <si>
    <t>TC107</t>
  </si>
  <si>
    <t>TC108</t>
  </si>
  <si>
    <t>TC109</t>
  </si>
  <si>
    <t>TC110</t>
  </si>
  <si>
    <t>TC111</t>
  </si>
  <si>
    <t>TC112</t>
  </si>
  <si>
    <t>TC113</t>
  </si>
  <si>
    <t>TC114</t>
  </si>
  <si>
    <t>TC115</t>
  </si>
  <si>
    <t>TC116</t>
  </si>
  <si>
    <t>TC117</t>
  </si>
  <si>
    <t>TC118</t>
  </si>
  <si>
    <t>TC119</t>
  </si>
  <si>
    <t>TC120</t>
  </si>
  <si>
    <t>TC121</t>
  </si>
  <si>
    <t>TC122</t>
  </si>
  <si>
    <t>TC123</t>
  </si>
  <si>
    <t>TC124</t>
  </si>
  <si>
    <t>TC125</t>
  </si>
  <si>
    <t>TC126</t>
  </si>
  <si>
    <t>Pay In Full -  Stored Mthd</t>
  </si>
  <si>
    <t>Partial Payment - Get Pmt Mthd</t>
  </si>
  <si>
    <t>NO INPUT</t>
  </si>
  <si>
    <t>Acct/Inv Nbr No Input x3</t>
  </si>
  <si>
    <t>Just enter your account number using your touchtone keypad.  If your account number includes letters, enter only the numbers.</t>
  </si>
  <si>
    <t>Using your touchtone keypad, enter the numbers one digit at a time.  Your invoice number can be found in the upper right corner of your statement.</t>
  </si>
  <si>
    <t>Let's try looking by your invoice number. Using your touchtone keypad enter the numbers one digit at a time.</t>
  </si>
  <si>
    <t>Account/Inv Nbr Not Found</t>
  </si>
  <si>
    <t>Invalid Inv Nbr</t>
  </si>
  <si>
    <t>Invalid Acct Nbr</t>
  </si>
  <si>
    <t>Account Number Found</t>
  </si>
  <si>
    <t>Valid Credt Card Nbr</t>
  </si>
  <si>
    <t>Valid Exp Date</t>
  </si>
  <si>
    <t>Valid Phone Nbr</t>
  </si>
  <si>
    <t>Valid Debit Card Nbr</t>
  </si>
  <si>
    <t>No Recurring, Current Due, Checking, SMS No</t>
  </si>
  <si>
    <t>Pay In Full/Get Amt No Input x3</t>
  </si>
  <si>
    <t>Current Due, No Past Due, No Input at all entries</t>
  </si>
  <si>
    <t>No Recurring, Past Due, Credit Card, SMS Yes, 
Pay Remaining Debit Card</t>
  </si>
  <si>
    <t>Any amt less than current due</t>
  </si>
  <si>
    <t>Current Due, No Past Due, No match except for last request
Stored Savings, SMS No</t>
  </si>
  <si>
    <t>Last Payment Declined -Make Pmt</t>
  </si>
  <si>
    <t>Last Payment Declined - No Pmt</t>
  </si>
  <si>
    <t>Do you want to use the card account on file ending in &lt;SAP01_ivrStoredPmtLast4Digits&gt;.</t>
  </si>
  <si>
    <t>If you want to use the card account on file ending in &lt;SAP01_ivrStoredPmtLast4Digits&gt;.</t>
  </si>
  <si>
    <t>Valid Route Nbr</t>
  </si>
  <si>
    <t>Recurring, Last Pmt Declined, Make Pmt -Checking, SMS No</t>
  </si>
  <si>
    <t xml:space="preserve"> NOTHING</t>
  </si>
  <si>
    <t>Recurring, Not Declined, No Last Pmt, No Update</t>
  </si>
  <si>
    <t>Recurring, Not Declined, No Last Pmt</t>
  </si>
  <si>
    <t>Stored Mthd No Match x3</t>
  </si>
  <si>
    <t>Stored Mthd No Input x3</t>
  </si>
  <si>
    <t>Stored Mthd Confirm Payment No Match x3</t>
  </si>
  <si>
    <t>Recurring, Not Declined, No Last Pmt, Update Savings
Reenter Route &amp; Acct Nbr</t>
  </si>
  <si>
    <t>No Input</t>
  </si>
  <si>
    <t>No Recurring, Current Due, Savings</t>
  </si>
  <si>
    <t>No Recurring, Current Due, Card</t>
  </si>
  <si>
    <t>No Recurring, Current Due</t>
  </si>
  <si>
    <t>No Recurring, Last Pmt, Current Due, No Stored Mthd</t>
  </si>
  <si>
    <t>Pay in Full/Get Amt No Match x2</t>
  </si>
  <si>
    <t>No Recurring, Current Due, No Stored Mthd</t>
  </si>
  <si>
    <t xml:space="preserve">DIAL </t>
  </si>
  <si>
    <t>Invoice Found</t>
  </si>
  <si>
    <t>Valid Inv Nbr</t>
  </si>
  <si>
    <t>2210-3</t>
  </si>
  <si>
    <t>Get Card - No Input x3</t>
  </si>
  <si>
    <t>No Recurring, Current Due, Store Mthd- Checking, Change Payment Type- Debit card no input</t>
  </si>
  <si>
    <t>Get Bank Confirm Acct - No Input x3</t>
  </si>
  <si>
    <t>Get Bank Nacha 1- No</t>
  </si>
  <si>
    <t>Get Bank Nacha 2- No Input x3</t>
  </si>
  <si>
    <t>Get Bank Nacha 1- No Match x3</t>
  </si>
  <si>
    <t>Get Bank - Setup Recurring No Match x3</t>
  </si>
  <si>
    <t>Valid Acct Future</t>
  </si>
  <si>
    <t>Recurring - Confirm Bank Update NO</t>
  </si>
  <si>
    <t>Recurring, No Declined, Last Pmt, Update Bank - Peg 2000 Confirm NO</t>
  </si>
  <si>
    <t>Terminated Status</t>
  </si>
  <si>
    <t>Current Due, No Stored Pmt Mthd Pay In Full</t>
  </si>
  <si>
    <t>Last Payment, Current Due, Stored Mthd, Do not pay in full</t>
  </si>
  <si>
    <t>Last Payment, Current Due, Pay In Full - No Confirm Pmt</t>
  </si>
  <si>
    <t>Last Payment, Current Due, Pay In Full - Do not use Stored Pmt</t>
  </si>
  <si>
    <t>Not declined, Last Pmt, Update Checking, Confirm YES</t>
  </si>
  <si>
    <t>Not declined, Last Pmt, Update Credit Card, Confirm YES</t>
  </si>
  <si>
    <t>Not declined, Update info - NO</t>
  </si>
  <si>
    <t>Not declined, Last Pmt, Update Debit, Setup Card-No</t>
  </si>
  <si>
    <t>Last Pmt Declined, Make Payment - yes</t>
  </si>
  <si>
    <t>Last Pmt Declined, Make Payment - no</t>
  </si>
  <si>
    <t>Last Payment, Current Due, Pay In Full, Stored Pmt, SMS Yes</t>
  </si>
  <si>
    <t>Last Payment, Current Due, Pay in Full, Stored Pmt, SMS No</t>
  </si>
  <si>
    <t>Partial Payment, Stored Pmt, SMS No, Debit Pmt Mthd for remaining balance</t>
  </si>
  <si>
    <t>Past Due Partial Payment, GetCC, SMS No</t>
  </si>
  <si>
    <t>Future Acct, Current Due, Make Payment, Checking</t>
  </si>
  <si>
    <t>Future Acct, Current Due, Make Payment, Savings</t>
  </si>
  <si>
    <t>Future Acct,  Current Due, Make Payment, Savings</t>
  </si>
  <si>
    <t>VUI Test Cycle Part 2</t>
  </si>
  <si>
    <t>VUI Test Cycle Part 1</t>
  </si>
  <si>
    <t>Ask Card Recurring - Yes</t>
  </si>
  <si>
    <t>Ask Card Recurring - No</t>
  </si>
  <si>
    <t>Pmt Declined - Yes</t>
  </si>
  <si>
    <t>Pmt Declined - No</t>
  </si>
  <si>
    <t>SMS to ANI - Yes</t>
  </si>
  <si>
    <t>SMS to ANI - No</t>
  </si>
  <si>
    <t>Card Nbr</t>
  </si>
  <si>
    <t>Get Card - Verify Card Nbr No Match x3
       Exp Date No Input x3</t>
  </si>
  <si>
    <t>Get Card - Ask Recurring - Yes</t>
  </si>
  <si>
    <t>Get Card - Ask Recurring - No</t>
  </si>
  <si>
    <t>Get Card - Confirm Pmt - No</t>
  </si>
  <si>
    <t>No recurring, Current Due, No Stored Mthd</t>
  </si>
  <si>
    <t>No Recurring, Current Due, No Stored Mthd, Enter Card</t>
  </si>
  <si>
    <t>Confirm2- Ask Phone Nbr - No Input x3</t>
  </si>
  <si>
    <t>Get Card - Pmt Decline No Match x3</t>
  </si>
  <si>
    <t>Recurring- Update Card -No Input x3</t>
  </si>
  <si>
    <t>No Decline</t>
  </si>
  <si>
    <t>Any Amt Less than owed</t>
  </si>
  <si>
    <t>Get Card Declined - Yes</t>
  </si>
  <si>
    <t>Get Card Declined - No</t>
  </si>
  <si>
    <t xml:space="preserve">No </t>
  </si>
  <si>
    <t>SMS to ANI- NO</t>
  </si>
  <si>
    <t>SMS to ANI - YES</t>
  </si>
  <si>
    <t>Current Due, No Stored Pmt Mthd, SMS to ANI, Use Diff Phone Nbr</t>
  </si>
  <si>
    <t>Current Due, No Stored Pmt Mthd, SMS to ANI, Do not Use Diff Phone Nbr</t>
  </si>
  <si>
    <t>SMS to ANI - No Match x3</t>
  </si>
  <si>
    <t>Remaining balance, Do not use diff phone number</t>
  </si>
  <si>
    <t>SMS FAIL</t>
  </si>
  <si>
    <t>Current Due, Stored Mthd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</si>
</sst>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35" x14ac:knownFonts="1">
    <font>
      <sz val="11"/>
      <color theme="1"/>
      <name val="Calibri"/>
      <family val="2"/>
      <scheme val="minor"/>
    </font>
    <font>
      <sz val="11"/>
      <color theme="1"/>
      <name val="Calibri"/>
      <family val="2"/>
      <scheme val="minor"/>
    </font>
    <font>
      <b/>
      <sz val="11"/>
      <color theme="1"/>
      <name val="Calibri"/>
      <family val="2"/>
      <scheme val="minor"/>
    </font>
    <font>
      <b/>
      <u/>
      <sz val="36"/>
      <color rgb="FF013C7D"/>
      <name val="Calibri"/>
      <family val="2"/>
      <scheme val="minor"/>
    </font>
    <font>
      <b/>
      <sz val="22"/>
      <color theme="0"/>
      <name val="Calibri"/>
      <family val="2"/>
      <scheme val="minor"/>
    </font>
    <font>
      <sz val="14"/>
      <color theme="1"/>
      <name val="Calibri"/>
      <family val="2"/>
      <scheme val="minor"/>
    </font>
    <font>
      <u/>
      <sz val="11"/>
      <color theme="10"/>
      <name val="Calibri"/>
      <family val="2"/>
    </font>
    <font>
      <b/>
      <u/>
      <sz val="20"/>
      <color rgb="FF013C7D"/>
      <name val="Calibri"/>
      <family val="2"/>
    </font>
    <font>
      <u/>
      <sz val="11"/>
      <color theme="10"/>
      <name val="Calibri"/>
      <family val="2"/>
      <scheme val="minor"/>
    </font>
    <font>
      <u/>
      <sz val="16"/>
      <color theme="10"/>
      <name val="Calibri"/>
      <family val="2"/>
      <scheme val="minor"/>
    </font>
    <font>
      <b/>
      <sz val="11"/>
      <name val="Calibri"/>
      <family val="2"/>
      <scheme val="minor"/>
    </font>
    <font>
      <sz val="11"/>
      <color theme="1"/>
      <name val="Calibri"/>
      <family val="2"/>
    </font>
    <font>
      <b/>
      <u/>
      <sz val="14"/>
      <color theme="10"/>
      <name val="Calibri"/>
      <family val="2"/>
      <scheme val="minor"/>
    </font>
    <font>
      <b/>
      <sz val="12"/>
      <color theme="0"/>
      <name val="Calibri"/>
      <family val="2"/>
      <scheme val="minor"/>
    </font>
    <font>
      <b/>
      <sz val="11"/>
      <color rgb="FFFF0000"/>
      <name val="Calibri"/>
      <family val="2"/>
    </font>
    <font>
      <sz val="8"/>
      <color theme="1"/>
      <name val="Calibri"/>
      <family val="2"/>
      <scheme val="minor"/>
    </font>
    <font>
      <sz val="8"/>
      <color theme="1"/>
      <name val="Calibri"/>
      <family val="2"/>
    </font>
    <font>
      <sz val="6"/>
      <color theme="1"/>
      <name val="Calibri"/>
      <family val="2"/>
      <scheme val="minor"/>
    </font>
    <font>
      <sz val="11"/>
      <name val="Calibri"/>
      <family val="2"/>
      <scheme val="minor"/>
    </font>
    <font>
      <sz val="11"/>
      <color theme="1"/>
      <name val="Calibri"/>
      <family val="2"/>
      <scheme val="minor"/>
    </font>
    <font>
      <b/>
      <sz val="11"/>
      <color rgb="FF00B050"/>
      <name val="Calibri"/>
      <family val="2"/>
      <scheme val="minor"/>
    </font>
    <font>
      <u/>
      <sz val="16"/>
      <color theme="10"/>
      <name val="Calibri"/>
      <family val="2"/>
      <scheme val="minor"/>
    </font>
    <font>
      <b/>
      <sz val="11"/>
      <color theme="1"/>
      <name val="Calibri"/>
      <family val="2"/>
      <scheme val="minor"/>
    </font>
    <font>
      <sz val="11"/>
      <color theme="1"/>
      <name val="Calibri"/>
      <family val="2"/>
      <scheme val="minor"/>
    </font>
    <font>
      <sz val="11"/>
      <name val="Calibri"/>
      <family val="2"/>
      <scheme val="minor"/>
    </font>
    <font>
      <b/>
      <sz val="11"/>
      <name val="Calibri"/>
      <family val="2"/>
      <scheme val="minor"/>
    </font>
    <font>
      <u/>
      <sz val="11"/>
      <color theme="11"/>
      <name val="Calibri"/>
      <family val="2"/>
      <scheme val="minor"/>
    </font>
    <font>
      <sz val="6"/>
      <color theme="1"/>
      <name val="Calibri"/>
      <family val="2"/>
      <scheme val="minor"/>
    </font>
    <font>
      <sz val="8"/>
      <color theme="1"/>
      <name val="Calibri"/>
      <family val="2"/>
      <scheme val="minor"/>
    </font>
    <font>
      <b/>
      <sz val="11"/>
      <color theme="0" tint="-0.34998626667073579"/>
      <name val="Calibri"/>
      <family val="2"/>
      <scheme val="minor"/>
    </font>
    <font>
      <sz val="8"/>
      <name val="Calibri"/>
      <family val="2"/>
      <scheme val="minor"/>
    </font>
    <font>
      <sz val="11"/>
      <color rgb="FF7AB648"/>
      <name val="Calibri"/>
      <family val="2"/>
      <scheme val="minor"/>
    </font>
    <font>
      <sz val="11"/>
      <name val="Calibri"/>
      <family val="2"/>
    </font>
    <font>
      <sz val="11"/>
      <color rgb="FFFF0000"/>
      <name val="Calibri"/>
      <family val="2"/>
    </font>
    <font>
      <b/>
      <sz val="11"/>
      <color rgb="FFFF0000"/>
      <name val="Calibri"/>
      <family val="2"/>
      <scheme val="minor"/>
    </font>
  </fonts>
  <fills count="5">
    <fill>
      <patternFill patternType="none"/>
    </fill>
    <fill>
      <patternFill patternType="gray125"/>
    </fill>
    <fill>
      <patternFill patternType="solid">
        <fgColor theme="2" tint="-0.499984740745262"/>
        <bgColor indexed="64"/>
      </patternFill>
    </fill>
    <fill>
      <patternFill patternType="solid">
        <fgColor theme="2" tint="-0.249977111117893"/>
        <bgColor theme="0" tint="-0.14999847407452621"/>
      </patternFill>
    </fill>
    <fill>
      <patternFill patternType="solid">
        <fgColor theme="0" tint="-0.14999847407452621"/>
        <bgColor indexed="64"/>
      </patternFill>
    </fill>
  </fills>
  <borders count="23">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style="medium">
        <color indexed="64"/>
      </right>
      <top style="thin">
        <color indexed="64"/>
      </top>
      <bottom style="thin">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diagonal/>
    </border>
    <border>
      <left/>
      <right/>
      <top style="thin">
        <color indexed="64"/>
      </top>
      <bottom style="thin">
        <color indexed="64"/>
      </bottom>
      <diagonal/>
    </border>
    <border>
      <left style="thin">
        <color indexed="64"/>
      </left>
      <right style="thin">
        <color indexed="64"/>
      </right>
      <top style="thin">
        <color indexed="64"/>
      </top>
      <bottom/>
      <diagonal/>
    </border>
  </borders>
  <cellStyleXfs count="1264">
    <xf numFmtId="0" fontId="0" fillId="0" borderId="0"/>
    <xf numFmtId="0" fontId="6" fillId="0" borderId="0" applyNumberFormat="0" applyFill="0" applyBorder="0" applyAlignment="0" applyProtection="0"/>
    <xf numFmtId="0" fontId="8" fillId="0" borderId="0" applyNumberFormat="0" applyFill="0" applyBorder="0" applyAlignment="0" applyProtection="0"/>
    <xf numFmtId="0" fontId="6"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1" fillId="0" borderId="0"/>
    <xf numFmtId="0" fontId="1" fillId="0" borderId="0"/>
    <xf numFmtId="0" fontId="1" fillId="0" borderId="0"/>
    <xf numFmtId="0" fontId="1" fillId="0" borderId="0"/>
    <xf numFmtId="0" fontId="11" fillId="0" borderId="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cellStyleXfs>
  <cellXfs count="195">
    <xf numFmtId="0" fontId="0" fillId="0" borderId="0" xfId="0"/>
    <xf numFmtId="0" fontId="0" fillId="0" borderId="0" xfId="0" applyProtection="1"/>
    <xf numFmtId="0" fontId="4" fillId="2" borderId="10" xfId="0" applyFont="1" applyFill="1" applyBorder="1" applyAlignment="1">
      <alignment horizontal="center"/>
    </xf>
    <xf numFmtId="0" fontId="4" fillId="2" borderId="10" xfId="0" applyFont="1" applyFill="1" applyBorder="1" applyAlignment="1">
      <alignment horizontal="center" vertical="center" wrapText="1"/>
    </xf>
    <xf numFmtId="0" fontId="5" fillId="0" borderId="0" xfId="0" applyFont="1"/>
    <xf numFmtId="0" fontId="0" fillId="0" borderId="12" xfId="0" applyFont="1" applyFill="1" applyBorder="1" applyAlignment="1">
      <alignment horizontal="center" vertical="center"/>
    </xf>
    <xf numFmtId="0" fontId="2" fillId="0" borderId="12" xfId="0" applyFont="1" applyFill="1" applyBorder="1" applyAlignment="1">
      <alignment horizontal="center" vertical="center" wrapText="1"/>
    </xf>
    <xf numFmtId="0" fontId="9" fillId="0" borderId="14" xfId="2" applyFont="1" applyFill="1" applyBorder="1" applyAlignment="1">
      <alignment horizontal="center" vertical="center"/>
    </xf>
    <xf numFmtId="0" fontId="1" fillId="0" borderId="14" xfId="0" applyFont="1" applyFill="1" applyBorder="1" applyAlignment="1">
      <alignment horizontal="center" vertical="center"/>
    </xf>
    <xf numFmtId="0" fontId="2" fillId="0" borderId="14" xfId="0" applyFont="1" applyFill="1" applyBorder="1" applyAlignment="1">
      <alignment horizontal="center" vertical="center" wrapText="1"/>
    </xf>
    <xf numFmtId="0" fontId="0" fillId="0" borderId="14" xfId="0" applyFont="1" applyFill="1" applyBorder="1" applyAlignment="1">
      <alignment horizontal="left" vertical="center" wrapText="1"/>
    </xf>
    <xf numFmtId="0" fontId="0" fillId="0" borderId="14" xfId="0" applyFont="1" applyFill="1" applyBorder="1" applyAlignment="1">
      <alignment horizontal="center" vertical="center"/>
    </xf>
    <xf numFmtId="0" fontId="0" fillId="0" borderId="14" xfId="0" applyFont="1" applyFill="1" applyBorder="1" applyAlignment="1">
      <alignment horizontal="center" vertical="center" wrapText="1"/>
    </xf>
    <xf numFmtId="0" fontId="9" fillId="0" borderId="15" xfId="2" applyFont="1" applyFill="1" applyBorder="1" applyAlignment="1">
      <alignment horizontal="center" vertical="center"/>
    </xf>
    <xf numFmtId="0" fontId="0" fillId="0" borderId="16" xfId="0" applyFont="1" applyFill="1" applyBorder="1" applyAlignment="1">
      <alignment horizontal="center" vertical="center"/>
    </xf>
    <xf numFmtId="0" fontId="0" fillId="0" borderId="17" xfId="0" applyFont="1" applyFill="1" applyBorder="1" applyAlignment="1">
      <alignment horizontal="center" vertical="center" wrapText="1"/>
    </xf>
    <xf numFmtId="0" fontId="0" fillId="0" borderId="0" xfId="0" applyFont="1"/>
    <xf numFmtId="0" fontId="2" fillId="0" borderId="16" xfId="0" applyFont="1" applyFill="1" applyBorder="1" applyAlignment="1">
      <alignment horizontal="center" vertical="center" wrapText="1"/>
    </xf>
    <xf numFmtId="0" fontId="0" fillId="0" borderId="12" xfId="0" applyFont="1" applyBorder="1" applyAlignment="1">
      <alignment horizontal="left" vertical="center" wrapText="1"/>
    </xf>
    <xf numFmtId="0" fontId="12" fillId="0" borderId="0" xfId="2" applyFont="1" applyBorder="1" applyAlignment="1">
      <alignment vertical="center"/>
    </xf>
    <xf numFmtId="0" fontId="0" fillId="4" borderId="16" xfId="0" applyFill="1" applyBorder="1"/>
    <xf numFmtId="0" fontId="0" fillId="0" borderId="16" xfId="0" applyBorder="1" applyAlignment="1">
      <alignment horizontal="left"/>
    </xf>
    <xf numFmtId="0" fontId="0" fillId="0" borderId="0" xfId="0" applyAlignment="1">
      <alignment horizontal="left" vertical="center"/>
    </xf>
    <xf numFmtId="0" fontId="0" fillId="4" borderId="12" xfId="0" applyFill="1" applyBorder="1"/>
    <xf numFmtId="0" fontId="0" fillId="0" borderId="12" xfId="0" applyBorder="1" applyAlignment="1">
      <alignment horizontal="left"/>
    </xf>
    <xf numFmtId="0" fontId="0" fillId="0" borderId="11" xfId="0" applyBorder="1" applyAlignment="1">
      <alignment horizontal="center" vertical="center"/>
    </xf>
    <xf numFmtId="0" fontId="0" fillId="0" borderId="0" xfId="0" applyBorder="1" applyAlignment="1">
      <alignment horizontal="left" vertical="center" wrapText="1"/>
    </xf>
    <xf numFmtId="0" fontId="0" fillId="0" borderId="0" xfId="0" applyAlignment="1">
      <alignment horizontal="left" vertical="center" wrapText="1"/>
    </xf>
    <xf numFmtId="0" fontId="0" fillId="0" borderId="0" xfId="0" applyAlignment="1">
      <alignment horizontal="center"/>
    </xf>
    <xf numFmtId="0" fontId="0" fillId="0" borderId="0" xfId="0" applyAlignment="1">
      <alignment vertical="center"/>
    </xf>
    <xf numFmtId="0" fontId="0" fillId="0" borderId="0" xfId="0" applyAlignment="1">
      <alignment horizontal="center" wrapText="1"/>
    </xf>
    <xf numFmtId="0" fontId="0" fillId="0" borderId="0" xfId="0" applyAlignment="1">
      <alignment horizontal="center" vertical="center"/>
    </xf>
    <xf numFmtId="0" fontId="16" fillId="0" borderId="13" xfId="0" applyFont="1" applyBorder="1" applyAlignment="1">
      <alignment horizontal="center" vertical="center"/>
    </xf>
    <xf numFmtId="0" fontId="0" fillId="0" borderId="0" xfId="0" applyFont="1" applyAlignment="1">
      <alignment horizontal="center" vertical="center"/>
    </xf>
    <xf numFmtId="164" fontId="2" fillId="0" borderId="13" xfId="0" applyNumberFormat="1" applyFont="1" applyBorder="1" applyAlignment="1">
      <alignment horizontal="center" vertical="center" wrapText="1"/>
    </xf>
    <xf numFmtId="0" fontId="2" fillId="0" borderId="12" xfId="0" applyFont="1" applyBorder="1" applyAlignment="1">
      <alignment horizontal="center" vertical="center"/>
    </xf>
    <xf numFmtId="0" fontId="2" fillId="0" borderId="12" xfId="0" applyFont="1" applyFill="1" applyBorder="1" applyAlignment="1">
      <alignment horizontal="center" vertical="center"/>
    </xf>
    <xf numFmtId="0" fontId="2" fillId="0" borderId="16" xfId="0" applyFont="1" applyFill="1" applyBorder="1" applyAlignment="1">
      <alignment horizontal="center" vertical="center"/>
    </xf>
    <xf numFmtId="0" fontId="0" fillId="0" borderId="12" xfId="0" applyBorder="1" applyAlignment="1">
      <alignment horizontal="left" vertical="center" wrapText="1"/>
    </xf>
    <xf numFmtId="0" fontId="0" fillId="4" borderId="12" xfId="0" applyFill="1" applyBorder="1" applyAlignment="1">
      <alignment wrapText="1"/>
    </xf>
    <xf numFmtId="0" fontId="0" fillId="0" borderId="0" xfId="0"/>
    <xf numFmtId="0" fontId="0" fillId="0" borderId="0" xfId="0"/>
    <xf numFmtId="0" fontId="0" fillId="0" borderId="0" xfId="0"/>
    <xf numFmtId="0" fontId="19" fillId="0" borderId="17" xfId="0" applyFont="1" applyFill="1" applyBorder="1" applyAlignment="1">
      <alignment horizontal="center" vertical="center" wrapText="1"/>
    </xf>
    <xf numFmtId="0" fontId="10" fillId="0" borderId="12" xfId="0" applyFont="1" applyFill="1" applyBorder="1" applyAlignment="1">
      <alignment horizontal="center" vertical="center" wrapText="1"/>
    </xf>
    <xf numFmtId="0" fontId="0" fillId="0" borderId="12" xfId="0" applyFont="1" applyFill="1" applyBorder="1" applyAlignment="1">
      <alignment horizontal="center" vertical="center" wrapText="1"/>
    </xf>
    <xf numFmtId="0" fontId="20" fillId="0" borderId="17" xfId="0" applyFont="1" applyFill="1" applyBorder="1" applyAlignment="1">
      <alignment horizontal="center" vertical="center" wrapText="1"/>
    </xf>
    <xf numFmtId="0" fontId="18" fillId="0" borderId="17" xfId="0" applyFont="1" applyFill="1" applyBorder="1" applyAlignment="1">
      <alignment horizontal="center" vertical="center" wrapText="1"/>
    </xf>
    <xf numFmtId="0" fontId="18" fillId="0" borderId="13" xfId="0" applyFont="1" applyFill="1" applyBorder="1" applyAlignment="1">
      <alignment horizontal="center" vertical="center" wrapText="1"/>
    </xf>
    <xf numFmtId="0" fontId="18" fillId="0" borderId="12" xfId="0" applyFont="1" applyFill="1" applyBorder="1" applyAlignment="1">
      <alignment horizontal="center" vertical="center"/>
    </xf>
    <xf numFmtId="0" fontId="18" fillId="0" borderId="13" xfId="0" applyFont="1" applyFill="1" applyBorder="1" applyAlignment="1">
      <alignment vertical="center"/>
    </xf>
    <xf numFmtId="0" fontId="20" fillId="0" borderId="17" xfId="0" applyFont="1" applyFill="1" applyBorder="1" applyAlignment="1">
      <alignment vertical="center" wrapText="1"/>
    </xf>
    <xf numFmtId="0" fontId="10" fillId="0" borderId="17" xfId="0" applyFont="1" applyFill="1" applyBorder="1" applyAlignment="1">
      <alignment vertical="center" wrapText="1"/>
    </xf>
    <xf numFmtId="0" fontId="22" fillId="0" borderId="12" xfId="0" applyFont="1" applyFill="1" applyBorder="1" applyAlignment="1">
      <alignment horizontal="center" vertical="center" wrapText="1"/>
    </xf>
    <xf numFmtId="0" fontId="21" fillId="0" borderId="0" xfId="2" applyFont="1" applyFill="1" applyBorder="1" applyAlignment="1">
      <alignment horizontal="center" vertical="center"/>
    </xf>
    <xf numFmtId="0" fontId="22" fillId="0" borderId="0" xfId="0" applyFont="1" applyFill="1" applyBorder="1" applyAlignment="1">
      <alignment horizontal="center" vertical="center" wrapText="1"/>
    </xf>
    <xf numFmtId="0" fontId="2" fillId="0" borderId="21" xfId="0" applyFont="1" applyFill="1" applyBorder="1" applyAlignment="1">
      <alignment horizontal="center" vertical="center" wrapText="1"/>
    </xf>
    <xf numFmtId="0" fontId="24" fillId="0" borderId="13" xfId="0" applyFont="1" applyFill="1" applyBorder="1" applyAlignment="1">
      <alignment horizontal="center" vertical="center" wrapText="1"/>
    </xf>
    <xf numFmtId="0" fontId="25" fillId="0" borderId="12" xfId="0" applyFont="1" applyFill="1" applyBorder="1" applyAlignment="1">
      <alignment horizontal="center" vertical="center" wrapText="1"/>
    </xf>
    <xf numFmtId="0" fontId="0" fillId="0" borderId="12" xfId="0" applyFill="1" applyBorder="1" applyAlignment="1">
      <alignment horizontal="center" vertical="center"/>
    </xf>
    <xf numFmtId="0" fontId="23" fillId="0" borderId="13" xfId="0" applyFont="1" applyFill="1" applyBorder="1" applyAlignment="1">
      <alignment vertical="center"/>
    </xf>
    <xf numFmtId="0" fontId="21" fillId="0" borderId="19" xfId="2" applyFont="1" applyFill="1" applyBorder="1" applyAlignment="1">
      <alignment horizontal="center" vertical="center"/>
    </xf>
    <xf numFmtId="0" fontId="25" fillId="0" borderId="22" xfId="0" applyFont="1" applyFill="1" applyBorder="1" applyAlignment="1">
      <alignment horizontal="center" vertical="center" wrapText="1"/>
    </xf>
    <xf numFmtId="0" fontId="22" fillId="0" borderId="22" xfId="0" applyFont="1" applyFill="1" applyBorder="1" applyAlignment="1">
      <alignment horizontal="center" vertical="center" wrapText="1"/>
    </xf>
    <xf numFmtId="0" fontId="0" fillId="0" borderId="22" xfId="0" applyFont="1" applyFill="1" applyBorder="1" applyAlignment="1">
      <alignment horizontal="center" vertical="center" wrapText="1"/>
    </xf>
    <xf numFmtId="0" fontId="0" fillId="0" borderId="22" xfId="0" applyFill="1" applyBorder="1" applyAlignment="1">
      <alignment horizontal="center" vertical="center"/>
    </xf>
    <xf numFmtId="0" fontId="23" fillId="0" borderId="20" xfId="0" applyFont="1" applyFill="1" applyBorder="1" applyAlignment="1">
      <alignment vertical="center"/>
    </xf>
    <xf numFmtId="0" fontId="25" fillId="0" borderId="0" xfId="0" applyFont="1" applyFill="1" applyBorder="1" applyAlignment="1">
      <alignment horizontal="center" vertical="center" wrapText="1"/>
    </xf>
    <xf numFmtId="0" fontId="0" fillId="0" borderId="0" xfId="0" applyFont="1" applyFill="1" applyBorder="1" applyAlignment="1">
      <alignment horizontal="center" vertical="center" wrapText="1"/>
    </xf>
    <xf numFmtId="0" fontId="0" fillId="0" borderId="0" xfId="0" applyFill="1" applyBorder="1" applyAlignment="1">
      <alignment horizontal="center" vertical="center"/>
    </xf>
    <xf numFmtId="0" fontId="23" fillId="0" borderId="0" xfId="0" applyFont="1" applyFill="1" applyBorder="1" applyAlignment="1">
      <alignment vertical="center"/>
    </xf>
    <xf numFmtId="0" fontId="23" fillId="0" borderId="22" xfId="0" applyFont="1" applyFill="1" applyBorder="1" applyAlignment="1">
      <alignment horizontal="left" vertical="center" wrapText="1"/>
    </xf>
    <xf numFmtId="0" fontId="23" fillId="0" borderId="18" xfId="0" applyFont="1" applyFill="1" applyBorder="1" applyAlignment="1">
      <alignment horizontal="center" vertical="center" wrapText="1"/>
    </xf>
    <xf numFmtId="0" fontId="0" fillId="0" borderId="22" xfId="0" applyFont="1" applyFill="1" applyBorder="1" applyAlignment="1">
      <alignment horizontal="left" vertical="center" wrapText="1"/>
    </xf>
    <xf numFmtId="0" fontId="9" fillId="0" borderId="19" xfId="2" applyFont="1" applyFill="1" applyBorder="1" applyAlignment="1">
      <alignment horizontal="center" vertical="center"/>
    </xf>
    <xf numFmtId="0" fontId="2" fillId="0" borderId="22" xfId="0" applyFont="1" applyFill="1" applyBorder="1" applyAlignment="1">
      <alignment horizontal="center" vertical="center" wrapText="1"/>
    </xf>
    <xf numFmtId="0" fontId="0" fillId="0" borderId="18" xfId="0" applyFont="1" applyFill="1" applyBorder="1" applyAlignment="1">
      <alignment horizontal="center" vertical="center" wrapText="1"/>
    </xf>
    <xf numFmtId="0" fontId="0" fillId="0" borderId="12" xfId="0" applyBorder="1" applyAlignment="1">
      <alignment horizontal="left" wrapText="1"/>
    </xf>
    <xf numFmtId="164" fontId="2" fillId="0" borderId="12" xfId="0" applyNumberFormat="1" applyFont="1" applyBorder="1" applyAlignment="1">
      <alignment horizontal="center" vertical="center"/>
    </xf>
    <xf numFmtId="0" fontId="0" fillId="0" borderId="0" xfId="0" applyFill="1" applyAlignment="1">
      <alignment vertical="center"/>
    </xf>
    <xf numFmtId="0" fontId="0" fillId="0" borderId="0" xfId="0"/>
    <xf numFmtId="164" fontId="2" fillId="0" borderId="12" xfId="0" applyNumberFormat="1" applyFont="1" applyBorder="1" applyAlignment="1">
      <alignment horizontal="center" vertical="center"/>
    </xf>
    <xf numFmtId="0" fontId="0" fillId="0" borderId="0" xfId="0"/>
    <xf numFmtId="0" fontId="0" fillId="0" borderId="0" xfId="0" applyAlignment="1">
      <alignment horizontal="left" vertical="center"/>
    </xf>
    <xf numFmtId="0" fontId="0" fillId="0" borderId="12" xfId="0" applyBorder="1" applyAlignment="1">
      <alignment horizontal="left" vertical="center" wrapText="1"/>
    </xf>
    <xf numFmtId="0" fontId="13" fillId="2" borderId="15" xfId="0" applyFont="1" applyFill="1" applyBorder="1" applyAlignment="1">
      <alignment horizontal="center"/>
    </xf>
    <xf numFmtId="0" fontId="13" fillId="2" borderId="16" xfId="0" applyFont="1" applyFill="1" applyBorder="1" applyAlignment="1">
      <alignment horizontal="center"/>
    </xf>
    <xf numFmtId="0" fontId="13" fillId="2" borderId="17" xfId="0" applyFont="1" applyFill="1" applyBorder="1" applyAlignment="1">
      <alignment horizontal="center" vertical="center" wrapText="1"/>
    </xf>
    <xf numFmtId="0" fontId="13" fillId="2" borderId="17" xfId="0" applyFont="1" applyFill="1" applyBorder="1" applyAlignment="1">
      <alignment horizontal="center"/>
    </xf>
    <xf numFmtId="0" fontId="0" fillId="4" borderId="12" xfId="0" applyFill="1" applyBorder="1"/>
    <xf numFmtId="0" fontId="12" fillId="0" borderId="0" xfId="2" applyFont="1" applyBorder="1" applyAlignment="1">
      <alignment vertical="center"/>
    </xf>
    <xf numFmtId="0" fontId="0" fillId="4" borderId="16" xfId="0" applyFill="1" applyBorder="1"/>
    <xf numFmtId="0" fontId="0" fillId="0" borderId="16" xfId="0" applyBorder="1" applyAlignment="1">
      <alignment horizontal="left"/>
    </xf>
    <xf numFmtId="0" fontId="0" fillId="0" borderId="12" xfId="0" applyBorder="1" applyAlignment="1">
      <alignment wrapText="1"/>
    </xf>
    <xf numFmtId="0" fontId="0" fillId="0" borderId="0" xfId="0" applyFont="1" applyAlignment="1">
      <alignment horizontal="center" vertical="center"/>
    </xf>
    <xf numFmtId="0" fontId="0" fillId="0" borderId="12" xfId="0" applyBorder="1" applyAlignment="1">
      <alignment horizontal="left"/>
    </xf>
    <xf numFmtId="0" fontId="0" fillId="4" borderId="12" xfId="0" applyFill="1" applyBorder="1" applyAlignment="1">
      <alignment wrapText="1"/>
    </xf>
    <xf numFmtId="0" fontId="0" fillId="0" borderId="0" xfId="0"/>
    <xf numFmtId="0" fontId="0" fillId="0" borderId="0" xfId="0" applyAlignment="1">
      <alignment horizontal="left" vertical="center"/>
    </xf>
    <xf numFmtId="0" fontId="0" fillId="0" borderId="12" xfId="0" applyBorder="1" applyAlignment="1">
      <alignment horizontal="left" vertical="center" wrapText="1"/>
    </xf>
    <xf numFmtId="0" fontId="13" fillId="2" borderId="15" xfId="0" applyFont="1" applyFill="1" applyBorder="1" applyAlignment="1">
      <alignment horizontal="center"/>
    </xf>
    <xf numFmtId="0" fontId="13" fillId="2" borderId="16" xfId="0" applyFont="1" applyFill="1" applyBorder="1" applyAlignment="1">
      <alignment horizontal="center"/>
    </xf>
    <xf numFmtId="0" fontId="13" fillId="2" borderId="17" xfId="0" applyFont="1" applyFill="1" applyBorder="1" applyAlignment="1">
      <alignment horizontal="center" vertical="center" wrapText="1"/>
    </xf>
    <xf numFmtId="0" fontId="13" fillId="2" borderId="17" xfId="0" applyFont="1" applyFill="1" applyBorder="1" applyAlignment="1">
      <alignment horizontal="center"/>
    </xf>
    <xf numFmtId="0" fontId="0" fillId="4" borderId="12" xfId="0" applyFill="1" applyBorder="1"/>
    <xf numFmtId="0" fontId="12" fillId="0" borderId="0" xfId="2" applyFont="1" applyBorder="1" applyAlignment="1">
      <alignment vertical="center"/>
    </xf>
    <xf numFmtId="0" fontId="0" fillId="4" borderId="16" xfId="0" applyFill="1" applyBorder="1"/>
    <xf numFmtId="0" fontId="0" fillId="0" borderId="16" xfId="0" applyBorder="1" applyAlignment="1">
      <alignment horizontal="left"/>
    </xf>
    <xf numFmtId="0" fontId="0" fillId="0" borderId="12" xfId="0" applyFont="1" applyFill="1" applyBorder="1" applyAlignment="1">
      <alignment horizontal="center" vertical="center"/>
    </xf>
    <xf numFmtId="0" fontId="0" fillId="0" borderId="12" xfId="0" applyFont="1" applyFill="1" applyBorder="1" applyAlignment="1">
      <alignment horizontal="left" vertical="center" wrapText="1"/>
    </xf>
    <xf numFmtId="0" fontId="2" fillId="0" borderId="12" xfId="0" applyFont="1" applyFill="1" applyBorder="1" applyAlignment="1">
      <alignment horizontal="center" vertical="center" wrapText="1"/>
    </xf>
    <xf numFmtId="0" fontId="0" fillId="0" borderId="0" xfId="0" applyFont="1" applyAlignment="1">
      <alignment horizontal="center" vertical="center"/>
    </xf>
    <xf numFmtId="0" fontId="0" fillId="0" borderId="12" xfId="0" applyBorder="1" applyAlignment="1">
      <alignment horizontal="left"/>
    </xf>
    <xf numFmtId="0" fontId="0" fillId="4" borderId="12" xfId="0" applyFill="1" applyBorder="1" applyAlignment="1">
      <alignment wrapText="1"/>
    </xf>
    <xf numFmtId="0" fontId="2" fillId="0" borderId="12" xfId="0" applyFont="1" applyBorder="1" applyAlignment="1">
      <alignment horizontal="center" vertical="center"/>
    </xf>
    <xf numFmtId="164" fontId="2" fillId="0" borderId="12" xfId="0" applyNumberFormat="1" applyFont="1" applyBorder="1" applyAlignment="1">
      <alignment horizontal="center" vertical="center"/>
    </xf>
    <xf numFmtId="164" fontId="2" fillId="0" borderId="12" xfId="0" applyNumberFormat="1" applyFont="1" applyFill="1" applyBorder="1" applyAlignment="1">
      <alignment horizontal="center" vertical="center" wrapText="1"/>
    </xf>
    <xf numFmtId="164" fontId="2" fillId="0" borderId="12" xfId="0" applyNumberFormat="1" applyFont="1" applyFill="1" applyBorder="1" applyAlignment="1">
      <alignment horizontal="center" vertical="center"/>
    </xf>
    <xf numFmtId="0" fontId="0" fillId="0" borderId="11" xfId="0" applyFill="1" applyBorder="1" applyAlignment="1">
      <alignment horizontal="center" vertical="center"/>
    </xf>
    <xf numFmtId="0" fontId="15" fillId="0" borderId="0" xfId="0" applyFont="1" applyAlignment="1">
      <alignment vertical="center" wrapText="1"/>
    </xf>
    <xf numFmtId="0" fontId="0" fillId="0" borderId="0" xfId="0" applyAlignment="1">
      <alignment vertical="center"/>
    </xf>
    <xf numFmtId="164" fontId="0" fillId="0" borderId="0" xfId="0" applyNumberFormat="1" applyAlignment="1">
      <alignment horizontal="center" vertical="center" wrapText="1"/>
    </xf>
    <xf numFmtId="0" fontId="17" fillId="0" borderId="0" xfId="0" applyFont="1" applyAlignment="1">
      <alignment vertical="center" wrapText="1"/>
    </xf>
    <xf numFmtId="0" fontId="27" fillId="0" borderId="0" xfId="0" applyFont="1" applyAlignment="1">
      <alignment vertical="center" wrapText="1"/>
    </xf>
    <xf numFmtId="0" fontId="28" fillId="0" borderId="0" xfId="0" applyFont="1" applyAlignment="1">
      <alignment vertical="center" wrapText="1"/>
    </xf>
    <xf numFmtId="0" fontId="16" fillId="0" borderId="13" xfId="0" applyFont="1" applyFill="1" applyBorder="1" applyAlignment="1">
      <alignment horizontal="center" vertical="center"/>
    </xf>
    <xf numFmtId="0" fontId="0" fillId="0" borderId="17" xfId="0" applyFont="1" applyFill="1" applyBorder="1" applyAlignment="1">
      <alignment horizontal="left" vertical="center" wrapText="1"/>
    </xf>
    <xf numFmtId="0" fontId="14" fillId="0" borderId="12" xfId="0" applyFont="1" applyFill="1" applyBorder="1" applyAlignment="1">
      <alignment horizontal="left" vertical="center" wrapText="1"/>
    </xf>
    <xf numFmtId="164" fontId="14" fillId="0" borderId="12" xfId="0" applyNumberFormat="1" applyFont="1" applyFill="1" applyBorder="1" applyAlignment="1">
      <alignment horizontal="center" vertical="center" wrapText="1"/>
    </xf>
    <xf numFmtId="164" fontId="10" fillId="0" borderId="13" xfId="0" applyNumberFormat="1" applyFont="1" applyFill="1" applyBorder="1" applyAlignment="1">
      <alignment horizontal="center" vertical="center" wrapText="1"/>
    </xf>
    <xf numFmtId="0" fontId="18" fillId="0" borderId="12" xfId="0" applyFont="1" applyFill="1" applyBorder="1" applyAlignment="1">
      <alignment horizontal="left" vertical="center" wrapText="1"/>
    </xf>
    <xf numFmtId="0" fontId="18" fillId="0" borderId="12" xfId="0" applyFont="1" applyBorder="1" applyAlignment="1">
      <alignment vertical="center"/>
    </xf>
    <xf numFmtId="0" fontId="18" fillId="0" borderId="12" xfId="0" applyFont="1" applyBorder="1" applyAlignment="1">
      <alignment vertical="center" wrapText="1"/>
    </xf>
    <xf numFmtId="0" fontId="18" fillId="0" borderId="12" xfId="0" applyFont="1" applyBorder="1"/>
    <xf numFmtId="0" fontId="18" fillId="0" borderId="12" xfId="0" applyFont="1" applyFill="1" applyBorder="1" applyAlignment="1">
      <alignment vertical="center" wrapText="1"/>
    </xf>
    <xf numFmtId="0" fontId="15" fillId="0" borderId="0" xfId="0" applyFont="1" applyFill="1" applyAlignment="1">
      <alignment vertical="center" wrapText="1"/>
    </xf>
    <xf numFmtId="0" fontId="0" fillId="0" borderId="0" xfId="0" applyFill="1"/>
    <xf numFmtId="164" fontId="0" fillId="0" borderId="0" xfId="0" applyNumberFormat="1" applyAlignment="1">
      <alignment horizontal="left" vertical="center" wrapText="1"/>
    </xf>
    <xf numFmtId="0" fontId="18" fillId="0" borderId="12" xfId="0" applyFont="1" applyBorder="1" applyAlignment="1">
      <alignment wrapText="1"/>
    </xf>
    <xf numFmtId="0" fontId="2" fillId="0" borderId="0" xfId="0" applyFont="1" applyAlignment="1">
      <alignment vertical="center" wrapText="1"/>
    </xf>
    <xf numFmtId="0" fontId="0" fillId="0" borderId="0" xfId="0" applyFont="1" applyAlignment="1">
      <alignment vertical="center" wrapText="1"/>
    </xf>
    <xf numFmtId="164" fontId="32" fillId="0" borderId="12" xfId="0" applyNumberFormat="1" applyFont="1" applyFill="1" applyBorder="1" applyAlignment="1">
      <alignment horizontal="center" vertical="center" wrapText="1"/>
    </xf>
    <xf numFmtId="164" fontId="0" fillId="0" borderId="12" xfId="0" applyNumberFormat="1" applyFont="1" applyFill="1" applyBorder="1" applyAlignment="1">
      <alignment horizontal="center" vertical="center" wrapText="1"/>
    </xf>
    <xf numFmtId="164" fontId="0" fillId="0" borderId="12" xfId="0" applyNumberFormat="1" applyFont="1" applyFill="1" applyBorder="1" applyAlignment="1">
      <alignment horizontal="center" vertical="center"/>
    </xf>
    <xf numFmtId="164" fontId="0" fillId="0" borderId="0" xfId="0" applyNumberFormat="1" applyAlignment="1">
      <alignment horizontal="center" vertical="center"/>
    </xf>
    <xf numFmtId="164" fontId="18" fillId="0" borderId="12" xfId="0" applyNumberFormat="1" applyFont="1" applyBorder="1" applyAlignment="1">
      <alignment horizontal="left" vertical="center" wrapText="1"/>
    </xf>
    <xf numFmtId="0" fontId="0" fillId="0" borderId="12" xfId="0" applyFont="1" applyBorder="1" applyAlignment="1">
      <alignment vertical="center" wrapText="1"/>
    </xf>
    <xf numFmtId="0" fontId="2" fillId="0" borderId="22" xfId="0" applyFont="1" applyBorder="1" applyAlignment="1">
      <alignment horizontal="center" vertical="center"/>
    </xf>
    <xf numFmtId="0" fontId="0" fillId="0" borderId="22" xfId="0" applyFill="1" applyBorder="1" applyAlignment="1">
      <alignment horizontal="left" vertical="center" wrapText="1"/>
    </xf>
    <xf numFmtId="164" fontId="0" fillId="0" borderId="0" xfId="0" applyNumberFormat="1" applyFont="1" applyBorder="1" applyAlignment="1">
      <alignment horizontal="center" vertical="center"/>
    </xf>
    <xf numFmtId="0" fontId="0" fillId="0" borderId="20" xfId="0" applyFont="1" applyBorder="1" applyAlignment="1">
      <alignment horizontal="center" vertical="center"/>
    </xf>
    <xf numFmtId="164" fontId="33" fillId="0" borderId="12" xfId="0" applyNumberFormat="1" applyFont="1" applyFill="1" applyBorder="1" applyAlignment="1">
      <alignment horizontal="center" vertical="center" wrapText="1"/>
    </xf>
    <xf numFmtId="164" fontId="0" fillId="0" borderId="0" xfId="0" applyNumberFormat="1" applyFont="1" applyAlignment="1">
      <alignment horizontal="center" vertical="center"/>
    </xf>
    <xf numFmtId="164" fontId="0" fillId="0" borderId="12" xfId="0" applyNumberFormat="1" applyFont="1" applyBorder="1" applyAlignment="1">
      <alignment horizontal="center" vertical="center"/>
    </xf>
    <xf numFmtId="0" fontId="15" fillId="0" borderId="0" xfId="0" applyFont="1" applyAlignment="1">
      <alignment horizontal="left" vertical="center" wrapText="1"/>
    </xf>
    <xf numFmtId="0" fontId="2" fillId="0" borderId="21" xfId="0" applyFont="1" applyFill="1" applyBorder="1"/>
    <xf numFmtId="0" fontId="2" fillId="0" borderId="21" xfId="0" applyFont="1" applyFill="1" applyBorder="1" applyAlignment="1">
      <alignment horizontal="center"/>
    </xf>
    <xf numFmtId="0" fontId="9" fillId="0" borderId="0" xfId="2" applyFont="1" applyFill="1" applyBorder="1" applyAlignment="1">
      <alignment horizontal="center" vertical="center"/>
    </xf>
    <xf numFmtId="0" fontId="2" fillId="0" borderId="14" xfId="0" applyFont="1" applyFill="1" applyBorder="1" applyAlignment="1">
      <alignment horizontal="center" vertical="center"/>
    </xf>
    <xf numFmtId="0" fontId="18" fillId="0" borderId="14" xfId="0" applyFont="1" applyFill="1" applyBorder="1" applyAlignment="1">
      <alignment horizontal="center" vertical="center" wrapText="1"/>
    </xf>
    <xf numFmtId="0" fontId="2" fillId="0" borderId="22" xfId="0" applyFont="1" applyFill="1" applyBorder="1" applyAlignment="1">
      <alignment horizontal="center" vertical="center"/>
    </xf>
    <xf numFmtId="0" fontId="0" fillId="0" borderId="22" xfId="0" applyFont="1" applyFill="1" applyBorder="1" applyAlignment="1">
      <alignment horizontal="center" vertical="center"/>
    </xf>
    <xf numFmtId="0" fontId="18" fillId="0" borderId="20" xfId="0" applyFont="1" applyFill="1" applyBorder="1" applyAlignment="1">
      <alignment horizontal="center" vertical="center" wrapText="1"/>
    </xf>
    <xf numFmtId="0" fontId="2" fillId="0" borderId="14" xfId="0" applyFont="1" applyFill="1" applyBorder="1" applyAlignment="1">
      <alignment horizontal="center"/>
    </xf>
    <xf numFmtId="164" fontId="18" fillId="0" borderId="12" xfId="0" applyNumberFormat="1" applyFont="1" applyFill="1" applyBorder="1" applyAlignment="1">
      <alignment horizontal="center" vertical="center" wrapText="1"/>
    </xf>
    <xf numFmtId="164" fontId="18" fillId="0" borderId="12" xfId="0" applyNumberFormat="1" applyFont="1" applyFill="1" applyBorder="1" applyAlignment="1">
      <alignment horizontal="center" vertical="center"/>
    </xf>
    <xf numFmtId="0" fontId="2" fillId="0" borderId="12" xfId="0" applyFont="1" applyFill="1" applyBorder="1" applyAlignment="1">
      <alignment horizontal="left" vertical="center" wrapText="1"/>
    </xf>
    <xf numFmtId="164" fontId="18" fillId="0" borderId="12" xfId="0" applyNumberFormat="1" applyFont="1" applyBorder="1" applyAlignment="1">
      <alignment horizontal="center" vertical="center"/>
    </xf>
    <xf numFmtId="0" fontId="2" fillId="0" borderId="14" xfId="0" applyFont="1" applyFill="1" applyBorder="1"/>
    <xf numFmtId="0" fontId="34" fillId="0" borderId="12" xfId="0" applyFont="1" applyFill="1" applyBorder="1" applyAlignment="1">
      <alignment horizontal="left" vertical="center" wrapText="1"/>
    </xf>
    <xf numFmtId="0" fontId="0" fillId="0" borderId="13" xfId="0" applyFont="1" applyFill="1" applyBorder="1" applyAlignment="1">
      <alignment horizontal="left" vertical="center" wrapText="1"/>
    </xf>
    <xf numFmtId="0" fontId="7" fillId="3" borderId="4" xfId="1" applyFont="1" applyFill="1" applyBorder="1" applyAlignment="1">
      <alignment horizontal="center" vertical="center"/>
    </xf>
    <xf numFmtId="0" fontId="7" fillId="3" borderId="0" xfId="1" applyFont="1" applyFill="1" applyBorder="1" applyAlignment="1">
      <alignment horizontal="center" vertical="center"/>
    </xf>
    <xf numFmtId="0" fontId="7" fillId="3" borderId="5" xfId="1" applyFont="1" applyFill="1" applyBorder="1" applyAlignment="1">
      <alignment horizontal="center" vertical="center"/>
    </xf>
    <xf numFmtId="0" fontId="29" fillId="0" borderId="1" xfId="0" applyFont="1" applyBorder="1" applyAlignment="1" applyProtection="1">
      <alignment horizontal="center" vertical="center"/>
    </xf>
    <xf numFmtId="0" fontId="2" fillId="0" borderId="2" xfId="0" applyFont="1" applyBorder="1" applyAlignment="1" applyProtection="1">
      <alignment horizontal="center" vertical="center"/>
    </xf>
    <xf numFmtId="0" fontId="2" fillId="0" borderId="4" xfId="0" applyFont="1" applyBorder="1" applyAlignment="1" applyProtection="1">
      <alignment horizontal="center" vertical="center"/>
    </xf>
    <xf numFmtId="0" fontId="2" fillId="0" borderId="5" xfId="0" applyFont="1" applyBorder="1" applyAlignment="1" applyProtection="1">
      <alignment horizontal="center" vertical="center"/>
    </xf>
    <xf numFmtId="0" fontId="2" fillId="0" borderId="7" xfId="0" applyFont="1" applyBorder="1" applyAlignment="1" applyProtection="1">
      <alignment horizontal="center" vertical="center"/>
    </xf>
    <xf numFmtId="0" fontId="2" fillId="0" borderId="8" xfId="0" applyFont="1" applyBorder="1" applyAlignment="1" applyProtection="1">
      <alignment horizontal="center" vertical="center"/>
    </xf>
    <xf numFmtId="0" fontId="3" fillId="0" borderId="1" xfId="0" applyFont="1" applyBorder="1" applyAlignment="1" applyProtection="1">
      <alignment horizontal="center" vertical="center" wrapText="1"/>
    </xf>
    <xf numFmtId="0" fontId="3" fillId="0" borderId="2" xfId="0" applyFont="1" applyBorder="1" applyAlignment="1" applyProtection="1">
      <alignment horizontal="center" vertical="center" wrapText="1"/>
    </xf>
    <xf numFmtId="0" fontId="3" fillId="0" borderId="4" xfId="0" applyFont="1" applyBorder="1" applyAlignment="1" applyProtection="1">
      <alignment horizontal="center" vertical="center" wrapText="1"/>
    </xf>
    <xf numFmtId="0" fontId="3" fillId="0" borderId="5" xfId="0" applyFont="1" applyBorder="1" applyAlignment="1" applyProtection="1">
      <alignment horizontal="center" vertical="center" wrapText="1"/>
    </xf>
    <xf numFmtId="0" fontId="3" fillId="0" borderId="7" xfId="0" applyFont="1" applyBorder="1" applyAlignment="1" applyProtection="1">
      <alignment horizontal="center" vertical="center" wrapText="1"/>
    </xf>
    <xf numFmtId="0" fontId="3" fillId="0" borderId="8" xfId="0" applyFont="1" applyBorder="1" applyAlignment="1" applyProtection="1">
      <alignment horizontal="center" vertical="center" wrapText="1"/>
    </xf>
    <xf numFmtId="0" fontId="0" fillId="0" borderId="3" xfId="0" applyBorder="1" applyAlignment="1" applyProtection="1">
      <alignment horizontal="center"/>
    </xf>
    <xf numFmtId="0" fontId="0" fillId="0" borderId="6" xfId="0" applyBorder="1" applyAlignment="1" applyProtection="1">
      <alignment horizontal="center"/>
    </xf>
    <xf numFmtId="0" fontId="0" fillId="0" borderId="9" xfId="0" applyBorder="1" applyAlignment="1" applyProtection="1">
      <alignment horizontal="center"/>
    </xf>
    <xf numFmtId="0" fontId="0" fillId="0" borderId="3" xfId="0" applyFont="1" applyBorder="1" applyAlignment="1" applyProtection="1">
      <alignment horizontal="center"/>
    </xf>
    <xf numFmtId="0" fontId="0" fillId="0" borderId="6" xfId="0" applyFont="1" applyBorder="1" applyAlignment="1" applyProtection="1">
      <alignment horizontal="center"/>
    </xf>
    <xf numFmtId="0" fontId="0" fillId="0" borderId="9" xfId="0" applyFont="1" applyBorder="1" applyAlignment="1" applyProtection="1">
      <alignment horizontal="center"/>
    </xf>
    <xf numFmtId="0" fontId="12" fillId="0" borderId="12" xfId="2" applyFont="1" applyBorder="1" applyAlignment="1">
      <alignment horizontal="center" vertical="center"/>
    </xf>
    <xf numFmtId="0" fontId="12" fillId="0" borderId="13" xfId="2" applyFont="1" applyBorder="1" applyAlignment="1">
      <alignment horizontal="center" vertical="center"/>
    </xf>
    <xf numFmtId="0" fontId="12" fillId="0" borderId="11" xfId="2" applyFont="1" applyBorder="1" applyAlignment="1">
      <alignment horizontal="center" vertical="center"/>
    </xf>
  </cellXfs>
  <cellStyles count="1264">
    <cellStyle name="Followed Hyperlink" xfId="16"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1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3" builtinId="9" hidden="1"/>
    <cellStyle name="Followed Hyperlink" xfId="114" builtinId="9" hidden="1"/>
    <cellStyle name="Followed Hyperlink" xfId="67" builtinId="9" hidden="1"/>
    <cellStyle name="Followed Hyperlink" xfId="115" builtinId="9" hidden="1"/>
    <cellStyle name="Followed Hyperlink" xfId="116" builtinId="9" hidden="1"/>
    <cellStyle name="Followed Hyperlink" xfId="117" builtinId="9" hidden="1"/>
    <cellStyle name="Followed Hyperlink" xfId="118" builtinId="9" hidden="1"/>
    <cellStyle name="Followed Hyperlink" xfId="119" builtinId="9" hidden="1"/>
    <cellStyle name="Followed Hyperlink" xfId="120" builtinId="9" hidden="1"/>
    <cellStyle name="Followed Hyperlink" xfId="121" builtinId="9" hidden="1"/>
    <cellStyle name="Followed Hyperlink" xfId="122" builtinId="9" hidden="1"/>
    <cellStyle name="Followed Hyperlink" xfId="123" builtinId="9" hidden="1"/>
    <cellStyle name="Followed Hyperlink" xfId="124" builtinId="9" hidden="1"/>
    <cellStyle name="Followed Hyperlink" xfId="125" builtinId="9" hidden="1"/>
    <cellStyle name="Followed Hyperlink" xfId="126" builtinId="9" hidden="1"/>
    <cellStyle name="Followed Hyperlink" xfId="127" builtinId="9" hidden="1"/>
    <cellStyle name="Followed Hyperlink" xfId="128" builtinId="9" hidden="1"/>
    <cellStyle name="Followed Hyperlink" xfId="129" builtinId="9" hidden="1"/>
    <cellStyle name="Followed Hyperlink" xfId="130" builtinId="9" hidden="1"/>
    <cellStyle name="Followed Hyperlink" xfId="131" builtinId="9" hidden="1"/>
    <cellStyle name="Followed Hyperlink" xfId="132" builtinId="9" hidden="1"/>
    <cellStyle name="Followed Hyperlink" xfId="133" builtinId="9" hidden="1"/>
    <cellStyle name="Followed Hyperlink" xfId="134"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19"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258"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4" builtinId="9" hidden="1"/>
    <cellStyle name="Followed Hyperlink" xfId="415" builtinId="9" hidden="1"/>
    <cellStyle name="Followed Hyperlink" xfId="416" builtinId="9" hidden="1"/>
    <cellStyle name="Followed Hyperlink" xfId="417" builtinId="9" hidden="1"/>
    <cellStyle name="Followed Hyperlink" xfId="418" builtinId="9" hidden="1"/>
    <cellStyle name="Followed Hyperlink" xfId="419" builtinId="9" hidden="1"/>
    <cellStyle name="Followed Hyperlink" xfId="420" builtinId="9" hidden="1"/>
    <cellStyle name="Followed Hyperlink" xfId="421" builtinId="9" hidden="1"/>
    <cellStyle name="Followed Hyperlink" xfId="422" builtinId="9" hidden="1"/>
    <cellStyle name="Followed Hyperlink" xfId="423" builtinId="9" hidden="1"/>
    <cellStyle name="Followed Hyperlink" xfId="424" builtinId="9" hidden="1"/>
    <cellStyle name="Followed Hyperlink" xfId="425" builtinId="9" hidden="1"/>
    <cellStyle name="Followed Hyperlink" xfId="426" builtinId="9" hidden="1"/>
    <cellStyle name="Followed Hyperlink" xfId="427" builtinId="9" hidden="1"/>
    <cellStyle name="Followed Hyperlink" xfId="428" builtinId="9" hidden="1"/>
    <cellStyle name="Followed Hyperlink" xfId="429" builtinId="9" hidden="1"/>
    <cellStyle name="Followed Hyperlink" xfId="430" builtinId="9" hidden="1"/>
    <cellStyle name="Followed Hyperlink" xfId="431" builtinId="9" hidden="1"/>
    <cellStyle name="Followed Hyperlink" xfId="432" builtinId="9" hidden="1"/>
    <cellStyle name="Followed Hyperlink" xfId="433" builtinId="9" hidden="1"/>
    <cellStyle name="Followed Hyperlink" xfId="434" builtinId="9" hidden="1"/>
    <cellStyle name="Followed Hyperlink" xfId="435" builtinId="9" hidden="1"/>
    <cellStyle name="Followed Hyperlink" xfId="436" builtinId="9" hidden="1"/>
    <cellStyle name="Followed Hyperlink" xfId="437" builtinId="9" hidden="1"/>
    <cellStyle name="Followed Hyperlink" xfId="438" builtinId="9" hidden="1"/>
    <cellStyle name="Followed Hyperlink" xfId="439" builtinId="9" hidden="1"/>
    <cellStyle name="Followed Hyperlink" xfId="440" builtinId="9" hidden="1"/>
    <cellStyle name="Followed Hyperlink" xfId="441" builtinId="9" hidden="1"/>
    <cellStyle name="Followed Hyperlink" xfId="442" builtinId="9" hidden="1"/>
    <cellStyle name="Followed Hyperlink" xfId="443" builtinId="9" hidden="1"/>
    <cellStyle name="Followed Hyperlink" xfId="444" builtinId="9" hidden="1"/>
    <cellStyle name="Followed Hyperlink" xfId="445" builtinId="9" hidden="1"/>
    <cellStyle name="Followed Hyperlink" xfId="446" builtinId="9" hidden="1"/>
    <cellStyle name="Followed Hyperlink" xfId="447" builtinId="9" hidden="1"/>
    <cellStyle name="Followed Hyperlink" xfId="448" builtinId="9" hidden="1"/>
    <cellStyle name="Followed Hyperlink" xfId="449" builtinId="9" hidden="1"/>
    <cellStyle name="Followed Hyperlink" xfId="450" builtinId="9" hidden="1"/>
    <cellStyle name="Followed Hyperlink" xfId="451" builtinId="9" hidden="1"/>
    <cellStyle name="Followed Hyperlink" xfId="452" builtinId="9" hidden="1"/>
    <cellStyle name="Followed Hyperlink" xfId="453" builtinId="9" hidden="1"/>
    <cellStyle name="Followed Hyperlink" xfId="454" builtinId="9" hidden="1"/>
    <cellStyle name="Followed Hyperlink" xfId="455" builtinId="9" hidden="1"/>
    <cellStyle name="Followed Hyperlink" xfId="456" builtinId="9" hidden="1"/>
    <cellStyle name="Followed Hyperlink" xfId="457" builtinId="9" hidden="1"/>
    <cellStyle name="Followed Hyperlink" xfId="458" builtinId="9" hidden="1"/>
    <cellStyle name="Followed Hyperlink" xfId="459" builtinId="9" hidden="1"/>
    <cellStyle name="Followed Hyperlink" xfId="460" builtinId="9" hidden="1"/>
    <cellStyle name="Followed Hyperlink" xfId="461" builtinId="9" hidden="1"/>
    <cellStyle name="Followed Hyperlink" xfId="462" builtinId="9" hidden="1"/>
    <cellStyle name="Followed Hyperlink" xfId="463" builtinId="9" hidden="1"/>
    <cellStyle name="Followed Hyperlink" xfId="464" builtinId="9" hidden="1"/>
    <cellStyle name="Followed Hyperlink" xfId="465" builtinId="9" hidden="1"/>
    <cellStyle name="Followed Hyperlink" xfId="466" builtinId="9" hidden="1"/>
    <cellStyle name="Followed Hyperlink" xfId="467" builtinId="9" hidden="1"/>
    <cellStyle name="Followed Hyperlink" xfId="468" builtinId="9" hidden="1"/>
    <cellStyle name="Followed Hyperlink" xfId="469" builtinId="9" hidden="1"/>
    <cellStyle name="Followed Hyperlink" xfId="470" builtinId="9" hidden="1"/>
    <cellStyle name="Followed Hyperlink" xfId="471" builtinId="9" hidden="1"/>
    <cellStyle name="Followed Hyperlink" xfId="472" builtinId="9" hidden="1"/>
    <cellStyle name="Followed Hyperlink" xfId="473" builtinId="9" hidden="1"/>
    <cellStyle name="Followed Hyperlink" xfId="474" builtinId="9" hidden="1"/>
    <cellStyle name="Followed Hyperlink" xfId="475" builtinId="9" hidden="1"/>
    <cellStyle name="Followed Hyperlink" xfId="476" builtinId="9" hidden="1"/>
    <cellStyle name="Followed Hyperlink" xfId="477" builtinId="9" hidden="1"/>
    <cellStyle name="Followed Hyperlink" xfId="478" builtinId="9" hidden="1"/>
    <cellStyle name="Followed Hyperlink" xfId="479" builtinId="9" hidden="1"/>
    <cellStyle name="Followed Hyperlink" xfId="480" builtinId="9" hidden="1"/>
    <cellStyle name="Followed Hyperlink" xfId="481" builtinId="9" hidden="1"/>
    <cellStyle name="Followed Hyperlink" xfId="482" builtinId="9" hidden="1"/>
    <cellStyle name="Followed Hyperlink" xfId="483" builtinId="9" hidden="1"/>
    <cellStyle name="Followed Hyperlink" xfId="484" builtinId="9" hidden="1"/>
    <cellStyle name="Followed Hyperlink" xfId="485" builtinId="9" hidden="1"/>
    <cellStyle name="Followed Hyperlink" xfId="486" builtinId="9" hidden="1"/>
    <cellStyle name="Followed Hyperlink" xfId="487" builtinId="9" hidden="1"/>
    <cellStyle name="Followed Hyperlink" xfId="488" builtinId="9" hidden="1"/>
    <cellStyle name="Followed Hyperlink" xfId="489" builtinId="9" hidden="1"/>
    <cellStyle name="Followed Hyperlink" xfId="490" builtinId="9" hidden="1"/>
    <cellStyle name="Followed Hyperlink" xfId="491" builtinId="9" hidden="1"/>
    <cellStyle name="Followed Hyperlink" xfId="492" builtinId="9" hidden="1"/>
    <cellStyle name="Followed Hyperlink" xfId="493" builtinId="9" hidden="1"/>
    <cellStyle name="Followed Hyperlink" xfId="494" builtinId="9" hidden="1"/>
    <cellStyle name="Followed Hyperlink" xfId="495" builtinId="9" hidden="1"/>
    <cellStyle name="Followed Hyperlink" xfId="496" builtinId="9" hidden="1"/>
    <cellStyle name="Followed Hyperlink" xfId="497" builtinId="9" hidden="1"/>
    <cellStyle name="Followed Hyperlink" xfId="498" builtinId="9" hidden="1"/>
    <cellStyle name="Followed Hyperlink" xfId="499" builtinId="9" hidden="1"/>
    <cellStyle name="Followed Hyperlink" xfId="500" builtinId="9" hidden="1"/>
    <cellStyle name="Followed Hyperlink" xfId="501" builtinId="9" hidden="1"/>
    <cellStyle name="Followed Hyperlink" xfId="502" builtinId="9" hidden="1"/>
    <cellStyle name="Followed Hyperlink" xfId="503" builtinId="9" hidden="1"/>
    <cellStyle name="Followed Hyperlink" xfId="504" builtinId="9" hidden="1"/>
    <cellStyle name="Followed Hyperlink" xfId="505" builtinId="9" hidden="1"/>
    <cellStyle name="Followed Hyperlink" xfId="506" builtinId="9" hidden="1"/>
    <cellStyle name="Followed Hyperlink" xfId="507" builtinId="9" hidden="1"/>
    <cellStyle name="Followed Hyperlink" xfId="508" builtinId="9" hidden="1"/>
    <cellStyle name="Followed Hyperlink" xfId="509" builtinId="9" hidden="1"/>
    <cellStyle name="Followed Hyperlink" xfId="510" builtinId="9" hidden="1"/>
    <cellStyle name="Followed Hyperlink" xfId="511" builtinId="9" hidden="1"/>
    <cellStyle name="Followed Hyperlink" xfId="512" builtinId="9" hidden="1"/>
    <cellStyle name="Followed Hyperlink" xfId="513" builtinId="9" hidden="1"/>
    <cellStyle name="Followed Hyperlink" xfId="514" builtinId="9" hidden="1"/>
    <cellStyle name="Followed Hyperlink" xfId="515" builtinId="9" hidden="1"/>
    <cellStyle name="Followed Hyperlink" xfId="516" builtinId="9" hidden="1"/>
    <cellStyle name="Followed Hyperlink" xfId="517" builtinId="9" hidden="1"/>
    <cellStyle name="Followed Hyperlink" xfId="518" builtinId="9" hidden="1"/>
    <cellStyle name="Followed Hyperlink" xfId="519" builtinId="9" hidden="1"/>
    <cellStyle name="Followed Hyperlink" xfId="520" builtinId="9" hidden="1"/>
    <cellStyle name="Followed Hyperlink" xfId="521" builtinId="9" hidden="1"/>
    <cellStyle name="Followed Hyperlink" xfId="522" builtinId="9" hidden="1"/>
    <cellStyle name="Followed Hyperlink" xfId="523" builtinId="9" hidden="1"/>
    <cellStyle name="Followed Hyperlink" xfId="524" builtinId="9" hidden="1"/>
    <cellStyle name="Followed Hyperlink" xfId="525" builtinId="9" hidden="1"/>
    <cellStyle name="Followed Hyperlink" xfId="526" builtinId="9" hidden="1"/>
    <cellStyle name="Followed Hyperlink" xfId="527" builtinId="9" hidden="1"/>
    <cellStyle name="Followed Hyperlink" xfId="528" builtinId="9" hidden="1"/>
    <cellStyle name="Followed Hyperlink" xfId="529" builtinId="9" hidden="1"/>
    <cellStyle name="Followed Hyperlink" xfId="530" builtinId="9" hidden="1"/>
    <cellStyle name="Followed Hyperlink" xfId="531" builtinId="9" hidden="1"/>
    <cellStyle name="Followed Hyperlink" xfId="532" builtinId="9" hidden="1"/>
    <cellStyle name="Followed Hyperlink" xfId="533" builtinId="9" hidden="1"/>
    <cellStyle name="Followed Hyperlink" xfId="534" builtinId="9" hidden="1"/>
    <cellStyle name="Followed Hyperlink" xfId="535" builtinId="9" hidden="1"/>
    <cellStyle name="Followed Hyperlink" xfId="536" builtinId="9" hidden="1"/>
    <cellStyle name="Followed Hyperlink" xfId="537" builtinId="9" hidden="1"/>
    <cellStyle name="Followed Hyperlink" xfId="538" builtinId="9" hidden="1"/>
    <cellStyle name="Followed Hyperlink" xfId="539" builtinId="9" hidden="1"/>
    <cellStyle name="Followed Hyperlink" xfId="540" builtinId="9" hidden="1"/>
    <cellStyle name="Followed Hyperlink" xfId="541" builtinId="9" hidden="1"/>
    <cellStyle name="Followed Hyperlink" xfId="542" builtinId="9" hidden="1"/>
    <cellStyle name="Followed Hyperlink" xfId="543" builtinId="9" hidden="1"/>
    <cellStyle name="Followed Hyperlink" xfId="544" builtinId="9" hidden="1"/>
    <cellStyle name="Followed Hyperlink" xfId="18" builtinId="9" hidden="1"/>
    <cellStyle name="Followed Hyperlink" xfId="546" builtinId="9" hidden="1"/>
    <cellStyle name="Followed Hyperlink" xfId="547" builtinId="9" hidden="1"/>
    <cellStyle name="Followed Hyperlink" xfId="548" builtinId="9" hidden="1"/>
    <cellStyle name="Followed Hyperlink" xfId="549" builtinId="9" hidden="1"/>
    <cellStyle name="Followed Hyperlink" xfId="550" builtinId="9" hidden="1"/>
    <cellStyle name="Followed Hyperlink" xfId="551" builtinId="9" hidden="1"/>
    <cellStyle name="Followed Hyperlink" xfId="552" builtinId="9" hidden="1"/>
    <cellStyle name="Followed Hyperlink" xfId="553" builtinId="9" hidden="1"/>
    <cellStyle name="Followed Hyperlink" xfId="554" builtinId="9" hidden="1"/>
    <cellStyle name="Followed Hyperlink" xfId="555" builtinId="9" hidden="1"/>
    <cellStyle name="Followed Hyperlink" xfId="556" builtinId="9" hidden="1"/>
    <cellStyle name="Followed Hyperlink" xfId="557" builtinId="9" hidden="1"/>
    <cellStyle name="Followed Hyperlink" xfId="558" builtinId="9" hidden="1"/>
    <cellStyle name="Followed Hyperlink" xfId="559" builtinId="9" hidden="1"/>
    <cellStyle name="Followed Hyperlink" xfId="560" builtinId="9" hidden="1"/>
    <cellStyle name="Followed Hyperlink" xfId="561" builtinId="9" hidden="1"/>
    <cellStyle name="Followed Hyperlink" xfId="562" builtinId="9" hidden="1"/>
    <cellStyle name="Followed Hyperlink" xfId="563" builtinId="9" hidden="1"/>
    <cellStyle name="Followed Hyperlink" xfId="564" builtinId="9" hidden="1"/>
    <cellStyle name="Followed Hyperlink" xfId="565" builtinId="9" hidden="1"/>
    <cellStyle name="Followed Hyperlink" xfId="566" builtinId="9" hidden="1"/>
    <cellStyle name="Followed Hyperlink" xfId="567" builtinId="9" hidden="1"/>
    <cellStyle name="Followed Hyperlink" xfId="568" builtinId="9" hidden="1"/>
    <cellStyle name="Followed Hyperlink" xfId="569" builtinId="9" hidden="1"/>
    <cellStyle name="Followed Hyperlink" xfId="570" builtinId="9" hidden="1"/>
    <cellStyle name="Followed Hyperlink" xfId="571" builtinId="9" hidden="1"/>
    <cellStyle name="Followed Hyperlink" xfId="572" builtinId="9" hidden="1"/>
    <cellStyle name="Followed Hyperlink" xfId="573" builtinId="9" hidden="1"/>
    <cellStyle name="Followed Hyperlink" xfId="574" builtinId="9" hidden="1"/>
    <cellStyle name="Followed Hyperlink" xfId="575" builtinId="9" hidden="1"/>
    <cellStyle name="Followed Hyperlink" xfId="576" builtinId="9" hidden="1"/>
    <cellStyle name="Followed Hyperlink" xfId="577" builtinId="9" hidden="1"/>
    <cellStyle name="Followed Hyperlink" xfId="578" builtinId="9" hidden="1"/>
    <cellStyle name="Followed Hyperlink" xfId="579" builtinId="9" hidden="1"/>
    <cellStyle name="Followed Hyperlink" xfId="580" builtinId="9" hidden="1"/>
    <cellStyle name="Followed Hyperlink" xfId="581" builtinId="9" hidden="1"/>
    <cellStyle name="Followed Hyperlink" xfId="582" builtinId="9" hidden="1"/>
    <cellStyle name="Followed Hyperlink" xfId="583" builtinId="9" hidden="1"/>
    <cellStyle name="Followed Hyperlink" xfId="584" builtinId="9" hidden="1"/>
    <cellStyle name="Followed Hyperlink" xfId="585" builtinId="9" hidden="1"/>
    <cellStyle name="Followed Hyperlink" xfId="586" builtinId="9" hidden="1"/>
    <cellStyle name="Followed Hyperlink" xfId="587" builtinId="9" hidden="1"/>
    <cellStyle name="Followed Hyperlink" xfId="588" builtinId="9" hidden="1"/>
    <cellStyle name="Followed Hyperlink" xfId="589" builtinId="9" hidden="1"/>
    <cellStyle name="Followed Hyperlink" xfId="590" builtinId="9" hidden="1"/>
    <cellStyle name="Followed Hyperlink" xfId="591" builtinId="9" hidden="1"/>
    <cellStyle name="Followed Hyperlink" xfId="592" builtinId="9" hidden="1"/>
    <cellStyle name="Followed Hyperlink" xfId="545" builtinId="9" hidden="1"/>
    <cellStyle name="Followed Hyperlink" xfId="593" builtinId="9" hidden="1"/>
    <cellStyle name="Followed Hyperlink" xfId="594" builtinId="9" hidden="1"/>
    <cellStyle name="Followed Hyperlink" xfId="595" builtinId="9" hidden="1"/>
    <cellStyle name="Followed Hyperlink" xfId="596" builtinId="9" hidden="1"/>
    <cellStyle name="Followed Hyperlink" xfId="597" builtinId="9" hidden="1"/>
    <cellStyle name="Followed Hyperlink" xfId="598" builtinId="9" hidden="1"/>
    <cellStyle name="Followed Hyperlink" xfId="599" builtinId="9" hidden="1"/>
    <cellStyle name="Followed Hyperlink" xfId="600" builtinId="9" hidden="1"/>
    <cellStyle name="Followed Hyperlink" xfId="601" builtinId="9" hidden="1"/>
    <cellStyle name="Followed Hyperlink" xfId="602" builtinId="9" hidden="1"/>
    <cellStyle name="Followed Hyperlink" xfId="603" builtinId="9" hidden="1"/>
    <cellStyle name="Followed Hyperlink" xfId="604" builtinId="9" hidden="1"/>
    <cellStyle name="Followed Hyperlink" xfId="605" builtinId="9" hidden="1"/>
    <cellStyle name="Followed Hyperlink" xfId="606" builtinId="9" hidden="1"/>
    <cellStyle name="Followed Hyperlink" xfId="607" builtinId="9" hidden="1"/>
    <cellStyle name="Followed Hyperlink" xfId="608" builtinId="9" hidden="1"/>
    <cellStyle name="Followed Hyperlink" xfId="609" builtinId="9" hidden="1"/>
    <cellStyle name="Followed Hyperlink" xfId="610" builtinId="9" hidden="1"/>
    <cellStyle name="Followed Hyperlink" xfId="611" builtinId="9" hidden="1"/>
    <cellStyle name="Followed Hyperlink" xfId="612" builtinId="9" hidden="1"/>
    <cellStyle name="Followed Hyperlink" xfId="613" builtinId="9" hidden="1"/>
    <cellStyle name="Followed Hyperlink" xfId="614" builtinId="9" hidden="1"/>
    <cellStyle name="Followed Hyperlink" xfId="615" builtinId="9" hidden="1"/>
    <cellStyle name="Followed Hyperlink" xfId="616" builtinId="9" hidden="1"/>
    <cellStyle name="Followed Hyperlink" xfId="617" builtinId="9" hidden="1"/>
    <cellStyle name="Followed Hyperlink" xfId="618" builtinId="9" hidden="1"/>
    <cellStyle name="Followed Hyperlink" xfId="619" builtinId="9" hidden="1"/>
    <cellStyle name="Followed Hyperlink" xfId="620" builtinId="9" hidden="1"/>
    <cellStyle name="Followed Hyperlink" xfId="621" builtinId="9" hidden="1"/>
    <cellStyle name="Followed Hyperlink" xfId="622" builtinId="9" hidden="1"/>
    <cellStyle name="Followed Hyperlink" xfId="623" builtinId="9" hidden="1"/>
    <cellStyle name="Followed Hyperlink" xfId="624" builtinId="9" hidden="1"/>
    <cellStyle name="Followed Hyperlink" xfId="625" builtinId="9" hidden="1"/>
    <cellStyle name="Followed Hyperlink" xfId="626" builtinId="9" hidden="1"/>
    <cellStyle name="Followed Hyperlink" xfId="627" builtinId="9" hidden="1"/>
    <cellStyle name="Followed Hyperlink" xfId="628" builtinId="9" hidden="1"/>
    <cellStyle name="Followed Hyperlink" xfId="629" builtinId="9" hidden="1"/>
    <cellStyle name="Followed Hyperlink" xfId="630" builtinId="9" hidden="1"/>
    <cellStyle name="Followed Hyperlink" xfId="631" builtinId="9" hidden="1"/>
    <cellStyle name="Followed Hyperlink" xfId="632" builtinId="9" hidden="1"/>
    <cellStyle name="Followed Hyperlink" xfId="633" builtinId="9" hidden="1"/>
    <cellStyle name="Followed Hyperlink" xfId="634" builtinId="9" hidden="1"/>
    <cellStyle name="Followed Hyperlink" xfId="635" builtinId="9" hidden="1"/>
    <cellStyle name="Followed Hyperlink" xfId="636" builtinId="9" hidden="1"/>
    <cellStyle name="Followed Hyperlink" xfId="637" builtinId="9" hidden="1"/>
    <cellStyle name="Followed Hyperlink" xfId="638" builtinId="9" hidden="1"/>
    <cellStyle name="Followed Hyperlink" xfId="639" builtinId="9" hidden="1"/>
    <cellStyle name="Followed Hyperlink" xfId="640" builtinId="9" hidden="1"/>
    <cellStyle name="Followed Hyperlink" xfId="644" builtinId="9" hidden="1"/>
    <cellStyle name="Followed Hyperlink" xfId="645" builtinId="9" hidden="1"/>
    <cellStyle name="Followed Hyperlink" xfId="646" builtinId="9" hidden="1"/>
    <cellStyle name="Followed Hyperlink" xfId="647" builtinId="9" hidden="1"/>
    <cellStyle name="Followed Hyperlink" xfId="648" builtinId="9" hidden="1"/>
    <cellStyle name="Followed Hyperlink" xfId="649" builtinId="9" hidden="1"/>
    <cellStyle name="Followed Hyperlink" xfId="650" builtinId="9" hidden="1"/>
    <cellStyle name="Followed Hyperlink" xfId="651" builtinId="9" hidden="1"/>
    <cellStyle name="Followed Hyperlink" xfId="652" builtinId="9" hidden="1"/>
    <cellStyle name="Followed Hyperlink" xfId="653" builtinId="9" hidden="1"/>
    <cellStyle name="Followed Hyperlink" xfId="654" builtinId="9" hidden="1"/>
    <cellStyle name="Followed Hyperlink" xfId="655" builtinId="9" hidden="1"/>
    <cellStyle name="Followed Hyperlink" xfId="656" builtinId="9" hidden="1"/>
    <cellStyle name="Followed Hyperlink" xfId="657" builtinId="9" hidden="1"/>
    <cellStyle name="Followed Hyperlink" xfId="658" builtinId="9" hidden="1"/>
    <cellStyle name="Followed Hyperlink" xfId="659" builtinId="9" hidden="1"/>
    <cellStyle name="Followed Hyperlink" xfId="660" builtinId="9" hidden="1"/>
    <cellStyle name="Followed Hyperlink" xfId="661" builtinId="9" hidden="1"/>
    <cellStyle name="Followed Hyperlink" xfId="662" builtinId="9" hidden="1"/>
    <cellStyle name="Followed Hyperlink" xfId="663" builtinId="9" hidden="1"/>
    <cellStyle name="Followed Hyperlink" xfId="664" builtinId="9" hidden="1"/>
    <cellStyle name="Followed Hyperlink" xfId="665" builtinId="9" hidden="1"/>
    <cellStyle name="Followed Hyperlink" xfId="666" builtinId="9" hidden="1"/>
    <cellStyle name="Followed Hyperlink" xfId="667" builtinId="9" hidden="1"/>
    <cellStyle name="Followed Hyperlink" xfId="668" builtinId="9" hidden="1"/>
    <cellStyle name="Followed Hyperlink" xfId="669" builtinId="9" hidden="1"/>
    <cellStyle name="Followed Hyperlink" xfId="670" builtinId="9" hidden="1"/>
    <cellStyle name="Followed Hyperlink" xfId="671" builtinId="9" hidden="1"/>
    <cellStyle name="Followed Hyperlink" xfId="672" builtinId="9" hidden="1"/>
    <cellStyle name="Followed Hyperlink" xfId="673" builtinId="9" hidden="1"/>
    <cellStyle name="Followed Hyperlink" xfId="674" builtinId="9" hidden="1"/>
    <cellStyle name="Followed Hyperlink" xfId="675" builtinId="9" hidden="1"/>
    <cellStyle name="Followed Hyperlink" xfId="676" builtinId="9" hidden="1"/>
    <cellStyle name="Followed Hyperlink" xfId="677" builtinId="9" hidden="1"/>
    <cellStyle name="Followed Hyperlink" xfId="678" builtinId="9" hidden="1"/>
    <cellStyle name="Followed Hyperlink" xfId="679" builtinId="9" hidden="1"/>
    <cellStyle name="Followed Hyperlink" xfId="680" builtinId="9" hidden="1"/>
    <cellStyle name="Followed Hyperlink" xfId="681" builtinId="9" hidden="1"/>
    <cellStyle name="Followed Hyperlink" xfId="682" builtinId="9" hidden="1"/>
    <cellStyle name="Followed Hyperlink" xfId="683" builtinId="9" hidden="1"/>
    <cellStyle name="Followed Hyperlink" xfId="684" builtinId="9" hidden="1"/>
    <cellStyle name="Followed Hyperlink" xfId="685" builtinId="9" hidden="1"/>
    <cellStyle name="Followed Hyperlink" xfId="686" builtinId="9" hidden="1"/>
    <cellStyle name="Followed Hyperlink" xfId="687" builtinId="9" hidden="1"/>
    <cellStyle name="Followed Hyperlink" xfId="688" builtinId="9" hidden="1"/>
    <cellStyle name="Followed Hyperlink" xfId="689" builtinId="9" hidden="1"/>
    <cellStyle name="Followed Hyperlink" xfId="690" builtinId="9" hidden="1"/>
    <cellStyle name="Followed Hyperlink" xfId="641" builtinId="9" hidden="1"/>
    <cellStyle name="Followed Hyperlink" xfId="692" builtinId="9" hidden="1"/>
    <cellStyle name="Followed Hyperlink" xfId="693" builtinId="9" hidden="1"/>
    <cellStyle name="Followed Hyperlink" xfId="694" builtinId="9" hidden="1"/>
    <cellStyle name="Followed Hyperlink" xfId="695" builtinId="9" hidden="1"/>
    <cellStyle name="Followed Hyperlink" xfId="696" builtinId="9" hidden="1"/>
    <cellStyle name="Followed Hyperlink" xfId="697" builtinId="9" hidden="1"/>
    <cellStyle name="Followed Hyperlink" xfId="698" builtinId="9" hidden="1"/>
    <cellStyle name="Followed Hyperlink" xfId="699" builtinId="9" hidden="1"/>
    <cellStyle name="Followed Hyperlink" xfId="700" builtinId="9" hidden="1"/>
    <cellStyle name="Followed Hyperlink" xfId="701" builtinId="9" hidden="1"/>
    <cellStyle name="Followed Hyperlink" xfId="702" builtinId="9" hidden="1"/>
    <cellStyle name="Followed Hyperlink" xfId="703" builtinId="9" hidden="1"/>
    <cellStyle name="Followed Hyperlink" xfId="704" builtinId="9" hidden="1"/>
    <cellStyle name="Followed Hyperlink" xfId="705" builtinId="9" hidden="1"/>
    <cellStyle name="Followed Hyperlink" xfId="706" builtinId="9" hidden="1"/>
    <cellStyle name="Followed Hyperlink" xfId="707" builtinId="9" hidden="1"/>
    <cellStyle name="Followed Hyperlink" xfId="708" builtinId="9" hidden="1"/>
    <cellStyle name="Followed Hyperlink" xfId="709" builtinId="9" hidden="1"/>
    <cellStyle name="Followed Hyperlink" xfId="710" builtinId="9" hidden="1"/>
    <cellStyle name="Followed Hyperlink" xfId="711" builtinId="9" hidden="1"/>
    <cellStyle name="Followed Hyperlink" xfId="712" builtinId="9" hidden="1"/>
    <cellStyle name="Followed Hyperlink" xfId="713" builtinId="9" hidden="1"/>
    <cellStyle name="Followed Hyperlink" xfId="714" builtinId="9" hidden="1"/>
    <cellStyle name="Followed Hyperlink" xfId="715" builtinId="9" hidden="1"/>
    <cellStyle name="Followed Hyperlink" xfId="716" builtinId="9" hidden="1"/>
    <cellStyle name="Followed Hyperlink" xfId="717" builtinId="9" hidden="1"/>
    <cellStyle name="Followed Hyperlink" xfId="718" builtinId="9" hidden="1"/>
    <cellStyle name="Followed Hyperlink" xfId="719" builtinId="9" hidden="1"/>
    <cellStyle name="Followed Hyperlink" xfId="720" builtinId="9" hidden="1"/>
    <cellStyle name="Followed Hyperlink" xfId="721" builtinId="9" hidden="1"/>
    <cellStyle name="Followed Hyperlink" xfId="722" builtinId="9" hidden="1"/>
    <cellStyle name="Followed Hyperlink" xfId="723" builtinId="9" hidden="1"/>
    <cellStyle name="Followed Hyperlink" xfId="724" builtinId="9" hidden="1"/>
    <cellStyle name="Followed Hyperlink" xfId="725" builtinId="9" hidden="1"/>
    <cellStyle name="Followed Hyperlink" xfId="726" builtinId="9" hidden="1"/>
    <cellStyle name="Followed Hyperlink" xfId="727" builtinId="9" hidden="1"/>
    <cellStyle name="Followed Hyperlink" xfId="728" builtinId="9" hidden="1"/>
    <cellStyle name="Followed Hyperlink" xfId="729" builtinId="9" hidden="1"/>
    <cellStyle name="Followed Hyperlink" xfId="730" builtinId="9" hidden="1"/>
    <cellStyle name="Followed Hyperlink" xfId="731" builtinId="9" hidden="1"/>
    <cellStyle name="Followed Hyperlink" xfId="732" builtinId="9" hidden="1"/>
    <cellStyle name="Followed Hyperlink" xfId="733" builtinId="9" hidden="1"/>
    <cellStyle name="Followed Hyperlink" xfId="734" builtinId="9" hidden="1"/>
    <cellStyle name="Followed Hyperlink" xfId="735" builtinId="9" hidden="1"/>
    <cellStyle name="Followed Hyperlink" xfId="736" builtinId="9" hidden="1"/>
    <cellStyle name="Followed Hyperlink" xfId="737" builtinId="9" hidden="1"/>
    <cellStyle name="Followed Hyperlink" xfId="738" builtinId="9" hidden="1"/>
    <cellStyle name="Followed Hyperlink" xfId="691" builtinId="9" hidden="1"/>
    <cellStyle name="Followed Hyperlink" xfId="739" builtinId="9" hidden="1"/>
    <cellStyle name="Followed Hyperlink" xfId="740" builtinId="9" hidden="1"/>
    <cellStyle name="Followed Hyperlink" xfId="741" builtinId="9" hidden="1"/>
    <cellStyle name="Followed Hyperlink" xfId="742" builtinId="9" hidden="1"/>
    <cellStyle name="Followed Hyperlink" xfId="743" builtinId="9" hidden="1"/>
    <cellStyle name="Followed Hyperlink" xfId="744" builtinId="9" hidden="1"/>
    <cellStyle name="Followed Hyperlink" xfId="745" builtinId="9" hidden="1"/>
    <cellStyle name="Followed Hyperlink" xfId="746" builtinId="9" hidden="1"/>
    <cellStyle name="Followed Hyperlink" xfId="747" builtinId="9" hidden="1"/>
    <cellStyle name="Followed Hyperlink" xfId="748" builtinId="9" hidden="1"/>
    <cellStyle name="Followed Hyperlink" xfId="749" builtinId="9" hidden="1"/>
    <cellStyle name="Followed Hyperlink" xfId="750" builtinId="9" hidden="1"/>
    <cellStyle name="Followed Hyperlink" xfId="751" builtinId="9" hidden="1"/>
    <cellStyle name="Followed Hyperlink" xfId="752" builtinId="9" hidden="1"/>
    <cellStyle name="Followed Hyperlink" xfId="753" builtinId="9" hidden="1"/>
    <cellStyle name="Followed Hyperlink" xfId="754" builtinId="9" hidden="1"/>
    <cellStyle name="Followed Hyperlink" xfId="755" builtinId="9" hidden="1"/>
    <cellStyle name="Followed Hyperlink" xfId="756" builtinId="9" hidden="1"/>
    <cellStyle name="Followed Hyperlink" xfId="757" builtinId="9" hidden="1"/>
    <cellStyle name="Followed Hyperlink" xfId="758" builtinId="9" hidden="1"/>
    <cellStyle name="Followed Hyperlink" xfId="759" builtinId="9" hidden="1"/>
    <cellStyle name="Followed Hyperlink" xfId="760" builtinId="9" hidden="1"/>
    <cellStyle name="Followed Hyperlink" xfId="761" builtinId="9" hidden="1"/>
    <cellStyle name="Followed Hyperlink" xfId="762" builtinId="9" hidden="1"/>
    <cellStyle name="Followed Hyperlink" xfId="763" builtinId="9" hidden="1"/>
    <cellStyle name="Followed Hyperlink" xfId="764" builtinId="9" hidden="1"/>
    <cellStyle name="Followed Hyperlink" xfId="765" builtinId="9" hidden="1"/>
    <cellStyle name="Followed Hyperlink" xfId="766" builtinId="9" hidden="1"/>
    <cellStyle name="Followed Hyperlink" xfId="767" builtinId="9" hidden="1"/>
    <cellStyle name="Followed Hyperlink" xfId="768" builtinId="9" hidden="1"/>
    <cellStyle name="Followed Hyperlink" xfId="769" builtinId="9" hidden="1"/>
    <cellStyle name="Followed Hyperlink" xfId="770" builtinId="9" hidden="1"/>
    <cellStyle name="Followed Hyperlink" xfId="771" builtinId="9" hidden="1"/>
    <cellStyle name="Followed Hyperlink" xfId="772" builtinId="9" hidden="1"/>
    <cellStyle name="Followed Hyperlink" xfId="773" builtinId="9" hidden="1"/>
    <cellStyle name="Followed Hyperlink" xfId="774" builtinId="9" hidden="1"/>
    <cellStyle name="Followed Hyperlink" xfId="775" builtinId="9" hidden="1"/>
    <cellStyle name="Followed Hyperlink" xfId="776" builtinId="9" hidden="1"/>
    <cellStyle name="Followed Hyperlink" xfId="777" builtinId="9" hidden="1"/>
    <cellStyle name="Followed Hyperlink" xfId="778" builtinId="9" hidden="1"/>
    <cellStyle name="Followed Hyperlink" xfId="779" builtinId="9" hidden="1"/>
    <cellStyle name="Followed Hyperlink" xfId="780" builtinId="9" hidden="1"/>
    <cellStyle name="Followed Hyperlink" xfId="781" builtinId="9" hidden="1"/>
    <cellStyle name="Followed Hyperlink" xfId="782" builtinId="9" hidden="1"/>
    <cellStyle name="Followed Hyperlink" xfId="783" builtinId="9" hidden="1"/>
    <cellStyle name="Followed Hyperlink" xfId="784" builtinId="9" hidden="1"/>
    <cellStyle name="Followed Hyperlink" xfId="785" builtinId="9" hidden="1"/>
    <cellStyle name="Followed Hyperlink" xfId="786" builtinId="9" hidden="1"/>
    <cellStyle name="Followed Hyperlink" xfId="787" builtinId="9" hidden="1"/>
    <cellStyle name="Followed Hyperlink" xfId="788" builtinId="9" hidden="1"/>
    <cellStyle name="Followed Hyperlink" xfId="789" builtinId="9" hidden="1"/>
    <cellStyle name="Followed Hyperlink" xfId="790" builtinId="9" hidden="1"/>
    <cellStyle name="Followed Hyperlink" xfId="791" builtinId="9" hidden="1"/>
    <cellStyle name="Followed Hyperlink" xfId="792" builtinId="9" hidden="1"/>
    <cellStyle name="Followed Hyperlink" xfId="793" builtinId="9" hidden="1"/>
    <cellStyle name="Followed Hyperlink" xfId="794" builtinId="9" hidden="1"/>
    <cellStyle name="Followed Hyperlink" xfId="795" builtinId="9" hidden="1"/>
    <cellStyle name="Followed Hyperlink" xfId="796" builtinId="9" hidden="1"/>
    <cellStyle name="Followed Hyperlink" xfId="797" builtinId="9" hidden="1"/>
    <cellStyle name="Followed Hyperlink" xfId="798" builtinId="9" hidden="1"/>
    <cellStyle name="Followed Hyperlink" xfId="799" builtinId="9" hidden="1"/>
    <cellStyle name="Followed Hyperlink" xfId="800" builtinId="9" hidden="1"/>
    <cellStyle name="Followed Hyperlink" xfId="801" builtinId="9" hidden="1"/>
    <cellStyle name="Followed Hyperlink" xfId="802" builtinId="9" hidden="1"/>
    <cellStyle name="Followed Hyperlink" xfId="803" builtinId="9" hidden="1"/>
    <cellStyle name="Followed Hyperlink" xfId="804" builtinId="9" hidden="1"/>
    <cellStyle name="Followed Hyperlink" xfId="805" builtinId="9" hidden="1"/>
    <cellStyle name="Followed Hyperlink" xfId="806" builtinId="9" hidden="1"/>
    <cellStyle name="Followed Hyperlink" xfId="807" builtinId="9" hidden="1"/>
    <cellStyle name="Followed Hyperlink" xfId="808" builtinId="9" hidden="1"/>
    <cellStyle name="Followed Hyperlink" xfId="809" builtinId="9" hidden="1"/>
    <cellStyle name="Followed Hyperlink" xfId="810" builtinId="9" hidden="1"/>
    <cellStyle name="Followed Hyperlink" xfId="811" builtinId="9" hidden="1"/>
    <cellStyle name="Followed Hyperlink" xfId="812" builtinId="9" hidden="1"/>
    <cellStyle name="Followed Hyperlink" xfId="813" builtinId="9" hidden="1"/>
    <cellStyle name="Followed Hyperlink" xfId="814" builtinId="9" hidden="1"/>
    <cellStyle name="Followed Hyperlink" xfId="815" builtinId="9" hidden="1"/>
    <cellStyle name="Followed Hyperlink" xfId="816" builtinId="9" hidden="1"/>
    <cellStyle name="Followed Hyperlink" xfId="817" builtinId="9" hidden="1"/>
    <cellStyle name="Followed Hyperlink" xfId="818" builtinId="9" hidden="1"/>
    <cellStyle name="Followed Hyperlink" xfId="819" builtinId="9" hidden="1"/>
    <cellStyle name="Followed Hyperlink" xfId="820" builtinId="9" hidden="1"/>
    <cellStyle name="Followed Hyperlink" xfId="821" builtinId="9" hidden="1"/>
    <cellStyle name="Followed Hyperlink" xfId="822" builtinId="9" hidden="1"/>
    <cellStyle name="Followed Hyperlink" xfId="823" builtinId="9" hidden="1"/>
    <cellStyle name="Followed Hyperlink" xfId="824" builtinId="9" hidden="1"/>
    <cellStyle name="Followed Hyperlink" xfId="825" builtinId="9" hidden="1"/>
    <cellStyle name="Followed Hyperlink" xfId="826" builtinId="9" hidden="1"/>
    <cellStyle name="Followed Hyperlink" xfId="827" builtinId="9" hidden="1"/>
    <cellStyle name="Followed Hyperlink" xfId="828" builtinId="9" hidden="1"/>
    <cellStyle name="Followed Hyperlink" xfId="829" builtinId="9" hidden="1"/>
    <cellStyle name="Followed Hyperlink" xfId="830" builtinId="9" hidden="1"/>
    <cellStyle name="Followed Hyperlink" xfId="831" builtinId="9" hidden="1"/>
    <cellStyle name="Followed Hyperlink" xfId="832" builtinId="9" hidden="1"/>
    <cellStyle name="Followed Hyperlink" xfId="833" builtinId="9" hidden="1"/>
    <cellStyle name="Followed Hyperlink" xfId="834" builtinId="9" hidden="1"/>
    <cellStyle name="Followed Hyperlink" xfId="835" builtinId="9" hidden="1"/>
    <cellStyle name="Followed Hyperlink" xfId="836" builtinId="9" hidden="1"/>
    <cellStyle name="Followed Hyperlink" xfId="837" builtinId="9" hidden="1"/>
    <cellStyle name="Followed Hyperlink" xfId="838" builtinId="9" hidden="1"/>
    <cellStyle name="Followed Hyperlink" xfId="839" builtinId="9" hidden="1"/>
    <cellStyle name="Followed Hyperlink" xfId="840" builtinId="9" hidden="1"/>
    <cellStyle name="Followed Hyperlink" xfId="841" builtinId="9" hidden="1"/>
    <cellStyle name="Followed Hyperlink" xfId="842" builtinId="9" hidden="1"/>
    <cellStyle name="Followed Hyperlink" xfId="843" builtinId="9" hidden="1"/>
    <cellStyle name="Followed Hyperlink" xfId="844" builtinId="9" hidden="1"/>
    <cellStyle name="Followed Hyperlink" xfId="845" builtinId="9" hidden="1"/>
    <cellStyle name="Followed Hyperlink" xfId="846" builtinId="9" hidden="1"/>
    <cellStyle name="Followed Hyperlink" xfId="847" builtinId="9" hidden="1"/>
    <cellStyle name="Followed Hyperlink" xfId="848" builtinId="9" hidden="1"/>
    <cellStyle name="Followed Hyperlink" xfId="849" builtinId="9" hidden="1"/>
    <cellStyle name="Followed Hyperlink" xfId="850" builtinId="9" hidden="1"/>
    <cellStyle name="Followed Hyperlink" xfId="851" builtinId="9" hidden="1"/>
    <cellStyle name="Followed Hyperlink" xfId="852" builtinId="9" hidden="1"/>
    <cellStyle name="Followed Hyperlink" xfId="853" builtinId="9" hidden="1"/>
    <cellStyle name="Followed Hyperlink" xfId="854" builtinId="9" hidden="1"/>
    <cellStyle name="Followed Hyperlink" xfId="855" builtinId="9" hidden="1"/>
    <cellStyle name="Followed Hyperlink" xfId="856" builtinId="9" hidden="1"/>
    <cellStyle name="Followed Hyperlink" xfId="857" builtinId="9" hidden="1"/>
    <cellStyle name="Followed Hyperlink" xfId="858" builtinId="9" hidden="1"/>
    <cellStyle name="Followed Hyperlink" xfId="859" builtinId="9" hidden="1"/>
    <cellStyle name="Followed Hyperlink" xfId="860" builtinId="9" hidden="1"/>
    <cellStyle name="Followed Hyperlink" xfId="861" builtinId="9" hidden="1"/>
    <cellStyle name="Followed Hyperlink" xfId="862" builtinId="9" hidden="1"/>
    <cellStyle name="Followed Hyperlink" xfId="863" builtinId="9" hidden="1"/>
    <cellStyle name="Followed Hyperlink" xfId="864" builtinId="9" hidden="1"/>
    <cellStyle name="Followed Hyperlink" xfId="865" builtinId="9" hidden="1"/>
    <cellStyle name="Followed Hyperlink" xfId="866" builtinId="9" hidden="1"/>
    <cellStyle name="Followed Hyperlink" xfId="867" builtinId="9" hidden="1"/>
    <cellStyle name="Followed Hyperlink" xfId="868" builtinId="9" hidden="1"/>
    <cellStyle name="Followed Hyperlink" xfId="869" builtinId="9" hidden="1"/>
    <cellStyle name="Followed Hyperlink" xfId="870" builtinId="9" hidden="1"/>
    <cellStyle name="Followed Hyperlink" xfId="871" builtinId="9" hidden="1"/>
    <cellStyle name="Followed Hyperlink" xfId="872" builtinId="9" hidden="1"/>
    <cellStyle name="Followed Hyperlink" xfId="873" builtinId="9" hidden="1"/>
    <cellStyle name="Followed Hyperlink" xfId="874" builtinId="9" hidden="1"/>
    <cellStyle name="Followed Hyperlink" xfId="875" builtinId="9" hidden="1"/>
    <cellStyle name="Followed Hyperlink" xfId="876" builtinId="9" hidden="1"/>
    <cellStyle name="Followed Hyperlink" xfId="877" builtinId="9" hidden="1"/>
    <cellStyle name="Followed Hyperlink" xfId="878" builtinId="9" hidden="1"/>
    <cellStyle name="Followed Hyperlink" xfId="879" builtinId="9" hidden="1"/>
    <cellStyle name="Followed Hyperlink" xfId="880" builtinId="9" hidden="1"/>
    <cellStyle name="Followed Hyperlink" xfId="881" builtinId="9" hidden="1"/>
    <cellStyle name="Followed Hyperlink" xfId="643" builtinId="9" hidden="1"/>
    <cellStyle name="Followed Hyperlink" xfId="883" builtinId="9" hidden="1"/>
    <cellStyle name="Followed Hyperlink" xfId="884" builtinId="9" hidden="1"/>
    <cellStyle name="Followed Hyperlink" xfId="885" builtinId="9" hidden="1"/>
    <cellStyle name="Followed Hyperlink" xfId="886" builtinId="9" hidden="1"/>
    <cellStyle name="Followed Hyperlink" xfId="887" builtinId="9" hidden="1"/>
    <cellStyle name="Followed Hyperlink" xfId="888" builtinId="9" hidden="1"/>
    <cellStyle name="Followed Hyperlink" xfId="889" builtinId="9" hidden="1"/>
    <cellStyle name="Followed Hyperlink" xfId="890" builtinId="9" hidden="1"/>
    <cellStyle name="Followed Hyperlink" xfId="891" builtinId="9" hidden="1"/>
    <cellStyle name="Followed Hyperlink" xfId="892" builtinId="9" hidden="1"/>
    <cellStyle name="Followed Hyperlink" xfId="893" builtinId="9" hidden="1"/>
    <cellStyle name="Followed Hyperlink" xfId="894" builtinId="9" hidden="1"/>
    <cellStyle name="Followed Hyperlink" xfId="895" builtinId="9" hidden="1"/>
    <cellStyle name="Followed Hyperlink" xfId="896" builtinId="9" hidden="1"/>
    <cellStyle name="Followed Hyperlink" xfId="897" builtinId="9" hidden="1"/>
    <cellStyle name="Followed Hyperlink" xfId="898" builtinId="9" hidden="1"/>
    <cellStyle name="Followed Hyperlink" xfId="899" builtinId="9" hidden="1"/>
    <cellStyle name="Followed Hyperlink" xfId="900" builtinId="9" hidden="1"/>
    <cellStyle name="Followed Hyperlink" xfId="901" builtinId="9" hidden="1"/>
    <cellStyle name="Followed Hyperlink" xfId="902" builtinId="9" hidden="1"/>
    <cellStyle name="Followed Hyperlink" xfId="903" builtinId="9" hidden="1"/>
    <cellStyle name="Followed Hyperlink" xfId="904" builtinId="9" hidden="1"/>
    <cellStyle name="Followed Hyperlink" xfId="905" builtinId="9" hidden="1"/>
    <cellStyle name="Followed Hyperlink" xfId="906" builtinId="9" hidden="1"/>
    <cellStyle name="Followed Hyperlink" xfId="907" builtinId="9" hidden="1"/>
    <cellStyle name="Followed Hyperlink" xfId="908" builtinId="9" hidden="1"/>
    <cellStyle name="Followed Hyperlink" xfId="909" builtinId="9" hidden="1"/>
    <cellStyle name="Followed Hyperlink" xfId="910" builtinId="9" hidden="1"/>
    <cellStyle name="Followed Hyperlink" xfId="911" builtinId="9" hidden="1"/>
    <cellStyle name="Followed Hyperlink" xfId="912" builtinId="9" hidden="1"/>
    <cellStyle name="Followed Hyperlink" xfId="913" builtinId="9" hidden="1"/>
    <cellStyle name="Followed Hyperlink" xfId="914" builtinId="9" hidden="1"/>
    <cellStyle name="Followed Hyperlink" xfId="915" builtinId="9" hidden="1"/>
    <cellStyle name="Followed Hyperlink" xfId="916" builtinId="9" hidden="1"/>
    <cellStyle name="Followed Hyperlink" xfId="917" builtinId="9" hidden="1"/>
    <cellStyle name="Followed Hyperlink" xfId="918" builtinId="9" hidden="1"/>
    <cellStyle name="Followed Hyperlink" xfId="919" builtinId="9" hidden="1"/>
    <cellStyle name="Followed Hyperlink" xfId="920" builtinId="9" hidden="1"/>
    <cellStyle name="Followed Hyperlink" xfId="921" builtinId="9" hidden="1"/>
    <cellStyle name="Followed Hyperlink" xfId="922" builtinId="9" hidden="1"/>
    <cellStyle name="Followed Hyperlink" xfId="923" builtinId="9" hidden="1"/>
    <cellStyle name="Followed Hyperlink" xfId="924" builtinId="9" hidden="1"/>
    <cellStyle name="Followed Hyperlink" xfId="925" builtinId="9" hidden="1"/>
    <cellStyle name="Followed Hyperlink" xfId="926" builtinId="9" hidden="1"/>
    <cellStyle name="Followed Hyperlink" xfId="927" builtinId="9" hidden="1"/>
    <cellStyle name="Followed Hyperlink" xfId="928" builtinId="9" hidden="1"/>
    <cellStyle name="Followed Hyperlink" xfId="929" builtinId="9" hidden="1"/>
    <cellStyle name="Followed Hyperlink" xfId="882" builtinId="9" hidden="1"/>
    <cellStyle name="Followed Hyperlink" xfId="930" builtinId="9" hidden="1"/>
    <cellStyle name="Followed Hyperlink" xfId="931" builtinId="9" hidden="1"/>
    <cellStyle name="Followed Hyperlink" xfId="932" builtinId="9" hidden="1"/>
    <cellStyle name="Followed Hyperlink" xfId="933" builtinId="9" hidden="1"/>
    <cellStyle name="Followed Hyperlink" xfId="934" builtinId="9" hidden="1"/>
    <cellStyle name="Followed Hyperlink" xfId="935" builtinId="9" hidden="1"/>
    <cellStyle name="Followed Hyperlink" xfId="936" builtinId="9" hidden="1"/>
    <cellStyle name="Followed Hyperlink" xfId="937" builtinId="9" hidden="1"/>
    <cellStyle name="Followed Hyperlink" xfId="938" builtinId="9" hidden="1"/>
    <cellStyle name="Followed Hyperlink" xfId="939" builtinId="9" hidden="1"/>
    <cellStyle name="Followed Hyperlink" xfId="940" builtinId="9" hidden="1"/>
    <cellStyle name="Followed Hyperlink" xfId="941" builtinId="9" hidden="1"/>
    <cellStyle name="Followed Hyperlink" xfId="942" builtinId="9" hidden="1"/>
    <cellStyle name="Followed Hyperlink" xfId="943" builtinId="9" hidden="1"/>
    <cellStyle name="Followed Hyperlink" xfId="944" builtinId="9" hidden="1"/>
    <cellStyle name="Followed Hyperlink" xfId="945" builtinId="9" hidden="1"/>
    <cellStyle name="Followed Hyperlink" xfId="946" builtinId="9" hidden="1"/>
    <cellStyle name="Followed Hyperlink" xfId="947" builtinId="9" hidden="1"/>
    <cellStyle name="Followed Hyperlink" xfId="948" builtinId="9" hidden="1"/>
    <cellStyle name="Followed Hyperlink" xfId="949" builtinId="9" hidden="1"/>
    <cellStyle name="Followed Hyperlink" xfId="950" builtinId="9" hidden="1"/>
    <cellStyle name="Followed Hyperlink" xfId="951" builtinId="9" hidden="1"/>
    <cellStyle name="Followed Hyperlink" xfId="952" builtinId="9" hidden="1"/>
    <cellStyle name="Followed Hyperlink" xfId="953" builtinId="9" hidden="1"/>
    <cellStyle name="Followed Hyperlink" xfId="954" builtinId="9" hidden="1"/>
    <cellStyle name="Followed Hyperlink" xfId="955" builtinId="9" hidden="1"/>
    <cellStyle name="Followed Hyperlink" xfId="956" builtinId="9" hidden="1"/>
    <cellStyle name="Followed Hyperlink" xfId="957" builtinId="9" hidden="1"/>
    <cellStyle name="Followed Hyperlink" xfId="958" builtinId="9" hidden="1"/>
    <cellStyle name="Followed Hyperlink" xfId="959" builtinId="9" hidden="1"/>
    <cellStyle name="Followed Hyperlink" xfId="960" builtinId="9" hidden="1"/>
    <cellStyle name="Followed Hyperlink" xfId="961" builtinId="9" hidden="1"/>
    <cellStyle name="Followed Hyperlink" xfId="962" builtinId="9" hidden="1"/>
    <cellStyle name="Followed Hyperlink" xfId="963" builtinId="9" hidden="1"/>
    <cellStyle name="Followed Hyperlink" xfId="964" builtinId="9" hidden="1"/>
    <cellStyle name="Followed Hyperlink" xfId="965" builtinId="9" hidden="1"/>
    <cellStyle name="Followed Hyperlink" xfId="966" builtinId="9" hidden="1"/>
    <cellStyle name="Followed Hyperlink" xfId="967" builtinId="9" hidden="1"/>
    <cellStyle name="Followed Hyperlink" xfId="968" builtinId="9" hidden="1"/>
    <cellStyle name="Followed Hyperlink" xfId="969" builtinId="9" hidden="1"/>
    <cellStyle name="Followed Hyperlink" xfId="970" builtinId="9" hidden="1"/>
    <cellStyle name="Followed Hyperlink" xfId="971" builtinId="9" hidden="1"/>
    <cellStyle name="Followed Hyperlink" xfId="972" builtinId="9" hidden="1"/>
    <cellStyle name="Followed Hyperlink" xfId="973" builtinId="9" hidden="1"/>
    <cellStyle name="Followed Hyperlink" xfId="974" builtinId="9" hidden="1"/>
    <cellStyle name="Followed Hyperlink" xfId="975" builtinId="9" hidden="1"/>
    <cellStyle name="Followed Hyperlink" xfId="976" builtinId="9" hidden="1"/>
    <cellStyle name="Followed Hyperlink" xfId="977" builtinId="9" hidden="1"/>
    <cellStyle name="Followed Hyperlink" xfId="978" builtinId="9" hidden="1"/>
    <cellStyle name="Followed Hyperlink" xfId="979" builtinId="9" hidden="1"/>
    <cellStyle name="Followed Hyperlink" xfId="980" builtinId="9" hidden="1"/>
    <cellStyle name="Followed Hyperlink" xfId="981" builtinId="9" hidden="1"/>
    <cellStyle name="Followed Hyperlink" xfId="982" builtinId="9" hidden="1"/>
    <cellStyle name="Followed Hyperlink" xfId="983" builtinId="9" hidden="1"/>
    <cellStyle name="Followed Hyperlink" xfId="984" builtinId="9" hidden="1"/>
    <cellStyle name="Followed Hyperlink" xfId="985" builtinId="9" hidden="1"/>
    <cellStyle name="Followed Hyperlink" xfId="986" builtinId="9" hidden="1"/>
    <cellStyle name="Followed Hyperlink" xfId="987" builtinId="9" hidden="1"/>
    <cellStyle name="Followed Hyperlink" xfId="988" builtinId="9" hidden="1"/>
    <cellStyle name="Followed Hyperlink" xfId="989" builtinId="9" hidden="1"/>
    <cellStyle name="Followed Hyperlink" xfId="990" builtinId="9" hidden="1"/>
    <cellStyle name="Followed Hyperlink" xfId="991" builtinId="9" hidden="1"/>
    <cellStyle name="Followed Hyperlink" xfId="992" builtinId="9" hidden="1"/>
    <cellStyle name="Followed Hyperlink" xfId="993" builtinId="9" hidden="1"/>
    <cellStyle name="Followed Hyperlink" xfId="994" builtinId="9" hidden="1"/>
    <cellStyle name="Followed Hyperlink" xfId="995" builtinId="9" hidden="1"/>
    <cellStyle name="Followed Hyperlink" xfId="996" builtinId="9" hidden="1"/>
    <cellStyle name="Followed Hyperlink" xfId="997" builtinId="9" hidden="1"/>
    <cellStyle name="Followed Hyperlink" xfId="998" builtinId="9" hidden="1"/>
    <cellStyle name="Followed Hyperlink" xfId="999" builtinId="9" hidden="1"/>
    <cellStyle name="Followed Hyperlink" xfId="1000" builtinId="9" hidden="1"/>
    <cellStyle name="Followed Hyperlink" xfId="1001" builtinId="9" hidden="1"/>
    <cellStyle name="Followed Hyperlink" xfId="1002" builtinId="9" hidden="1"/>
    <cellStyle name="Followed Hyperlink" xfId="1003" builtinId="9" hidden="1"/>
    <cellStyle name="Followed Hyperlink" xfId="1004" builtinId="9" hidden="1"/>
    <cellStyle name="Followed Hyperlink" xfId="1005" builtinId="9" hidden="1"/>
    <cellStyle name="Followed Hyperlink" xfId="1006" builtinId="9" hidden="1"/>
    <cellStyle name="Followed Hyperlink" xfId="1007" builtinId="9" hidden="1"/>
    <cellStyle name="Followed Hyperlink" xfId="1008" builtinId="9" hidden="1"/>
    <cellStyle name="Followed Hyperlink" xfId="1009" builtinId="9" hidden="1"/>
    <cellStyle name="Followed Hyperlink" xfId="1010" builtinId="9" hidden="1"/>
    <cellStyle name="Followed Hyperlink" xfId="1011" builtinId="9" hidden="1"/>
    <cellStyle name="Followed Hyperlink" xfId="1012" builtinId="9" hidden="1"/>
    <cellStyle name="Followed Hyperlink" xfId="1013" builtinId="9" hidden="1"/>
    <cellStyle name="Followed Hyperlink" xfId="1014" builtinId="9" hidden="1"/>
    <cellStyle name="Followed Hyperlink" xfId="1015" builtinId="9" hidden="1"/>
    <cellStyle name="Followed Hyperlink" xfId="1016" builtinId="9" hidden="1"/>
    <cellStyle name="Followed Hyperlink" xfId="1017" builtinId="9" hidden="1"/>
    <cellStyle name="Followed Hyperlink" xfId="1018" builtinId="9" hidden="1"/>
    <cellStyle name="Followed Hyperlink" xfId="1019" builtinId="9" hidden="1"/>
    <cellStyle name="Followed Hyperlink" xfId="1020" builtinId="9" hidden="1"/>
    <cellStyle name="Followed Hyperlink" xfId="1021" builtinId="9" hidden="1"/>
    <cellStyle name="Followed Hyperlink" xfId="1022" builtinId="9" hidden="1"/>
    <cellStyle name="Followed Hyperlink" xfId="1023" builtinId="9" hidden="1"/>
    <cellStyle name="Followed Hyperlink" xfId="1024" builtinId="9" hidden="1"/>
    <cellStyle name="Followed Hyperlink" xfId="1025" builtinId="9" hidden="1"/>
    <cellStyle name="Followed Hyperlink" xfId="1026" builtinId="9" hidden="1"/>
    <cellStyle name="Followed Hyperlink" xfId="1027" builtinId="9" hidden="1"/>
    <cellStyle name="Followed Hyperlink" xfId="1028" builtinId="9" hidden="1"/>
    <cellStyle name="Followed Hyperlink" xfId="1029" builtinId="9" hidden="1"/>
    <cellStyle name="Followed Hyperlink" xfId="1030" builtinId="9" hidden="1"/>
    <cellStyle name="Followed Hyperlink" xfId="1031" builtinId="9" hidden="1"/>
    <cellStyle name="Followed Hyperlink" xfId="1032" builtinId="9" hidden="1"/>
    <cellStyle name="Followed Hyperlink" xfId="1033" builtinId="9" hidden="1"/>
    <cellStyle name="Followed Hyperlink" xfId="1034" builtinId="9" hidden="1"/>
    <cellStyle name="Followed Hyperlink" xfId="1035" builtinId="9" hidden="1"/>
    <cellStyle name="Followed Hyperlink" xfId="1036" builtinId="9" hidden="1"/>
    <cellStyle name="Followed Hyperlink" xfId="1037" builtinId="9" hidden="1"/>
    <cellStyle name="Followed Hyperlink" xfId="1038" builtinId="9" hidden="1"/>
    <cellStyle name="Followed Hyperlink" xfId="1039" builtinId="9" hidden="1"/>
    <cellStyle name="Followed Hyperlink" xfId="1040" builtinId="9" hidden="1"/>
    <cellStyle name="Followed Hyperlink" xfId="1041" builtinId="9" hidden="1"/>
    <cellStyle name="Followed Hyperlink" xfId="1042" builtinId="9" hidden="1"/>
    <cellStyle name="Followed Hyperlink" xfId="1043" builtinId="9" hidden="1"/>
    <cellStyle name="Followed Hyperlink" xfId="1044" builtinId="9" hidden="1"/>
    <cellStyle name="Followed Hyperlink" xfId="1045" builtinId="9" hidden="1"/>
    <cellStyle name="Followed Hyperlink" xfId="1046" builtinId="9" hidden="1"/>
    <cellStyle name="Followed Hyperlink" xfId="1047" builtinId="9" hidden="1"/>
    <cellStyle name="Followed Hyperlink" xfId="1048" builtinId="9" hidden="1"/>
    <cellStyle name="Followed Hyperlink" xfId="1049" builtinId="9" hidden="1"/>
    <cellStyle name="Followed Hyperlink" xfId="1050" builtinId="9" hidden="1"/>
    <cellStyle name="Followed Hyperlink" xfId="1051" builtinId="9" hidden="1"/>
    <cellStyle name="Followed Hyperlink" xfId="1052" builtinId="9" hidden="1"/>
    <cellStyle name="Followed Hyperlink" xfId="1053" builtinId="9" hidden="1"/>
    <cellStyle name="Followed Hyperlink" xfId="1054" builtinId="9" hidden="1"/>
    <cellStyle name="Followed Hyperlink" xfId="1055" builtinId="9" hidden="1"/>
    <cellStyle name="Followed Hyperlink" xfId="1056" builtinId="9" hidden="1"/>
    <cellStyle name="Followed Hyperlink" xfId="1057" builtinId="9" hidden="1"/>
    <cellStyle name="Followed Hyperlink" xfId="1058" builtinId="9" hidden="1"/>
    <cellStyle name="Followed Hyperlink" xfId="1059" builtinId="9" hidden="1"/>
    <cellStyle name="Followed Hyperlink" xfId="1060" builtinId="9" hidden="1"/>
    <cellStyle name="Followed Hyperlink" xfId="1061" builtinId="9" hidden="1"/>
    <cellStyle name="Followed Hyperlink" xfId="1062" builtinId="9" hidden="1"/>
    <cellStyle name="Followed Hyperlink" xfId="1063" builtinId="9" hidden="1"/>
    <cellStyle name="Followed Hyperlink" xfId="1064" builtinId="9" hidden="1"/>
    <cellStyle name="Followed Hyperlink" xfId="1065" builtinId="9" hidden="1"/>
    <cellStyle name="Followed Hyperlink" xfId="1066" builtinId="9" hidden="1"/>
    <cellStyle name="Followed Hyperlink" xfId="1067" builtinId="9" hidden="1"/>
    <cellStyle name="Followed Hyperlink" xfId="1068" builtinId="9" hidden="1"/>
    <cellStyle name="Followed Hyperlink" xfId="1069" builtinId="9" hidden="1"/>
    <cellStyle name="Followed Hyperlink" xfId="1070" builtinId="9" hidden="1"/>
    <cellStyle name="Followed Hyperlink" xfId="1071" builtinId="9" hidden="1"/>
    <cellStyle name="Followed Hyperlink" xfId="1072" builtinId="9" hidden="1"/>
    <cellStyle name="Followed Hyperlink" xfId="1073" builtinId="9" hidden="1"/>
    <cellStyle name="Followed Hyperlink" xfId="1074" builtinId="9" hidden="1"/>
    <cellStyle name="Followed Hyperlink" xfId="1075" builtinId="9" hidden="1"/>
    <cellStyle name="Followed Hyperlink" xfId="1076" builtinId="9" hidden="1"/>
    <cellStyle name="Followed Hyperlink" xfId="1077" builtinId="9" hidden="1"/>
    <cellStyle name="Followed Hyperlink" xfId="1078" builtinId="9" hidden="1"/>
    <cellStyle name="Followed Hyperlink" xfId="1079" builtinId="9" hidden="1"/>
    <cellStyle name="Followed Hyperlink" xfId="1080" builtinId="9" hidden="1"/>
    <cellStyle name="Followed Hyperlink" xfId="1081" builtinId="9" hidden="1"/>
    <cellStyle name="Followed Hyperlink" xfId="1082" builtinId="9" hidden="1"/>
    <cellStyle name="Followed Hyperlink" xfId="1083" builtinId="9" hidden="1"/>
    <cellStyle name="Followed Hyperlink" xfId="1084" builtinId="9" hidden="1"/>
    <cellStyle name="Followed Hyperlink" xfId="1085" builtinId="9" hidden="1"/>
    <cellStyle name="Followed Hyperlink" xfId="1086" builtinId="9" hidden="1"/>
    <cellStyle name="Followed Hyperlink" xfId="1087" builtinId="9" hidden="1"/>
    <cellStyle name="Followed Hyperlink" xfId="1088" builtinId="9" hidden="1"/>
    <cellStyle name="Followed Hyperlink" xfId="1089" builtinId="9" hidden="1"/>
    <cellStyle name="Followed Hyperlink" xfId="1090" builtinId="9" hidden="1"/>
    <cellStyle name="Followed Hyperlink" xfId="1091" builtinId="9" hidden="1"/>
    <cellStyle name="Followed Hyperlink" xfId="1092" builtinId="9" hidden="1"/>
    <cellStyle name="Followed Hyperlink" xfId="1093" builtinId="9" hidden="1"/>
    <cellStyle name="Followed Hyperlink" xfId="1094" builtinId="9" hidden="1"/>
    <cellStyle name="Followed Hyperlink" xfId="1095" builtinId="9" hidden="1"/>
    <cellStyle name="Followed Hyperlink" xfId="1096" builtinId="9" hidden="1"/>
    <cellStyle name="Followed Hyperlink" xfId="1097" builtinId="9" hidden="1"/>
    <cellStyle name="Followed Hyperlink" xfId="1098" builtinId="9" hidden="1"/>
    <cellStyle name="Followed Hyperlink" xfId="1099" builtinId="9" hidden="1"/>
    <cellStyle name="Followed Hyperlink" xfId="1100" builtinId="9" hidden="1"/>
    <cellStyle name="Followed Hyperlink" xfId="1101" builtinId="9" hidden="1"/>
    <cellStyle name="Followed Hyperlink" xfId="1102" builtinId="9" hidden="1"/>
    <cellStyle name="Followed Hyperlink" xfId="1103" builtinId="9" hidden="1"/>
    <cellStyle name="Followed Hyperlink" xfId="1104" builtinId="9" hidden="1"/>
    <cellStyle name="Followed Hyperlink" xfId="1105" builtinId="9" hidden="1"/>
    <cellStyle name="Followed Hyperlink" xfId="1106" builtinId="9" hidden="1"/>
    <cellStyle name="Followed Hyperlink" xfId="1107" builtinId="9" hidden="1"/>
    <cellStyle name="Followed Hyperlink" xfId="1108" builtinId="9" hidden="1"/>
    <cellStyle name="Followed Hyperlink" xfId="1109" builtinId="9" hidden="1"/>
    <cellStyle name="Followed Hyperlink" xfId="1110" builtinId="9" hidden="1"/>
    <cellStyle name="Followed Hyperlink" xfId="1111" builtinId="9" hidden="1"/>
    <cellStyle name="Followed Hyperlink" xfId="1112" builtinId="9" hidden="1"/>
    <cellStyle name="Followed Hyperlink" xfId="1113" builtinId="9" hidden="1"/>
    <cellStyle name="Followed Hyperlink" xfId="1114" builtinId="9" hidden="1"/>
    <cellStyle name="Followed Hyperlink" xfId="1115" builtinId="9" hidden="1"/>
    <cellStyle name="Followed Hyperlink" xfId="1116" builtinId="9" hidden="1"/>
    <cellStyle name="Followed Hyperlink" xfId="1117" builtinId="9" hidden="1"/>
    <cellStyle name="Followed Hyperlink" xfId="1118" builtinId="9" hidden="1"/>
    <cellStyle name="Followed Hyperlink" xfId="1119" builtinId="9" hidden="1"/>
    <cellStyle name="Followed Hyperlink" xfId="1120" builtinId="9" hidden="1"/>
    <cellStyle name="Followed Hyperlink" xfId="1121" builtinId="9" hidden="1"/>
    <cellStyle name="Followed Hyperlink" xfId="1122" builtinId="9" hidden="1"/>
    <cellStyle name="Followed Hyperlink" xfId="1123" builtinId="9" hidden="1"/>
    <cellStyle name="Followed Hyperlink" xfId="1124" builtinId="9" hidden="1"/>
    <cellStyle name="Followed Hyperlink" xfId="1125" builtinId="9" hidden="1"/>
    <cellStyle name="Followed Hyperlink" xfId="1126" builtinId="9" hidden="1"/>
    <cellStyle name="Followed Hyperlink" xfId="1127" builtinId="9" hidden="1"/>
    <cellStyle name="Followed Hyperlink" xfId="1128" builtinId="9" hidden="1"/>
    <cellStyle name="Followed Hyperlink" xfId="1129" builtinId="9" hidden="1"/>
    <cellStyle name="Followed Hyperlink" xfId="1130" builtinId="9" hidden="1"/>
    <cellStyle name="Followed Hyperlink" xfId="1131" builtinId="9" hidden="1"/>
    <cellStyle name="Followed Hyperlink" xfId="1132" builtinId="9" hidden="1"/>
    <cellStyle name="Followed Hyperlink" xfId="1133" builtinId="9" hidden="1"/>
    <cellStyle name="Followed Hyperlink" xfId="1134" builtinId="9" hidden="1"/>
    <cellStyle name="Followed Hyperlink" xfId="1135" builtinId="9" hidden="1"/>
    <cellStyle name="Followed Hyperlink" xfId="1136" builtinId="9" hidden="1"/>
    <cellStyle name="Followed Hyperlink" xfId="1137" builtinId="9" hidden="1"/>
    <cellStyle name="Followed Hyperlink" xfId="1138" builtinId="9" hidden="1"/>
    <cellStyle name="Followed Hyperlink" xfId="1139" builtinId="9" hidden="1"/>
    <cellStyle name="Followed Hyperlink" xfId="1140" builtinId="9" hidden="1"/>
    <cellStyle name="Followed Hyperlink" xfId="1141" builtinId="9" hidden="1"/>
    <cellStyle name="Followed Hyperlink" xfId="1142" builtinId="9" hidden="1"/>
    <cellStyle name="Followed Hyperlink" xfId="1143" builtinId="9" hidden="1"/>
    <cellStyle name="Followed Hyperlink" xfId="1144" builtinId="9" hidden="1"/>
    <cellStyle name="Followed Hyperlink" xfId="1145" builtinId="9" hidden="1"/>
    <cellStyle name="Followed Hyperlink" xfId="1146" builtinId="9" hidden="1"/>
    <cellStyle name="Followed Hyperlink" xfId="1147" builtinId="9" hidden="1"/>
    <cellStyle name="Followed Hyperlink" xfId="1148" builtinId="9" hidden="1"/>
    <cellStyle name="Followed Hyperlink" xfId="1149" builtinId="9" hidden="1"/>
    <cellStyle name="Followed Hyperlink" xfId="1150" builtinId="9" hidden="1"/>
    <cellStyle name="Followed Hyperlink" xfId="1151" builtinId="9" hidden="1"/>
    <cellStyle name="Followed Hyperlink" xfId="1152" builtinId="9" hidden="1"/>
    <cellStyle name="Followed Hyperlink" xfId="1153" builtinId="9" hidden="1"/>
    <cellStyle name="Followed Hyperlink" xfId="1154" builtinId="9" hidden="1"/>
    <cellStyle name="Followed Hyperlink" xfId="1155" builtinId="9" hidden="1"/>
    <cellStyle name="Followed Hyperlink" xfId="1156" builtinId="9" hidden="1"/>
    <cellStyle name="Followed Hyperlink" xfId="1157" builtinId="9" hidden="1"/>
    <cellStyle name="Followed Hyperlink" xfId="1158" builtinId="9" hidden="1"/>
    <cellStyle name="Followed Hyperlink" xfId="1159" builtinId="9" hidden="1"/>
    <cellStyle name="Followed Hyperlink" xfId="1160" builtinId="9" hidden="1"/>
    <cellStyle name="Followed Hyperlink" xfId="1161" builtinId="9" hidden="1"/>
    <cellStyle name="Followed Hyperlink" xfId="1162" builtinId="9" hidden="1"/>
    <cellStyle name="Followed Hyperlink" xfId="1163" builtinId="9" hidden="1"/>
    <cellStyle name="Followed Hyperlink" xfId="1164" builtinId="9" hidden="1"/>
    <cellStyle name="Followed Hyperlink" xfId="1165" builtinId="9" hidden="1"/>
    <cellStyle name="Followed Hyperlink" xfId="1166" builtinId="9" hidden="1"/>
    <cellStyle name="Followed Hyperlink" xfId="1167" builtinId="9" hidden="1"/>
    <cellStyle name="Followed Hyperlink" xfId="1168" builtinId="9" hidden="1"/>
    <cellStyle name="Followed Hyperlink" xfId="642" builtinId="9" hidden="1"/>
    <cellStyle name="Followed Hyperlink" xfId="1170" builtinId="9" hidden="1"/>
    <cellStyle name="Followed Hyperlink" xfId="1171" builtinId="9" hidden="1"/>
    <cellStyle name="Followed Hyperlink" xfId="1172" builtinId="9" hidden="1"/>
    <cellStyle name="Followed Hyperlink" xfId="1173" builtinId="9" hidden="1"/>
    <cellStyle name="Followed Hyperlink" xfId="1174" builtinId="9" hidden="1"/>
    <cellStyle name="Followed Hyperlink" xfId="1175" builtinId="9" hidden="1"/>
    <cellStyle name="Followed Hyperlink" xfId="1176" builtinId="9" hidden="1"/>
    <cellStyle name="Followed Hyperlink" xfId="1177" builtinId="9" hidden="1"/>
    <cellStyle name="Followed Hyperlink" xfId="1178" builtinId="9" hidden="1"/>
    <cellStyle name="Followed Hyperlink" xfId="1179" builtinId="9" hidden="1"/>
    <cellStyle name="Followed Hyperlink" xfId="1180" builtinId="9" hidden="1"/>
    <cellStyle name="Followed Hyperlink" xfId="1181" builtinId="9" hidden="1"/>
    <cellStyle name="Followed Hyperlink" xfId="1182" builtinId="9" hidden="1"/>
    <cellStyle name="Followed Hyperlink" xfId="1183" builtinId="9" hidden="1"/>
    <cellStyle name="Followed Hyperlink" xfId="1184" builtinId="9" hidden="1"/>
    <cellStyle name="Followed Hyperlink" xfId="1185" builtinId="9" hidden="1"/>
    <cellStyle name="Followed Hyperlink" xfId="1186" builtinId="9" hidden="1"/>
    <cellStyle name="Followed Hyperlink" xfId="1187" builtinId="9" hidden="1"/>
    <cellStyle name="Followed Hyperlink" xfId="1188" builtinId="9" hidden="1"/>
    <cellStyle name="Followed Hyperlink" xfId="1189" builtinId="9" hidden="1"/>
    <cellStyle name="Followed Hyperlink" xfId="1190" builtinId="9" hidden="1"/>
    <cellStyle name="Followed Hyperlink" xfId="1191" builtinId="9" hidden="1"/>
    <cellStyle name="Followed Hyperlink" xfId="1192" builtinId="9" hidden="1"/>
    <cellStyle name="Followed Hyperlink" xfId="1193" builtinId="9" hidden="1"/>
    <cellStyle name="Followed Hyperlink" xfId="1194" builtinId="9" hidden="1"/>
    <cellStyle name="Followed Hyperlink" xfId="1195" builtinId="9" hidden="1"/>
    <cellStyle name="Followed Hyperlink" xfId="1196" builtinId="9" hidden="1"/>
    <cellStyle name="Followed Hyperlink" xfId="1197" builtinId="9" hidden="1"/>
    <cellStyle name="Followed Hyperlink" xfId="1198" builtinId="9" hidden="1"/>
    <cellStyle name="Followed Hyperlink" xfId="1199" builtinId="9" hidden="1"/>
    <cellStyle name="Followed Hyperlink" xfId="1200" builtinId="9" hidden="1"/>
    <cellStyle name="Followed Hyperlink" xfId="1201" builtinId="9" hidden="1"/>
    <cellStyle name="Followed Hyperlink" xfId="1202" builtinId="9" hidden="1"/>
    <cellStyle name="Followed Hyperlink" xfId="1203" builtinId="9" hidden="1"/>
    <cellStyle name="Followed Hyperlink" xfId="1204" builtinId="9" hidden="1"/>
    <cellStyle name="Followed Hyperlink" xfId="1205" builtinId="9" hidden="1"/>
    <cellStyle name="Followed Hyperlink" xfId="1206" builtinId="9" hidden="1"/>
    <cellStyle name="Followed Hyperlink" xfId="1207" builtinId="9" hidden="1"/>
    <cellStyle name="Followed Hyperlink" xfId="1208" builtinId="9" hidden="1"/>
    <cellStyle name="Followed Hyperlink" xfId="1209" builtinId="9" hidden="1"/>
    <cellStyle name="Followed Hyperlink" xfId="1210" builtinId="9" hidden="1"/>
    <cellStyle name="Followed Hyperlink" xfId="1211" builtinId="9" hidden="1"/>
    <cellStyle name="Followed Hyperlink" xfId="1212" builtinId="9" hidden="1"/>
    <cellStyle name="Followed Hyperlink" xfId="1213" builtinId="9" hidden="1"/>
    <cellStyle name="Followed Hyperlink" xfId="1214" builtinId="9" hidden="1"/>
    <cellStyle name="Followed Hyperlink" xfId="1215" builtinId="9" hidden="1"/>
    <cellStyle name="Followed Hyperlink" xfId="1216" builtinId="9" hidden="1"/>
    <cellStyle name="Followed Hyperlink" xfId="1169" builtinId="9" hidden="1"/>
    <cellStyle name="Followed Hyperlink" xfId="1217" builtinId="9" hidden="1"/>
    <cellStyle name="Followed Hyperlink" xfId="1218" builtinId="9" hidden="1"/>
    <cellStyle name="Followed Hyperlink" xfId="1219" builtinId="9" hidden="1"/>
    <cellStyle name="Followed Hyperlink" xfId="1220" builtinId="9" hidden="1"/>
    <cellStyle name="Followed Hyperlink" xfId="1221" builtinId="9" hidden="1"/>
    <cellStyle name="Followed Hyperlink" xfId="1222" builtinId="9" hidden="1"/>
    <cellStyle name="Followed Hyperlink" xfId="1223" builtinId="9" hidden="1"/>
    <cellStyle name="Followed Hyperlink" xfId="1224" builtinId="9" hidden="1"/>
    <cellStyle name="Followed Hyperlink" xfId="1225" builtinId="9" hidden="1"/>
    <cellStyle name="Followed Hyperlink" xfId="1226" builtinId="9" hidden="1"/>
    <cellStyle name="Followed Hyperlink" xfId="1227" builtinId="9" hidden="1"/>
    <cellStyle name="Followed Hyperlink" xfId="1228" builtinId="9" hidden="1"/>
    <cellStyle name="Followed Hyperlink" xfId="1229" builtinId="9" hidden="1"/>
    <cellStyle name="Followed Hyperlink" xfId="1230" builtinId="9" hidden="1"/>
    <cellStyle name="Followed Hyperlink" xfId="1231" builtinId="9" hidden="1"/>
    <cellStyle name="Followed Hyperlink" xfId="1232" builtinId="9" hidden="1"/>
    <cellStyle name="Followed Hyperlink" xfId="1233" builtinId="9" hidden="1"/>
    <cellStyle name="Followed Hyperlink" xfId="1234" builtinId="9" hidden="1"/>
    <cellStyle name="Followed Hyperlink" xfId="1235" builtinId="9" hidden="1"/>
    <cellStyle name="Followed Hyperlink" xfId="1236" builtinId="9" hidden="1"/>
    <cellStyle name="Followed Hyperlink" xfId="1237" builtinId="9" hidden="1"/>
    <cellStyle name="Followed Hyperlink" xfId="1238" builtinId="9" hidden="1"/>
    <cellStyle name="Followed Hyperlink" xfId="1239" builtinId="9" hidden="1"/>
    <cellStyle name="Followed Hyperlink" xfId="1240" builtinId="9" hidden="1"/>
    <cellStyle name="Followed Hyperlink" xfId="1241" builtinId="9" hidden="1"/>
    <cellStyle name="Followed Hyperlink" xfId="1242" builtinId="9" hidden="1"/>
    <cellStyle name="Followed Hyperlink" xfId="1243" builtinId="9" hidden="1"/>
    <cellStyle name="Followed Hyperlink" xfId="1244" builtinId="9" hidden="1"/>
    <cellStyle name="Followed Hyperlink" xfId="1245" builtinId="9" hidden="1"/>
    <cellStyle name="Followed Hyperlink" xfId="1246" builtinId="9" hidden="1"/>
    <cellStyle name="Followed Hyperlink" xfId="1247" builtinId="9" hidden="1"/>
    <cellStyle name="Followed Hyperlink" xfId="1248" builtinId="9" hidden="1"/>
    <cellStyle name="Followed Hyperlink" xfId="1249" builtinId="9" hidden="1"/>
    <cellStyle name="Followed Hyperlink" xfId="1250" builtinId="9" hidden="1"/>
    <cellStyle name="Followed Hyperlink" xfId="1251" builtinId="9" hidden="1"/>
    <cellStyle name="Followed Hyperlink" xfId="1252" builtinId="9" hidden="1"/>
    <cellStyle name="Followed Hyperlink" xfId="1253" builtinId="9" hidden="1"/>
    <cellStyle name="Followed Hyperlink" xfId="1254" builtinId="9" hidden="1"/>
    <cellStyle name="Followed Hyperlink" xfId="1255" builtinId="9" hidden="1"/>
    <cellStyle name="Followed Hyperlink" xfId="1256" builtinId="9" hidden="1"/>
    <cellStyle name="Followed Hyperlink" xfId="1257" builtinId="9" hidden="1"/>
    <cellStyle name="Followed Hyperlink" xfId="1258" builtinId="9" hidden="1"/>
    <cellStyle name="Followed Hyperlink" xfId="1259" builtinId="9" hidden="1"/>
    <cellStyle name="Followed Hyperlink" xfId="1260" builtinId="9" hidden="1"/>
    <cellStyle name="Followed Hyperlink" xfId="1261" builtinId="9" hidden="1"/>
    <cellStyle name="Followed Hyperlink" xfId="1262" builtinId="9" hidden="1"/>
    <cellStyle name="Followed Hyperlink" xfId="1263" builtinId="9" hidden="1"/>
    <cellStyle name="Hyperlink" xfId="2" builtinId="8"/>
    <cellStyle name="Hyperlink 2" xfId="3" xr:uid="{00000000-0005-0000-0000-0000E1040000}"/>
    <cellStyle name="Hyperlink 3" xfId="1" xr:uid="{00000000-0005-0000-0000-0000E2040000}"/>
    <cellStyle name="Normal" xfId="0" builtinId="0"/>
    <cellStyle name="Normal 2" xfId="4" xr:uid="{00000000-0005-0000-0000-0000E4040000}"/>
    <cellStyle name="Normal 2 2" xfId="5" xr:uid="{00000000-0005-0000-0000-0000E5040000}"/>
    <cellStyle name="Normal 2 3" xfId="6" xr:uid="{00000000-0005-0000-0000-0000E6040000}"/>
    <cellStyle name="Normal 2 4" xfId="7" xr:uid="{00000000-0005-0000-0000-0000E7040000}"/>
    <cellStyle name="Normal 3" xfId="8" xr:uid="{00000000-0005-0000-0000-0000E8040000}"/>
    <cellStyle name="Normal 3 2" xfId="9" xr:uid="{00000000-0005-0000-0000-0000E9040000}"/>
    <cellStyle name="Normal 3 3" xfId="10" xr:uid="{00000000-0005-0000-0000-0000EA040000}"/>
    <cellStyle name="Normal 4" xfId="11" xr:uid="{00000000-0005-0000-0000-0000EB040000}"/>
    <cellStyle name="Normal 5" xfId="12" xr:uid="{00000000-0005-0000-0000-0000EC040000}"/>
    <cellStyle name="Normal 6" xfId="13" xr:uid="{00000000-0005-0000-0000-0000ED040000}"/>
    <cellStyle name="Normal 7" xfId="14" xr:uid="{00000000-0005-0000-0000-0000EE040000}"/>
    <cellStyle name="Normal 8" xfId="15" xr:uid="{00000000-0005-0000-0000-0000EF040000}"/>
  </cellStyles>
  <dxfs count="7861">
    <dxf>
      <font>
        <color theme="9" tint="-0.24994659260841701"/>
      </font>
      <fill>
        <patternFill>
          <bgColor theme="9" tint="0.59996337778862885"/>
        </patternFill>
      </fill>
    </dxf>
    <dxf>
      <font>
        <color rgb="FF9C0006"/>
      </font>
      <fill>
        <patternFill>
          <bgColor rgb="FFFFC7CE"/>
        </patternFill>
      </fill>
    </dxf>
    <dxf>
      <font>
        <color rgb="FF006100"/>
      </font>
      <fill>
        <patternFill>
          <bgColor rgb="FFC6EFCE"/>
        </patternFill>
      </fill>
    </dxf>
    <dxf>
      <font>
        <b/>
        <i val="0"/>
        <color rgb="FFFF0000"/>
      </font>
    </dxf>
    <dxf>
      <font>
        <b/>
        <i val="0"/>
        <color rgb="FFFF0000"/>
      </font>
    </dxf>
    <dxf>
      <font>
        <b/>
        <i val="0"/>
      </font>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b/>
        <i val="0"/>
        <color rgb="FFFF0000"/>
      </font>
    </dxf>
    <dxf>
      <font>
        <b/>
        <i val="0"/>
        <color rgb="FFFF0000"/>
      </font>
    </dxf>
    <dxf>
      <font>
        <b/>
        <i val="0"/>
        <color rgb="FFFF0000"/>
      </font>
    </dxf>
    <dxf>
      <font>
        <b/>
        <i val="0"/>
      </font>
    </dxf>
    <dxf>
      <font>
        <b/>
        <i val="0"/>
        <color rgb="FFFF0000"/>
      </font>
    </dxf>
    <dxf>
      <font>
        <b/>
        <i val="0"/>
      </font>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b/>
        <i val="0"/>
        <color rgb="FFFF0000"/>
      </font>
    </dxf>
    <dxf>
      <font>
        <b/>
        <i val="0"/>
        <color rgb="FFFF0000"/>
      </font>
    </dxf>
    <dxf>
      <font>
        <b/>
        <i val="0"/>
        <color rgb="FFFF0000"/>
      </font>
    </dxf>
    <dxf>
      <font>
        <b/>
        <i val="0"/>
      </font>
    </dxf>
    <dxf>
      <font>
        <b/>
        <i val="0"/>
        <color rgb="FFFF0000"/>
      </font>
    </dxf>
    <dxf>
      <font>
        <b/>
        <i val="0"/>
      </font>
    </dxf>
    <dxf>
      <font>
        <color theme="9" tint="-0.24994659260841701"/>
      </font>
      <fill>
        <patternFill>
          <bgColor theme="9" tint="0.59996337778862885"/>
        </patternFill>
      </fill>
    </dxf>
    <dxf>
      <font>
        <b/>
        <i val="0"/>
        <color rgb="FFFF0000"/>
      </font>
    </dxf>
    <dxf>
      <font>
        <b/>
        <i val="0"/>
        <color rgb="FFFF0000"/>
      </font>
    </dxf>
    <dxf>
      <font>
        <b/>
        <i val="0"/>
      </font>
    </dxf>
    <dxf>
      <font>
        <color theme="9" tint="-0.24994659260841701"/>
      </font>
      <fill>
        <patternFill>
          <bgColor theme="9" tint="0.59996337778862885"/>
        </patternFill>
      </fill>
    </dxf>
    <dxf>
      <font>
        <color theme="9" tint="-0.24994659260841701"/>
      </font>
      <fill>
        <patternFill>
          <bgColor theme="9" tint="0.59996337778862885"/>
        </patternFill>
      </fill>
    </dxf>
    <dxf>
      <font>
        <b/>
        <i val="0"/>
        <color rgb="FFFF0000"/>
      </font>
    </dxf>
    <dxf>
      <font>
        <b/>
        <i val="0"/>
        <color rgb="FFFF0000"/>
      </font>
    </dxf>
    <dxf>
      <font>
        <b/>
        <i val="0"/>
      </font>
    </dxf>
    <dxf>
      <font>
        <color rgb="FF006100"/>
      </font>
      <fill>
        <patternFill>
          <bgColor rgb="FFC6EFCE"/>
        </patternFill>
      </fill>
    </dxf>
    <dxf>
      <font>
        <color rgb="FF9C0006"/>
      </font>
      <fill>
        <patternFill>
          <bgColor rgb="FFFFC7CE"/>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color rgb="FF9C0006"/>
      </font>
      <fill>
        <patternFill>
          <bgColor rgb="FFFFC7CE"/>
        </patternFill>
      </fill>
    </dxf>
    <dxf>
      <font>
        <color rgb="FF006100"/>
      </font>
      <fill>
        <patternFill>
          <bgColor rgb="FFC6EFCE"/>
        </patternFill>
      </fill>
    </dxf>
    <dxf>
      <font>
        <b/>
        <i val="0"/>
        <color rgb="FFFF0000"/>
      </font>
    </dxf>
    <dxf>
      <font>
        <b/>
        <i val="0"/>
        <color rgb="FFFF0000"/>
      </font>
    </dxf>
    <dxf>
      <font>
        <b/>
        <i val="0"/>
      </font>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b/>
        <i val="0"/>
        <color rgb="FFFF0000"/>
      </font>
    </dxf>
    <dxf>
      <font>
        <b/>
        <i val="0"/>
        <color rgb="FFFF0000"/>
      </font>
    </dxf>
    <dxf>
      <font>
        <b/>
        <i val="0"/>
        <color rgb="FFFF0000"/>
      </font>
    </dxf>
    <dxf>
      <font>
        <b/>
        <i val="0"/>
      </font>
    </dxf>
    <dxf>
      <font>
        <b/>
        <i val="0"/>
        <color rgb="FFFF0000"/>
      </font>
    </dxf>
    <dxf>
      <font>
        <b/>
        <i val="0"/>
      </font>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b/>
        <i val="0"/>
        <color rgb="FFFF0000"/>
      </font>
    </dxf>
    <dxf>
      <font>
        <b/>
        <i val="0"/>
        <color rgb="FFFF0000"/>
      </font>
    </dxf>
    <dxf>
      <font>
        <b/>
        <i val="0"/>
        <color rgb="FFFF0000"/>
      </font>
    </dxf>
    <dxf>
      <font>
        <b/>
        <i val="0"/>
      </font>
    </dxf>
    <dxf>
      <font>
        <b/>
        <i val="0"/>
        <color rgb="FFFF0000"/>
      </font>
    </dxf>
    <dxf>
      <font>
        <b/>
        <i val="0"/>
      </font>
    </dxf>
    <dxf>
      <font>
        <color theme="9" tint="-0.24994659260841701"/>
      </font>
      <fill>
        <patternFill>
          <bgColor theme="9" tint="0.59996337778862885"/>
        </patternFill>
      </fill>
    </dxf>
    <dxf>
      <font>
        <b/>
        <i val="0"/>
        <color rgb="FFFF0000"/>
      </font>
    </dxf>
    <dxf>
      <font>
        <b/>
        <i val="0"/>
        <color rgb="FFFF0000"/>
      </font>
    </dxf>
    <dxf>
      <font>
        <b/>
        <i val="0"/>
      </font>
    </dxf>
    <dxf>
      <font>
        <color theme="9" tint="-0.24994659260841701"/>
      </font>
      <fill>
        <patternFill>
          <bgColor theme="9" tint="0.59996337778862885"/>
        </patternFill>
      </fill>
    </dxf>
    <dxf>
      <font>
        <color theme="9" tint="-0.24994659260841701"/>
      </font>
      <fill>
        <patternFill>
          <bgColor theme="9" tint="0.59996337778862885"/>
        </patternFill>
      </fill>
    </dxf>
    <dxf>
      <font>
        <b/>
        <i val="0"/>
        <color rgb="FFFF0000"/>
      </font>
    </dxf>
    <dxf>
      <font>
        <b/>
        <i val="0"/>
        <color rgb="FFFF0000"/>
      </font>
    </dxf>
    <dxf>
      <font>
        <b/>
        <i val="0"/>
      </font>
    </dxf>
    <dxf>
      <font>
        <color rgb="FF006100"/>
      </font>
      <fill>
        <patternFill>
          <bgColor rgb="FFC6EFCE"/>
        </patternFill>
      </fill>
    </dxf>
    <dxf>
      <font>
        <color rgb="FF9C0006"/>
      </font>
      <fill>
        <patternFill>
          <bgColor rgb="FFFFC7CE"/>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color rgb="FF9C0006"/>
      </font>
      <fill>
        <patternFill>
          <bgColor rgb="FFFFC7CE"/>
        </patternFill>
      </fill>
    </dxf>
    <dxf>
      <font>
        <color rgb="FF006100"/>
      </font>
      <fill>
        <patternFill>
          <bgColor rgb="FFC6EFCE"/>
        </patternFill>
      </fill>
    </dxf>
    <dxf>
      <font>
        <b/>
        <i val="0"/>
        <color rgb="FFFF0000"/>
      </font>
    </dxf>
    <dxf>
      <font>
        <b/>
        <i val="0"/>
        <color rgb="FFFF0000"/>
      </font>
    </dxf>
    <dxf>
      <font>
        <b/>
        <i val="0"/>
      </font>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b/>
        <i val="0"/>
        <color rgb="FFFF0000"/>
      </font>
    </dxf>
    <dxf>
      <font>
        <b/>
        <i val="0"/>
        <color rgb="FFFF0000"/>
      </font>
    </dxf>
    <dxf>
      <font>
        <b/>
        <i val="0"/>
        <color rgb="FFFF0000"/>
      </font>
    </dxf>
    <dxf>
      <font>
        <b/>
        <i val="0"/>
      </font>
    </dxf>
    <dxf>
      <font>
        <b/>
        <i val="0"/>
        <color rgb="FFFF0000"/>
      </font>
    </dxf>
    <dxf>
      <font>
        <b/>
        <i val="0"/>
      </font>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b/>
        <i val="0"/>
        <color rgb="FFFF0000"/>
      </font>
    </dxf>
    <dxf>
      <font>
        <b/>
        <i val="0"/>
        <color rgb="FFFF0000"/>
      </font>
    </dxf>
    <dxf>
      <font>
        <b/>
        <i val="0"/>
        <color rgb="FFFF0000"/>
      </font>
    </dxf>
    <dxf>
      <font>
        <b/>
        <i val="0"/>
      </font>
    </dxf>
    <dxf>
      <font>
        <b/>
        <i val="0"/>
        <color rgb="FFFF0000"/>
      </font>
    </dxf>
    <dxf>
      <font>
        <b/>
        <i val="0"/>
      </font>
    </dxf>
    <dxf>
      <font>
        <color theme="9" tint="-0.24994659260841701"/>
      </font>
      <fill>
        <patternFill>
          <bgColor theme="9" tint="0.59996337778862885"/>
        </patternFill>
      </fill>
    </dxf>
    <dxf>
      <font>
        <b/>
        <i val="0"/>
        <color rgb="FFFF0000"/>
      </font>
    </dxf>
    <dxf>
      <font>
        <b/>
        <i val="0"/>
        <color rgb="FFFF0000"/>
      </font>
    </dxf>
    <dxf>
      <font>
        <b/>
        <i val="0"/>
      </font>
    </dxf>
    <dxf>
      <font>
        <color theme="9" tint="-0.24994659260841701"/>
      </font>
      <fill>
        <patternFill>
          <bgColor theme="9" tint="0.59996337778862885"/>
        </patternFill>
      </fill>
    </dxf>
    <dxf>
      <font>
        <color theme="9" tint="-0.24994659260841701"/>
      </font>
      <fill>
        <patternFill>
          <bgColor theme="9" tint="0.59996337778862885"/>
        </patternFill>
      </fill>
    </dxf>
    <dxf>
      <font>
        <b/>
        <i val="0"/>
        <color rgb="FFFF0000"/>
      </font>
    </dxf>
    <dxf>
      <font>
        <b/>
        <i val="0"/>
        <color rgb="FFFF0000"/>
      </font>
    </dxf>
    <dxf>
      <font>
        <b/>
        <i val="0"/>
      </font>
    </dxf>
    <dxf>
      <font>
        <color rgb="FF006100"/>
      </font>
      <fill>
        <patternFill>
          <bgColor rgb="FFC6EFCE"/>
        </patternFill>
      </fill>
    </dxf>
    <dxf>
      <font>
        <color rgb="FF9C0006"/>
      </font>
      <fill>
        <patternFill>
          <bgColor rgb="FFFFC7CE"/>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color rgb="FF9C0006"/>
      </font>
      <fill>
        <patternFill>
          <bgColor rgb="FFFFC7CE"/>
        </patternFill>
      </fill>
    </dxf>
    <dxf>
      <font>
        <color rgb="FF006100"/>
      </font>
      <fill>
        <patternFill>
          <bgColor rgb="FFC6EFCE"/>
        </patternFill>
      </fill>
    </dxf>
    <dxf>
      <font>
        <b/>
        <i val="0"/>
        <color rgb="FFFF0000"/>
      </font>
    </dxf>
    <dxf>
      <font>
        <b/>
        <i val="0"/>
        <color rgb="FFFF0000"/>
      </font>
    </dxf>
    <dxf>
      <font>
        <b/>
        <i val="0"/>
      </font>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b/>
        <i val="0"/>
        <color rgb="FFFF0000"/>
      </font>
    </dxf>
    <dxf>
      <font>
        <b/>
        <i val="0"/>
        <color rgb="FFFF0000"/>
      </font>
    </dxf>
    <dxf>
      <font>
        <b/>
        <i val="0"/>
        <color rgb="FFFF0000"/>
      </font>
    </dxf>
    <dxf>
      <font>
        <b/>
        <i val="0"/>
      </font>
    </dxf>
    <dxf>
      <font>
        <b/>
        <i val="0"/>
        <color rgb="FFFF0000"/>
      </font>
    </dxf>
    <dxf>
      <font>
        <b/>
        <i val="0"/>
      </font>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b/>
        <i val="0"/>
        <color rgb="FFFF0000"/>
      </font>
    </dxf>
    <dxf>
      <font>
        <b/>
        <i val="0"/>
        <color rgb="FFFF0000"/>
      </font>
    </dxf>
    <dxf>
      <font>
        <b/>
        <i val="0"/>
        <color rgb="FFFF0000"/>
      </font>
    </dxf>
    <dxf>
      <font>
        <b/>
        <i val="0"/>
      </font>
    </dxf>
    <dxf>
      <font>
        <b/>
        <i val="0"/>
        <color rgb="FFFF0000"/>
      </font>
    </dxf>
    <dxf>
      <font>
        <b/>
        <i val="0"/>
      </font>
    </dxf>
    <dxf>
      <font>
        <color theme="9" tint="-0.24994659260841701"/>
      </font>
      <fill>
        <patternFill>
          <bgColor theme="9" tint="0.59996337778862885"/>
        </patternFill>
      </fill>
    </dxf>
    <dxf>
      <font>
        <b/>
        <i val="0"/>
        <color rgb="FFFF0000"/>
      </font>
    </dxf>
    <dxf>
      <font>
        <b/>
        <i val="0"/>
        <color rgb="FFFF0000"/>
      </font>
    </dxf>
    <dxf>
      <font>
        <b/>
        <i val="0"/>
      </font>
    </dxf>
    <dxf>
      <font>
        <color theme="9" tint="-0.24994659260841701"/>
      </font>
      <fill>
        <patternFill>
          <bgColor theme="9" tint="0.59996337778862885"/>
        </patternFill>
      </fill>
    </dxf>
    <dxf>
      <font>
        <color theme="9" tint="-0.24994659260841701"/>
      </font>
      <fill>
        <patternFill>
          <bgColor theme="9" tint="0.59996337778862885"/>
        </patternFill>
      </fill>
    </dxf>
    <dxf>
      <font>
        <b/>
        <i val="0"/>
        <color rgb="FFFF0000"/>
      </font>
    </dxf>
    <dxf>
      <font>
        <b/>
        <i val="0"/>
        <color rgb="FFFF0000"/>
      </font>
    </dxf>
    <dxf>
      <font>
        <b/>
        <i val="0"/>
      </font>
    </dxf>
    <dxf>
      <font>
        <color rgb="FF006100"/>
      </font>
      <fill>
        <patternFill>
          <bgColor rgb="FFC6EFCE"/>
        </patternFill>
      </fill>
    </dxf>
    <dxf>
      <font>
        <color rgb="FF9C0006"/>
      </font>
      <fill>
        <patternFill>
          <bgColor rgb="FFFFC7CE"/>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b/>
        <i val="0"/>
      </font>
    </dxf>
    <dxf>
      <font>
        <b/>
        <i val="0"/>
      </font>
    </dxf>
    <dxf>
      <font>
        <b/>
        <i val="0"/>
      </font>
    </dxf>
    <dxf>
      <font>
        <b/>
        <i val="0"/>
      </font>
    </dxf>
    <dxf>
      <font>
        <b/>
        <i val="0"/>
      </font>
    </dxf>
    <dxf>
      <font>
        <b/>
        <i val="0"/>
      </font>
    </dxf>
    <dxf>
      <font>
        <color theme="9" tint="-0.24994659260841701"/>
      </font>
      <fill>
        <patternFill>
          <bgColor theme="9" tint="0.59996337778862885"/>
        </patternFill>
      </fill>
    </dxf>
    <dxf>
      <font>
        <b/>
        <i val="0"/>
        <color rgb="FFFF0000"/>
      </font>
    </dxf>
    <dxf>
      <font>
        <b/>
        <i val="0"/>
        <color rgb="FFFF0000"/>
      </font>
    </dxf>
    <dxf>
      <font>
        <color rgb="FF006100"/>
      </font>
      <fill>
        <patternFill>
          <bgColor rgb="FFC6EFCE"/>
        </patternFill>
      </fill>
    </dxf>
    <dxf>
      <font>
        <color rgb="FF9C0006"/>
      </font>
      <fill>
        <patternFill>
          <bgColor rgb="FFFFC7CE"/>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b/>
        <i val="0"/>
      </font>
    </dxf>
    <dxf>
      <font>
        <b/>
        <i val="0"/>
      </font>
    </dxf>
    <dxf>
      <font>
        <b/>
        <i val="0"/>
      </font>
    </dxf>
    <dxf>
      <font>
        <b/>
        <i val="0"/>
      </font>
    </dxf>
    <dxf>
      <font>
        <b/>
        <i val="0"/>
      </font>
    </dxf>
    <dxf>
      <font>
        <b/>
        <i val="0"/>
      </font>
    </dxf>
    <dxf>
      <font>
        <color theme="9" tint="-0.24994659260841701"/>
      </font>
      <fill>
        <patternFill>
          <bgColor theme="9" tint="0.59996337778862885"/>
        </patternFill>
      </fill>
    </dxf>
    <dxf>
      <font>
        <b/>
        <i val="0"/>
        <color rgb="FFFF0000"/>
      </font>
    </dxf>
    <dxf>
      <font>
        <b/>
        <i val="0"/>
        <color rgb="FFFF0000"/>
      </font>
    </dxf>
    <dxf>
      <font>
        <color rgb="FF006100"/>
      </font>
      <fill>
        <patternFill>
          <bgColor rgb="FFC6EFCE"/>
        </patternFill>
      </fill>
    </dxf>
    <dxf>
      <font>
        <color rgb="FF9C0006"/>
      </font>
      <fill>
        <patternFill>
          <bgColor rgb="FFFFC7CE"/>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b/>
        <i val="0"/>
      </font>
    </dxf>
    <dxf>
      <font>
        <b/>
        <i val="0"/>
      </font>
    </dxf>
    <dxf>
      <font>
        <b/>
        <i val="0"/>
      </font>
    </dxf>
    <dxf>
      <font>
        <b/>
        <i val="0"/>
      </font>
    </dxf>
    <dxf>
      <font>
        <b/>
        <i val="0"/>
      </font>
    </dxf>
    <dxf>
      <font>
        <b/>
        <i val="0"/>
      </font>
    </dxf>
    <dxf>
      <font>
        <color theme="9" tint="-0.24994659260841701"/>
      </font>
      <fill>
        <patternFill>
          <bgColor theme="9" tint="0.59996337778862885"/>
        </patternFill>
      </fill>
    </dxf>
    <dxf>
      <font>
        <b/>
        <i val="0"/>
        <color rgb="FFFF0000"/>
      </font>
    </dxf>
    <dxf>
      <font>
        <b/>
        <i val="0"/>
        <color rgb="FFFF0000"/>
      </font>
    </dxf>
    <dxf>
      <font>
        <color rgb="FF006100"/>
      </font>
      <fill>
        <patternFill>
          <bgColor rgb="FFC6EFCE"/>
        </patternFill>
      </fill>
    </dxf>
    <dxf>
      <font>
        <color rgb="FF9C0006"/>
      </font>
      <fill>
        <patternFill>
          <bgColor rgb="FFFFC7CE"/>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b/>
        <i val="0"/>
      </font>
    </dxf>
    <dxf>
      <font>
        <b/>
        <i val="0"/>
      </font>
    </dxf>
    <dxf>
      <font>
        <b/>
        <i val="0"/>
      </font>
    </dxf>
    <dxf>
      <font>
        <b/>
        <i val="0"/>
      </font>
    </dxf>
    <dxf>
      <font>
        <b/>
        <i val="0"/>
      </font>
    </dxf>
    <dxf>
      <font>
        <b/>
        <i val="0"/>
      </font>
    </dxf>
    <dxf>
      <font>
        <color theme="9" tint="-0.24994659260841701"/>
      </font>
      <fill>
        <patternFill>
          <bgColor theme="9" tint="0.59996337778862885"/>
        </patternFill>
      </fill>
    </dxf>
    <dxf>
      <font>
        <b/>
        <i val="0"/>
        <color rgb="FFFF0000"/>
      </font>
    </dxf>
    <dxf>
      <font>
        <b/>
        <i val="0"/>
        <color rgb="FFFF0000"/>
      </font>
    </dxf>
    <dxf>
      <font>
        <color rgb="FF006100"/>
      </font>
      <fill>
        <patternFill>
          <bgColor rgb="FFC6EFCE"/>
        </patternFill>
      </fill>
    </dxf>
    <dxf>
      <font>
        <color rgb="FF9C0006"/>
      </font>
      <fill>
        <patternFill>
          <bgColor rgb="FFFFC7CE"/>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b/>
        <i val="0"/>
      </font>
    </dxf>
    <dxf>
      <font>
        <b/>
        <i val="0"/>
      </font>
    </dxf>
    <dxf>
      <font>
        <b/>
        <i val="0"/>
      </font>
    </dxf>
    <dxf>
      <font>
        <b/>
        <i val="0"/>
      </font>
    </dxf>
    <dxf>
      <font>
        <b/>
        <i val="0"/>
      </font>
    </dxf>
    <dxf>
      <font>
        <b/>
        <i val="0"/>
      </font>
    </dxf>
    <dxf>
      <font>
        <color theme="9" tint="-0.24994659260841701"/>
      </font>
      <fill>
        <patternFill>
          <bgColor theme="9" tint="0.59996337778862885"/>
        </patternFill>
      </fill>
    </dxf>
    <dxf>
      <font>
        <b/>
        <i val="0"/>
        <color rgb="FFFF0000"/>
      </font>
    </dxf>
    <dxf>
      <font>
        <b/>
        <i val="0"/>
        <color rgb="FFFF0000"/>
      </font>
    </dxf>
    <dxf>
      <font>
        <color rgb="FF006100"/>
      </font>
      <fill>
        <patternFill>
          <bgColor rgb="FFC6EFCE"/>
        </patternFill>
      </fill>
    </dxf>
    <dxf>
      <font>
        <color rgb="FF9C0006"/>
      </font>
      <fill>
        <patternFill>
          <bgColor rgb="FFFFC7CE"/>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b/>
        <i val="0"/>
      </font>
    </dxf>
    <dxf>
      <font>
        <b/>
        <i val="0"/>
      </font>
    </dxf>
    <dxf>
      <font>
        <b/>
        <i val="0"/>
      </font>
    </dxf>
    <dxf>
      <font>
        <b/>
        <i val="0"/>
      </font>
    </dxf>
    <dxf>
      <font>
        <b/>
        <i val="0"/>
      </font>
    </dxf>
    <dxf>
      <font>
        <b/>
        <i val="0"/>
      </font>
    </dxf>
    <dxf>
      <font>
        <color theme="9" tint="-0.24994659260841701"/>
      </font>
      <fill>
        <patternFill>
          <bgColor theme="9" tint="0.59996337778862885"/>
        </patternFill>
      </fill>
    </dxf>
    <dxf>
      <font>
        <b/>
        <i val="0"/>
        <color rgb="FFFF0000"/>
      </font>
    </dxf>
    <dxf>
      <font>
        <b/>
        <i val="0"/>
        <color rgb="FFFF0000"/>
      </font>
    </dxf>
    <dxf>
      <font>
        <color rgb="FF006100"/>
      </font>
      <fill>
        <patternFill>
          <bgColor rgb="FFC6EFCE"/>
        </patternFill>
      </fill>
    </dxf>
    <dxf>
      <font>
        <color rgb="FF9C0006"/>
      </font>
      <fill>
        <patternFill>
          <bgColor rgb="FFFFC7CE"/>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b/>
        <i val="0"/>
      </font>
    </dxf>
    <dxf>
      <font>
        <b/>
        <i val="0"/>
      </font>
    </dxf>
    <dxf>
      <font>
        <b/>
        <i val="0"/>
      </font>
    </dxf>
    <dxf>
      <font>
        <b/>
        <i val="0"/>
      </font>
    </dxf>
    <dxf>
      <font>
        <b/>
        <i val="0"/>
      </font>
    </dxf>
    <dxf>
      <font>
        <b/>
        <i val="0"/>
      </font>
    </dxf>
    <dxf>
      <font>
        <color theme="9" tint="-0.24994659260841701"/>
      </font>
      <fill>
        <patternFill>
          <bgColor theme="9" tint="0.59996337778862885"/>
        </patternFill>
      </fill>
    </dxf>
    <dxf>
      <font>
        <b/>
        <i val="0"/>
        <color rgb="FFFF0000"/>
      </font>
    </dxf>
    <dxf>
      <font>
        <b/>
        <i val="0"/>
        <color rgb="FFFF0000"/>
      </font>
    </dxf>
    <dxf>
      <font>
        <color rgb="FF006100"/>
      </font>
      <fill>
        <patternFill>
          <bgColor rgb="FFC6EFCE"/>
        </patternFill>
      </fill>
    </dxf>
    <dxf>
      <font>
        <color rgb="FF9C0006"/>
      </font>
      <fill>
        <patternFill>
          <bgColor rgb="FFFFC7CE"/>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b/>
        <i val="0"/>
      </font>
    </dxf>
    <dxf>
      <font>
        <b/>
        <i val="0"/>
      </font>
    </dxf>
    <dxf>
      <font>
        <b/>
        <i val="0"/>
      </font>
    </dxf>
    <dxf>
      <font>
        <b/>
        <i val="0"/>
      </font>
    </dxf>
    <dxf>
      <font>
        <b/>
        <i val="0"/>
      </font>
    </dxf>
    <dxf>
      <font>
        <b/>
        <i val="0"/>
      </font>
    </dxf>
    <dxf>
      <font>
        <color theme="9" tint="-0.24994659260841701"/>
      </font>
      <fill>
        <patternFill>
          <bgColor theme="9" tint="0.59996337778862885"/>
        </patternFill>
      </fill>
    </dxf>
    <dxf>
      <font>
        <b/>
        <i val="0"/>
        <color rgb="FFFF0000"/>
      </font>
    </dxf>
    <dxf>
      <font>
        <b/>
        <i val="0"/>
        <color rgb="FFFF0000"/>
      </font>
    </dxf>
    <dxf>
      <font>
        <color rgb="FF006100"/>
      </font>
      <fill>
        <patternFill>
          <bgColor rgb="FFC6EFCE"/>
        </patternFill>
      </fill>
    </dxf>
    <dxf>
      <font>
        <color rgb="FF9C0006"/>
      </font>
      <fill>
        <patternFill>
          <bgColor rgb="FFFFC7CE"/>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b/>
        <i val="0"/>
      </font>
    </dxf>
    <dxf>
      <font>
        <b/>
        <i val="0"/>
      </font>
    </dxf>
    <dxf>
      <font>
        <b/>
        <i val="0"/>
      </font>
    </dxf>
    <dxf>
      <font>
        <b/>
        <i val="0"/>
      </font>
    </dxf>
    <dxf>
      <font>
        <b/>
        <i val="0"/>
      </font>
    </dxf>
    <dxf>
      <font>
        <b/>
        <i val="0"/>
      </font>
    </dxf>
    <dxf>
      <font>
        <color theme="9" tint="-0.24994659260841701"/>
      </font>
      <fill>
        <patternFill>
          <bgColor theme="9" tint="0.59996337778862885"/>
        </patternFill>
      </fill>
    </dxf>
    <dxf>
      <font>
        <b/>
        <i val="0"/>
        <color rgb="FFFF0000"/>
      </font>
    </dxf>
    <dxf>
      <font>
        <b/>
        <i val="0"/>
        <color rgb="FFFF0000"/>
      </font>
    </dxf>
    <dxf>
      <font>
        <color rgb="FF006100"/>
      </font>
      <fill>
        <patternFill>
          <bgColor rgb="FFC6EFCE"/>
        </patternFill>
      </fill>
    </dxf>
    <dxf>
      <font>
        <color rgb="FF9C0006"/>
      </font>
      <fill>
        <patternFill>
          <bgColor rgb="FFFFC7CE"/>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b/>
        <i val="0"/>
      </font>
    </dxf>
    <dxf>
      <font>
        <b/>
        <i val="0"/>
      </font>
    </dxf>
    <dxf>
      <font>
        <b/>
        <i val="0"/>
      </font>
    </dxf>
    <dxf>
      <font>
        <b/>
        <i val="0"/>
      </font>
    </dxf>
    <dxf>
      <font>
        <b/>
        <i val="0"/>
      </font>
    </dxf>
    <dxf>
      <font>
        <b/>
        <i val="0"/>
      </font>
    </dxf>
    <dxf>
      <font>
        <color theme="9" tint="-0.24994659260841701"/>
      </font>
      <fill>
        <patternFill>
          <bgColor theme="9" tint="0.59996337778862885"/>
        </patternFill>
      </fill>
    </dxf>
    <dxf>
      <font>
        <b/>
        <i val="0"/>
        <color rgb="FFFF0000"/>
      </font>
    </dxf>
    <dxf>
      <font>
        <b/>
        <i val="0"/>
        <color rgb="FFFF0000"/>
      </font>
    </dxf>
    <dxf>
      <font>
        <color rgb="FF006100"/>
      </font>
      <fill>
        <patternFill>
          <bgColor rgb="FFC6EFCE"/>
        </patternFill>
      </fill>
    </dxf>
    <dxf>
      <font>
        <color rgb="FF9C0006"/>
      </font>
      <fill>
        <patternFill>
          <bgColor rgb="FFFFC7CE"/>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b/>
        <i val="0"/>
      </font>
    </dxf>
    <dxf>
      <font>
        <b/>
        <i val="0"/>
      </font>
    </dxf>
    <dxf>
      <font>
        <b/>
        <i val="0"/>
      </font>
    </dxf>
    <dxf>
      <font>
        <b/>
        <i val="0"/>
      </font>
    </dxf>
    <dxf>
      <font>
        <b/>
        <i val="0"/>
      </font>
    </dxf>
    <dxf>
      <font>
        <b/>
        <i val="0"/>
      </font>
    </dxf>
    <dxf>
      <font>
        <color theme="9" tint="-0.24994659260841701"/>
      </font>
      <fill>
        <patternFill>
          <bgColor theme="9" tint="0.59996337778862885"/>
        </patternFill>
      </fill>
    </dxf>
    <dxf>
      <font>
        <b/>
        <i val="0"/>
        <color rgb="FFFF0000"/>
      </font>
    </dxf>
    <dxf>
      <font>
        <b/>
        <i val="0"/>
        <color rgb="FFFF0000"/>
      </font>
    </dxf>
    <dxf>
      <font>
        <color rgb="FF006100"/>
      </font>
      <fill>
        <patternFill>
          <bgColor rgb="FFC6EFCE"/>
        </patternFill>
      </fill>
    </dxf>
    <dxf>
      <font>
        <color rgb="FF9C0006"/>
      </font>
      <fill>
        <patternFill>
          <bgColor rgb="FFFFC7CE"/>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b/>
        <i val="0"/>
      </font>
    </dxf>
    <dxf>
      <font>
        <b/>
        <i val="0"/>
      </font>
    </dxf>
    <dxf>
      <font>
        <b/>
        <i val="0"/>
      </font>
    </dxf>
    <dxf>
      <font>
        <b/>
        <i val="0"/>
      </font>
    </dxf>
    <dxf>
      <font>
        <b/>
        <i val="0"/>
      </font>
    </dxf>
    <dxf>
      <font>
        <b/>
        <i val="0"/>
      </font>
    </dxf>
    <dxf>
      <font>
        <color theme="9" tint="-0.24994659260841701"/>
      </font>
      <fill>
        <patternFill>
          <bgColor theme="9" tint="0.59996337778862885"/>
        </patternFill>
      </fill>
    </dxf>
    <dxf>
      <font>
        <b/>
        <i val="0"/>
        <color rgb="FFFF0000"/>
      </font>
    </dxf>
    <dxf>
      <font>
        <b/>
        <i val="0"/>
        <color rgb="FFFF0000"/>
      </font>
    </dxf>
    <dxf>
      <font>
        <color rgb="FF006100"/>
      </font>
      <fill>
        <patternFill>
          <bgColor rgb="FFC6EFCE"/>
        </patternFill>
      </fill>
    </dxf>
    <dxf>
      <font>
        <color rgb="FF9C0006"/>
      </font>
      <fill>
        <patternFill>
          <bgColor rgb="FFFFC7CE"/>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b/>
        <i val="0"/>
      </font>
    </dxf>
    <dxf>
      <font>
        <b/>
        <i val="0"/>
      </font>
    </dxf>
    <dxf>
      <font>
        <b/>
        <i val="0"/>
      </font>
    </dxf>
    <dxf>
      <font>
        <b/>
        <i val="0"/>
      </font>
    </dxf>
    <dxf>
      <font>
        <b/>
        <i val="0"/>
      </font>
    </dxf>
    <dxf>
      <font>
        <b/>
        <i val="0"/>
      </font>
    </dxf>
    <dxf>
      <font>
        <color theme="9" tint="-0.24994659260841701"/>
      </font>
      <fill>
        <patternFill>
          <bgColor theme="9" tint="0.59996337778862885"/>
        </patternFill>
      </fill>
    </dxf>
    <dxf>
      <font>
        <b/>
        <i val="0"/>
        <color rgb="FFFF0000"/>
      </font>
    </dxf>
    <dxf>
      <font>
        <b/>
        <i val="0"/>
        <color rgb="FFFF0000"/>
      </font>
    </dxf>
    <dxf>
      <font>
        <color rgb="FF006100"/>
      </font>
      <fill>
        <patternFill>
          <bgColor rgb="FFC6EFCE"/>
        </patternFill>
      </fill>
    </dxf>
    <dxf>
      <font>
        <color rgb="FF9C0006"/>
      </font>
      <fill>
        <patternFill>
          <bgColor rgb="FFFFC7CE"/>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b/>
        <i val="0"/>
      </font>
    </dxf>
    <dxf>
      <font>
        <b/>
        <i val="0"/>
      </font>
    </dxf>
    <dxf>
      <font>
        <b/>
        <i val="0"/>
      </font>
    </dxf>
    <dxf>
      <font>
        <b/>
        <i val="0"/>
      </font>
    </dxf>
    <dxf>
      <font>
        <b/>
        <i val="0"/>
      </font>
    </dxf>
    <dxf>
      <font>
        <b/>
        <i val="0"/>
      </font>
    </dxf>
    <dxf>
      <font>
        <color theme="9" tint="-0.24994659260841701"/>
      </font>
      <fill>
        <patternFill>
          <bgColor theme="9" tint="0.59996337778862885"/>
        </patternFill>
      </fill>
    </dxf>
    <dxf>
      <font>
        <b/>
        <i val="0"/>
        <color rgb="FFFF0000"/>
      </font>
    </dxf>
    <dxf>
      <font>
        <b/>
        <i val="0"/>
        <color rgb="FFFF0000"/>
      </font>
    </dxf>
    <dxf>
      <font>
        <color rgb="FF006100"/>
      </font>
      <fill>
        <patternFill>
          <bgColor rgb="FFC6EFCE"/>
        </patternFill>
      </fill>
    </dxf>
    <dxf>
      <font>
        <color rgb="FF9C0006"/>
      </font>
      <fill>
        <patternFill>
          <bgColor rgb="FFFFC7CE"/>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b/>
        <i val="0"/>
      </font>
    </dxf>
    <dxf>
      <font>
        <b/>
        <i val="0"/>
      </font>
    </dxf>
    <dxf>
      <font>
        <b/>
        <i val="0"/>
      </font>
    </dxf>
    <dxf>
      <font>
        <b/>
        <i val="0"/>
      </font>
    </dxf>
    <dxf>
      <font>
        <b/>
        <i val="0"/>
      </font>
    </dxf>
    <dxf>
      <font>
        <b/>
        <i val="0"/>
      </font>
    </dxf>
    <dxf>
      <font>
        <color theme="9" tint="-0.24994659260841701"/>
      </font>
      <fill>
        <patternFill>
          <bgColor theme="9" tint="0.59996337778862885"/>
        </patternFill>
      </fill>
    </dxf>
    <dxf>
      <font>
        <b/>
        <i val="0"/>
        <color rgb="FFFF0000"/>
      </font>
    </dxf>
    <dxf>
      <font>
        <b/>
        <i val="0"/>
        <color rgb="FFFF0000"/>
      </font>
    </dxf>
    <dxf>
      <font>
        <color rgb="FF006100"/>
      </font>
      <fill>
        <patternFill>
          <bgColor rgb="FFC6EFCE"/>
        </patternFill>
      </fill>
    </dxf>
    <dxf>
      <font>
        <color rgb="FF9C0006"/>
      </font>
      <fill>
        <patternFill>
          <bgColor rgb="FFFFC7CE"/>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b/>
        <i val="0"/>
      </font>
    </dxf>
    <dxf>
      <font>
        <b/>
        <i val="0"/>
      </font>
    </dxf>
    <dxf>
      <font>
        <b/>
        <i val="0"/>
      </font>
    </dxf>
    <dxf>
      <font>
        <b/>
        <i val="0"/>
      </font>
    </dxf>
    <dxf>
      <font>
        <b/>
        <i val="0"/>
      </font>
    </dxf>
    <dxf>
      <font>
        <b/>
        <i val="0"/>
      </font>
    </dxf>
    <dxf>
      <font>
        <color theme="9" tint="-0.24994659260841701"/>
      </font>
      <fill>
        <patternFill>
          <bgColor theme="9" tint="0.59996337778862885"/>
        </patternFill>
      </fill>
    </dxf>
    <dxf>
      <font>
        <b/>
        <i val="0"/>
        <color rgb="FFFF0000"/>
      </font>
    </dxf>
    <dxf>
      <font>
        <b/>
        <i val="0"/>
        <color rgb="FFFF0000"/>
      </font>
    </dxf>
    <dxf>
      <font>
        <color rgb="FF006100"/>
      </font>
      <fill>
        <patternFill>
          <bgColor rgb="FFC6EFCE"/>
        </patternFill>
      </fill>
    </dxf>
    <dxf>
      <font>
        <color rgb="FF9C0006"/>
      </font>
      <fill>
        <patternFill>
          <bgColor rgb="FFFFC7CE"/>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b/>
        <i val="0"/>
      </font>
    </dxf>
    <dxf>
      <font>
        <b/>
        <i val="0"/>
      </font>
    </dxf>
    <dxf>
      <font>
        <b/>
        <i val="0"/>
      </font>
    </dxf>
    <dxf>
      <font>
        <b/>
        <i val="0"/>
      </font>
    </dxf>
    <dxf>
      <font>
        <b/>
        <i val="0"/>
      </font>
    </dxf>
    <dxf>
      <font>
        <b/>
        <i val="0"/>
      </font>
    </dxf>
    <dxf>
      <font>
        <color theme="9" tint="-0.24994659260841701"/>
      </font>
      <fill>
        <patternFill>
          <bgColor theme="9" tint="0.59996337778862885"/>
        </patternFill>
      </fill>
    </dxf>
    <dxf>
      <font>
        <b/>
        <i val="0"/>
        <color rgb="FFFF0000"/>
      </font>
    </dxf>
    <dxf>
      <font>
        <b/>
        <i val="0"/>
        <color rgb="FFFF0000"/>
      </font>
    </dxf>
    <dxf>
      <font>
        <color rgb="FF006100"/>
      </font>
      <fill>
        <patternFill>
          <bgColor rgb="FFC6EFCE"/>
        </patternFill>
      </fill>
    </dxf>
    <dxf>
      <font>
        <color rgb="FF9C0006"/>
      </font>
      <fill>
        <patternFill>
          <bgColor rgb="FFFFC7CE"/>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b/>
        <i val="0"/>
      </font>
    </dxf>
    <dxf>
      <font>
        <b/>
        <i val="0"/>
      </font>
    </dxf>
    <dxf>
      <font>
        <b/>
        <i val="0"/>
      </font>
    </dxf>
    <dxf>
      <font>
        <b/>
        <i val="0"/>
      </font>
    </dxf>
    <dxf>
      <font>
        <b/>
        <i val="0"/>
      </font>
    </dxf>
    <dxf>
      <font>
        <b/>
        <i val="0"/>
      </font>
    </dxf>
    <dxf>
      <font>
        <color theme="9" tint="-0.24994659260841701"/>
      </font>
      <fill>
        <patternFill>
          <bgColor theme="9" tint="0.59996337778862885"/>
        </patternFill>
      </fill>
    </dxf>
    <dxf>
      <font>
        <b/>
        <i val="0"/>
        <color rgb="FFFF0000"/>
      </font>
    </dxf>
    <dxf>
      <font>
        <b/>
        <i val="0"/>
        <color rgb="FFFF0000"/>
      </font>
    </dxf>
    <dxf>
      <font>
        <color rgb="FF006100"/>
      </font>
      <fill>
        <patternFill>
          <bgColor rgb="FFC6EFCE"/>
        </patternFill>
      </fill>
    </dxf>
    <dxf>
      <font>
        <color rgb="FF9C0006"/>
      </font>
      <fill>
        <patternFill>
          <bgColor rgb="FFFFC7CE"/>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b/>
        <i val="0"/>
      </font>
    </dxf>
    <dxf>
      <font>
        <b/>
        <i val="0"/>
      </font>
    </dxf>
    <dxf>
      <font>
        <b/>
        <i val="0"/>
      </font>
    </dxf>
    <dxf>
      <font>
        <b/>
        <i val="0"/>
      </font>
    </dxf>
    <dxf>
      <font>
        <b/>
        <i val="0"/>
      </font>
    </dxf>
    <dxf>
      <font>
        <b/>
        <i val="0"/>
      </font>
    </dxf>
    <dxf>
      <font>
        <color theme="9" tint="-0.24994659260841701"/>
      </font>
      <fill>
        <patternFill>
          <bgColor theme="9" tint="0.59996337778862885"/>
        </patternFill>
      </fill>
    </dxf>
    <dxf>
      <font>
        <b/>
        <i val="0"/>
        <color rgb="FFFF0000"/>
      </font>
    </dxf>
    <dxf>
      <font>
        <b/>
        <i val="0"/>
        <color rgb="FFFF0000"/>
      </font>
    </dxf>
    <dxf>
      <font>
        <color rgb="FF006100"/>
      </font>
      <fill>
        <patternFill>
          <bgColor rgb="FFC6EFCE"/>
        </patternFill>
      </fill>
    </dxf>
    <dxf>
      <font>
        <color rgb="FF9C0006"/>
      </font>
      <fill>
        <patternFill>
          <bgColor rgb="FFFFC7CE"/>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b/>
        <i val="0"/>
      </font>
    </dxf>
    <dxf>
      <font>
        <b/>
        <i val="0"/>
      </font>
    </dxf>
    <dxf>
      <font>
        <b/>
        <i val="0"/>
      </font>
    </dxf>
    <dxf>
      <font>
        <b/>
        <i val="0"/>
      </font>
    </dxf>
    <dxf>
      <font>
        <b/>
        <i val="0"/>
      </font>
    </dxf>
    <dxf>
      <font>
        <b/>
        <i val="0"/>
      </font>
    </dxf>
    <dxf>
      <font>
        <color theme="9" tint="-0.24994659260841701"/>
      </font>
      <fill>
        <patternFill>
          <bgColor theme="9" tint="0.59996337778862885"/>
        </patternFill>
      </fill>
    </dxf>
    <dxf>
      <font>
        <b/>
        <i val="0"/>
        <color rgb="FFFF0000"/>
      </font>
    </dxf>
    <dxf>
      <font>
        <b/>
        <i val="0"/>
        <color rgb="FFFF0000"/>
      </font>
    </dxf>
    <dxf>
      <font>
        <color rgb="FF006100"/>
      </font>
      <fill>
        <patternFill>
          <bgColor rgb="FFC6EFCE"/>
        </patternFill>
      </fill>
    </dxf>
    <dxf>
      <font>
        <color rgb="FF9C0006"/>
      </font>
      <fill>
        <patternFill>
          <bgColor rgb="FFFFC7CE"/>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b/>
        <i val="0"/>
      </font>
    </dxf>
    <dxf>
      <font>
        <b/>
        <i val="0"/>
      </font>
    </dxf>
    <dxf>
      <font>
        <b/>
        <i val="0"/>
      </font>
    </dxf>
    <dxf>
      <font>
        <b/>
        <i val="0"/>
      </font>
    </dxf>
    <dxf>
      <font>
        <b/>
        <i val="0"/>
      </font>
    </dxf>
    <dxf>
      <font>
        <b/>
        <i val="0"/>
      </font>
    </dxf>
    <dxf>
      <font>
        <color theme="9" tint="-0.24994659260841701"/>
      </font>
      <fill>
        <patternFill>
          <bgColor theme="9" tint="0.59996337778862885"/>
        </patternFill>
      </fill>
    </dxf>
    <dxf>
      <font>
        <b/>
        <i val="0"/>
        <color rgb="FFFF0000"/>
      </font>
    </dxf>
    <dxf>
      <font>
        <b/>
        <i val="0"/>
        <color rgb="FFFF0000"/>
      </font>
    </dxf>
    <dxf>
      <font>
        <color rgb="FF006100"/>
      </font>
      <fill>
        <patternFill>
          <bgColor rgb="FFC6EFCE"/>
        </patternFill>
      </fill>
    </dxf>
    <dxf>
      <font>
        <color rgb="FF9C0006"/>
      </font>
      <fill>
        <patternFill>
          <bgColor rgb="FFFFC7CE"/>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b/>
        <i val="0"/>
      </font>
    </dxf>
    <dxf>
      <font>
        <b/>
        <i val="0"/>
      </font>
    </dxf>
    <dxf>
      <font>
        <b/>
        <i val="0"/>
      </font>
    </dxf>
    <dxf>
      <font>
        <b/>
        <i val="0"/>
      </font>
    </dxf>
    <dxf>
      <font>
        <b/>
        <i val="0"/>
      </font>
    </dxf>
    <dxf>
      <font>
        <b/>
        <i val="0"/>
      </font>
    </dxf>
    <dxf>
      <font>
        <color theme="9" tint="-0.24994659260841701"/>
      </font>
      <fill>
        <patternFill>
          <bgColor theme="9" tint="0.59996337778862885"/>
        </patternFill>
      </fill>
    </dxf>
    <dxf>
      <font>
        <b/>
        <i val="0"/>
        <color rgb="FFFF0000"/>
      </font>
    </dxf>
    <dxf>
      <font>
        <b/>
        <i val="0"/>
        <color rgb="FFFF0000"/>
      </font>
    </dxf>
    <dxf>
      <font>
        <color rgb="FF006100"/>
      </font>
      <fill>
        <patternFill>
          <bgColor rgb="FFC6EFCE"/>
        </patternFill>
      </fill>
    </dxf>
    <dxf>
      <font>
        <color rgb="FF9C0006"/>
      </font>
      <fill>
        <patternFill>
          <bgColor rgb="FFFFC7CE"/>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b/>
        <i val="0"/>
      </font>
    </dxf>
    <dxf>
      <font>
        <b/>
        <i val="0"/>
      </font>
    </dxf>
    <dxf>
      <font>
        <b/>
        <i val="0"/>
      </font>
    </dxf>
    <dxf>
      <font>
        <b/>
        <i val="0"/>
      </font>
    </dxf>
    <dxf>
      <font>
        <b/>
        <i val="0"/>
      </font>
    </dxf>
    <dxf>
      <font>
        <b/>
        <i val="0"/>
      </font>
    </dxf>
    <dxf>
      <font>
        <color theme="9" tint="-0.24994659260841701"/>
      </font>
      <fill>
        <patternFill>
          <bgColor theme="9" tint="0.59996337778862885"/>
        </patternFill>
      </fill>
    </dxf>
    <dxf>
      <font>
        <b/>
        <i val="0"/>
        <color rgb="FFFF0000"/>
      </font>
    </dxf>
    <dxf>
      <font>
        <b/>
        <i val="0"/>
        <color rgb="FFFF0000"/>
      </font>
    </dxf>
    <dxf>
      <font>
        <color rgb="FF006100"/>
      </font>
      <fill>
        <patternFill>
          <bgColor rgb="FFC6EFCE"/>
        </patternFill>
      </fill>
    </dxf>
    <dxf>
      <font>
        <color rgb="FF9C0006"/>
      </font>
      <fill>
        <patternFill>
          <bgColor rgb="FFFFC7CE"/>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b/>
        <i val="0"/>
      </font>
    </dxf>
    <dxf>
      <font>
        <b/>
        <i val="0"/>
      </font>
    </dxf>
    <dxf>
      <font>
        <b/>
        <i val="0"/>
      </font>
    </dxf>
    <dxf>
      <font>
        <b/>
        <i val="0"/>
      </font>
    </dxf>
    <dxf>
      <font>
        <b/>
        <i val="0"/>
      </font>
    </dxf>
    <dxf>
      <font>
        <b/>
        <i val="0"/>
      </font>
    </dxf>
    <dxf>
      <font>
        <color theme="9" tint="-0.24994659260841701"/>
      </font>
      <fill>
        <patternFill>
          <bgColor theme="9" tint="0.59996337778862885"/>
        </patternFill>
      </fill>
    </dxf>
    <dxf>
      <font>
        <b/>
        <i val="0"/>
        <color rgb="FFFF0000"/>
      </font>
    </dxf>
    <dxf>
      <font>
        <b/>
        <i val="0"/>
        <color rgb="FFFF0000"/>
      </font>
    </dxf>
    <dxf>
      <font>
        <color rgb="FF006100"/>
      </font>
      <fill>
        <patternFill>
          <bgColor rgb="FFC6EFCE"/>
        </patternFill>
      </fill>
    </dxf>
    <dxf>
      <font>
        <color rgb="FF9C0006"/>
      </font>
      <fill>
        <patternFill>
          <bgColor rgb="FFFFC7CE"/>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b/>
        <i val="0"/>
      </font>
    </dxf>
    <dxf>
      <font>
        <b/>
        <i val="0"/>
      </font>
    </dxf>
    <dxf>
      <font>
        <b/>
        <i val="0"/>
      </font>
    </dxf>
    <dxf>
      <font>
        <b/>
        <i val="0"/>
      </font>
    </dxf>
    <dxf>
      <font>
        <b/>
        <i val="0"/>
      </font>
    </dxf>
    <dxf>
      <font>
        <b/>
        <i val="0"/>
      </font>
    </dxf>
    <dxf>
      <font>
        <color theme="9" tint="-0.24994659260841701"/>
      </font>
      <fill>
        <patternFill>
          <bgColor theme="9" tint="0.59996337778862885"/>
        </patternFill>
      </fill>
    </dxf>
    <dxf>
      <font>
        <b/>
        <i val="0"/>
        <color rgb="FFFF0000"/>
      </font>
    </dxf>
    <dxf>
      <font>
        <b/>
        <i val="0"/>
        <color rgb="FFFF0000"/>
      </font>
    </dxf>
    <dxf>
      <font>
        <color rgb="FF006100"/>
      </font>
      <fill>
        <patternFill>
          <bgColor rgb="FFC6EFCE"/>
        </patternFill>
      </fill>
    </dxf>
    <dxf>
      <font>
        <color rgb="FF9C0006"/>
      </font>
      <fill>
        <patternFill>
          <bgColor rgb="FFFFC7CE"/>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b/>
        <i val="0"/>
      </font>
    </dxf>
    <dxf>
      <font>
        <b/>
        <i val="0"/>
      </font>
    </dxf>
    <dxf>
      <font>
        <b/>
        <i val="0"/>
      </font>
    </dxf>
    <dxf>
      <font>
        <b/>
        <i val="0"/>
      </font>
    </dxf>
    <dxf>
      <font>
        <b/>
        <i val="0"/>
      </font>
    </dxf>
    <dxf>
      <font>
        <b/>
        <i val="0"/>
      </font>
    </dxf>
    <dxf>
      <font>
        <color theme="9" tint="-0.24994659260841701"/>
      </font>
      <fill>
        <patternFill>
          <bgColor theme="9" tint="0.59996337778862885"/>
        </patternFill>
      </fill>
    </dxf>
    <dxf>
      <font>
        <b/>
        <i val="0"/>
        <color rgb="FFFF0000"/>
      </font>
    </dxf>
    <dxf>
      <font>
        <b/>
        <i val="0"/>
        <color rgb="FFFF0000"/>
      </font>
    </dxf>
    <dxf>
      <font>
        <color rgb="FF006100"/>
      </font>
      <fill>
        <patternFill>
          <bgColor rgb="FFC6EFCE"/>
        </patternFill>
      </fill>
    </dxf>
    <dxf>
      <font>
        <color rgb="FF9C0006"/>
      </font>
      <fill>
        <patternFill>
          <bgColor rgb="FFFFC7CE"/>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b/>
        <i val="0"/>
      </font>
    </dxf>
    <dxf>
      <font>
        <b/>
        <i val="0"/>
      </font>
    </dxf>
    <dxf>
      <font>
        <b/>
        <i val="0"/>
      </font>
    </dxf>
    <dxf>
      <font>
        <b/>
        <i val="0"/>
      </font>
    </dxf>
    <dxf>
      <font>
        <b/>
        <i val="0"/>
      </font>
    </dxf>
    <dxf>
      <font>
        <b/>
        <i val="0"/>
      </font>
    </dxf>
    <dxf>
      <font>
        <color theme="9" tint="-0.24994659260841701"/>
      </font>
      <fill>
        <patternFill>
          <bgColor theme="9" tint="0.59996337778862885"/>
        </patternFill>
      </fill>
    </dxf>
    <dxf>
      <font>
        <b/>
        <i val="0"/>
        <color rgb="FFFF0000"/>
      </font>
    </dxf>
    <dxf>
      <font>
        <b/>
        <i val="0"/>
        <color rgb="FFFF0000"/>
      </font>
    </dxf>
    <dxf>
      <font>
        <color rgb="FF006100"/>
      </font>
      <fill>
        <patternFill>
          <bgColor rgb="FFC6EFCE"/>
        </patternFill>
      </fill>
    </dxf>
    <dxf>
      <font>
        <color rgb="FF9C0006"/>
      </font>
      <fill>
        <patternFill>
          <bgColor rgb="FFFFC7CE"/>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b/>
        <i val="0"/>
      </font>
    </dxf>
    <dxf>
      <font>
        <b/>
        <i val="0"/>
      </font>
    </dxf>
    <dxf>
      <font>
        <b/>
        <i val="0"/>
      </font>
    </dxf>
    <dxf>
      <font>
        <b/>
        <i val="0"/>
      </font>
    </dxf>
    <dxf>
      <font>
        <b/>
        <i val="0"/>
      </font>
    </dxf>
    <dxf>
      <font>
        <b/>
        <i val="0"/>
      </font>
    </dxf>
    <dxf>
      <font>
        <color theme="9" tint="-0.24994659260841701"/>
      </font>
      <fill>
        <patternFill>
          <bgColor theme="9" tint="0.59996337778862885"/>
        </patternFill>
      </fill>
    </dxf>
    <dxf>
      <font>
        <b/>
        <i val="0"/>
        <color rgb="FFFF0000"/>
      </font>
    </dxf>
    <dxf>
      <font>
        <b/>
        <i val="0"/>
        <color rgb="FFFF0000"/>
      </font>
    </dxf>
    <dxf>
      <font>
        <color rgb="FF006100"/>
      </font>
      <fill>
        <patternFill>
          <bgColor rgb="FFC6EFCE"/>
        </patternFill>
      </fill>
    </dxf>
    <dxf>
      <font>
        <color rgb="FF9C0006"/>
      </font>
      <fill>
        <patternFill>
          <bgColor rgb="FFFFC7CE"/>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b/>
        <i val="0"/>
      </font>
    </dxf>
    <dxf>
      <font>
        <b/>
        <i val="0"/>
      </font>
    </dxf>
    <dxf>
      <font>
        <b/>
        <i val="0"/>
      </font>
    </dxf>
    <dxf>
      <font>
        <b/>
        <i val="0"/>
      </font>
    </dxf>
    <dxf>
      <font>
        <b/>
        <i val="0"/>
      </font>
    </dxf>
    <dxf>
      <font>
        <b/>
        <i val="0"/>
      </font>
    </dxf>
    <dxf>
      <font>
        <color theme="9" tint="-0.24994659260841701"/>
      </font>
      <fill>
        <patternFill>
          <bgColor theme="9" tint="0.59996337778862885"/>
        </patternFill>
      </fill>
    </dxf>
    <dxf>
      <font>
        <b/>
        <i val="0"/>
        <color rgb="FFFF0000"/>
      </font>
    </dxf>
    <dxf>
      <font>
        <b/>
        <i val="0"/>
        <color rgb="FFFF0000"/>
      </font>
    </dxf>
    <dxf>
      <font>
        <color rgb="FF006100"/>
      </font>
      <fill>
        <patternFill>
          <bgColor rgb="FFC6EFCE"/>
        </patternFill>
      </fill>
    </dxf>
    <dxf>
      <font>
        <color rgb="FF9C0006"/>
      </font>
      <fill>
        <patternFill>
          <bgColor rgb="FFFFC7CE"/>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b/>
        <i val="0"/>
      </font>
    </dxf>
    <dxf>
      <font>
        <b/>
        <i val="0"/>
      </font>
    </dxf>
    <dxf>
      <font>
        <b/>
        <i val="0"/>
      </font>
    </dxf>
    <dxf>
      <font>
        <b/>
        <i val="0"/>
      </font>
    </dxf>
    <dxf>
      <font>
        <b/>
        <i val="0"/>
      </font>
    </dxf>
    <dxf>
      <font>
        <b/>
        <i val="0"/>
      </font>
    </dxf>
    <dxf>
      <font>
        <color theme="9" tint="-0.24994659260841701"/>
      </font>
      <fill>
        <patternFill>
          <bgColor theme="9" tint="0.59996337778862885"/>
        </patternFill>
      </fill>
    </dxf>
    <dxf>
      <font>
        <b/>
        <i val="0"/>
        <color rgb="FFFF0000"/>
      </font>
    </dxf>
    <dxf>
      <font>
        <b/>
        <i val="0"/>
        <color rgb="FFFF0000"/>
      </font>
    </dxf>
    <dxf>
      <font>
        <color rgb="FF006100"/>
      </font>
      <fill>
        <patternFill>
          <bgColor rgb="FFC6EFCE"/>
        </patternFill>
      </fill>
    </dxf>
    <dxf>
      <font>
        <color rgb="FF9C0006"/>
      </font>
      <fill>
        <patternFill>
          <bgColor rgb="FFFFC7CE"/>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b/>
        <i val="0"/>
      </font>
    </dxf>
    <dxf>
      <font>
        <b/>
        <i val="0"/>
      </font>
    </dxf>
    <dxf>
      <font>
        <b/>
        <i val="0"/>
      </font>
    </dxf>
    <dxf>
      <font>
        <b/>
        <i val="0"/>
      </font>
    </dxf>
    <dxf>
      <font>
        <b/>
        <i val="0"/>
      </font>
    </dxf>
    <dxf>
      <font>
        <b/>
        <i val="0"/>
      </font>
    </dxf>
    <dxf>
      <font>
        <color theme="9" tint="-0.24994659260841701"/>
      </font>
      <fill>
        <patternFill>
          <bgColor theme="9" tint="0.59996337778862885"/>
        </patternFill>
      </fill>
    </dxf>
    <dxf>
      <font>
        <b/>
        <i val="0"/>
        <color rgb="FFFF0000"/>
      </font>
    </dxf>
    <dxf>
      <font>
        <b/>
        <i val="0"/>
        <color rgb="FFFF0000"/>
      </font>
    </dxf>
    <dxf>
      <font>
        <color rgb="FF006100"/>
      </font>
      <fill>
        <patternFill>
          <bgColor rgb="FFC6EFCE"/>
        </patternFill>
      </fill>
    </dxf>
    <dxf>
      <font>
        <color rgb="FF9C0006"/>
      </font>
      <fill>
        <patternFill>
          <bgColor rgb="FFFFC7CE"/>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b/>
        <i val="0"/>
      </font>
    </dxf>
    <dxf>
      <font>
        <b/>
        <i val="0"/>
      </font>
    </dxf>
    <dxf>
      <font>
        <b/>
        <i val="0"/>
      </font>
    </dxf>
    <dxf>
      <font>
        <b/>
        <i val="0"/>
      </font>
    </dxf>
    <dxf>
      <font>
        <b/>
        <i val="0"/>
      </font>
    </dxf>
    <dxf>
      <font>
        <b/>
        <i val="0"/>
      </font>
    </dxf>
    <dxf>
      <font>
        <color theme="9" tint="-0.24994659260841701"/>
      </font>
      <fill>
        <patternFill>
          <bgColor theme="9" tint="0.59996337778862885"/>
        </patternFill>
      </fill>
    </dxf>
    <dxf>
      <font>
        <b/>
        <i val="0"/>
        <color rgb="FFFF0000"/>
      </font>
    </dxf>
    <dxf>
      <font>
        <b/>
        <i val="0"/>
        <color rgb="FFFF0000"/>
      </font>
    </dxf>
    <dxf>
      <font>
        <color rgb="FF006100"/>
      </font>
      <fill>
        <patternFill>
          <bgColor rgb="FFC6EFCE"/>
        </patternFill>
      </fill>
    </dxf>
    <dxf>
      <font>
        <color rgb="FF9C0006"/>
      </font>
      <fill>
        <patternFill>
          <bgColor rgb="FFFFC7CE"/>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b/>
        <i val="0"/>
      </font>
    </dxf>
    <dxf>
      <font>
        <b/>
        <i val="0"/>
      </font>
    </dxf>
    <dxf>
      <font>
        <b/>
        <i val="0"/>
      </font>
    </dxf>
    <dxf>
      <font>
        <b/>
        <i val="0"/>
      </font>
    </dxf>
    <dxf>
      <font>
        <b/>
        <i val="0"/>
      </font>
    </dxf>
    <dxf>
      <font>
        <b/>
        <i val="0"/>
      </font>
    </dxf>
    <dxf>
      <font>
        <color theme="9" tint="-0.24994659260841701"/>
      </font>
      <fill>
        <patternFill>
          <bgColor theme="9" tint="0.59996337778862885"/>
        </patternFill>
      </fill>
    </dxf>
    <dxf>
      <font>
        <b/>
        <i val="0"/>
        <color rgb="FFFF0000"/>
      </font>
    </dxf>
    <dxf>
      <font>
        <b/>
        <i val="0"/>
        <color rgb="FFFF0000"/>
      </font>
    </dxf>
    <dxf>
      <font>
        <color rgb="FF006100"/>
      </font>
      <fill>
        <patternFill>
          <bgColor rgb="FFC6EFCE"/>
        </patternFill>
      </fill>
    </dxf>
    <dxf>
      <font>
        <color rgb="FF9C0006"/>
      </font>
      <fill>
        <patternFill>
          <bgColor rgb="FFFFC7CE"/>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b/>
        <i val="0"/>
      </font>
    </dxf>
    <dxf>
      <font>
        <b/>
        <i val="0"/>
      </font>
    </dxf>
    <dxf>
      <font>
        <b/>
        <i val="0"/>
      </font>
    </dxf>
    <dxf>
      <font>
        <b/>
        <i val="0"/>
      </font>
    </dxf>
    <dxf>
      <font>
        <b/>
        <i val="0"/>
      </font>
    </dxf>
    <dxf>
      <font>
        <b/>
        <i val="0"/>
      </font>
    </dxf>
    <dxf>
      <font>
        <color theme="9" tint="-0.24994659260841701"/>
      </font>
      <fill>
        <patternFill>
          <bgColor theme="9" tint="0.59996337778862885"/>
        </patternFill>
      </fill>
    </dxf>
    <dxf>
      <font>
        <b/>
        <i val="0"/>
        <color rgb="FFFF0000"/>
      </font>
    </dxf>
    <dxf>
      <font>
        <b/>
        <i val="0"/>
        <color rgb="FFFF0000"/>
      </font>
    </dxf>
    <dxf>
      <font>
        <color rgb="FF006100"/>
      </font>
      <fill>
        <patternFill>
          <bgColor rgb="FFC6EFCE"/>
        </patternFill>
      </fill>
    </dxf>
    <dxf>
      <font>
        <color rgb="FF9C0006"/>
      </font>
      <fill>
        <patternFill>
          <bgColor rgb="FFFFC7CE"/>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b/>
        <i val="0"/>
      </font>
    </dxf>
    <dxf>
      <font>
        <b/>
        <i val="0"/>
      </font>
    </dxf>
    <dxf>
      <font>
        <b/>
        <i val="0"/>
      </font>
    </dxf>
    <dxf>
      <font>
        <b/>
        <i val="0"/>
      </font>
    </dxf>
    <dxf>
      <font>
        <b/>
        <i val="0"/>
      </font>
    </dxf>
    <dxf>
      <font>
        <b/>
        <i val="0"/>
      </font>
    </dxf>
    <dxf>
      <font>
        <color theme="9" tint="-0.24994659260841701"/>
      </font>
      <fill>
        <patternFill>
          <bgColor theme="9" tint="0.59996337778862885"/>
        </patternFill>
      </fill>
    </dxf>
    <dxf>
      <font>
        <b/>
        <i val="0"/>
        <color rgb="FFFF0000"/>
      </font>
    </dxf>
    <dxf>
      <font>
        <b/>
        <i val="0"/>
        <color rgb="FFFF0000"/>
      </font>
    </dxf>
    <dxf>
      <font>
        <color rgb="FF006100"/>
      </font>
      <fill>
        <patternFill>
          <bgColor rgb="FFC6EFCE"/>
        </patternFill>
      </fill>
    </dxf>
    <dxf>
      <font>
        <color rgb="FF9C0006"/>
      </font>
      <fill>
        <patternFill>
          <bgColor rgb="FFFFC7CE"/>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b/>
        <i val="0"/>
      </font>
    </dxf>
    <dxf>
      <font>
        <b/>
        <i val="0"/>
      </font>
    </dxf>
    <dxf>
      <font>
        <b/>
        <i val="0"/>
      </font>
    </dxf>
    <dxf>
      <font>
        <b/>
        <i val="0"/>
      </font>
    </dxf>
    <dxf>
      <font>
        <b/>
        <i val="0"/>
      </font>
    </dxf>
    <dxf>
      <font>
        <b/>
        <i val="0"/>
      </font>
    </dxf>
    <dxf>
      <font>
        <color theme="9" tint="-0.24994659260841701"/>
      </font>
      <fill>
        <patternFill>
          <bgColor theme="9" tint="0.59996337778862885"/>
        </patternFill>
      </fill>
    </dxf>
    <dxf>
      <font>
        <b/>
        <i val="0"/>
        <color rgb="FFFF0000"/>
      </font>
    </dxf>
    <dxf>
      <font>
        <b/>
        <i val="0"/>
        <color rgb="FFFF0000"/>
      </font>
    </dxf>
    <dxf>
      <font>
        <color rgb="FF006100"/>
      </font>
      <fill>
        <patternFill>
          <bgColor rgb="FFC6EFCE"/>
        </patternFill>
      </fill>
    </dxf>
    <dxf>
      <font>
        <color rgb="FF9C0006"/>
      </font>
      <fill>
        <patternFill>
          <bgColor rgb="FFFFC7CE"/>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b/>
        <i val="0"/>
      </font>
    </dxf>
    <dxf>
      <font>
        <b/>
        <i val="0"/>
      </font>
    </dxf>
    <dxf>
      <font>
        <b/>
        <i val="0"/>
      </font>
    </dxf>
    <dxf>
      <font>
        <b/>
        <i val="0"/>
      </font>
    </dxf>
    <dxf>
      <font>
        <b/>
        <i val="0"/>
      </font>
    </dxf>
    <dxf>
      <font>
        <b/>
        <i val="0"/>
      </font>
    </dxf>
    <dxf>
      <font>
        <color theme="9" tint="-0.24994659260841701"/>
      </font>
      <fill>
        <patternFill>
          <bgColor theme="9" tint="0.59996337778862885"/>
        </patternFill>
      </fill>
    </dxf>
    <dxf>
      <font>
        <b/>
        <i val="0"/>
        <color rgb="FFFF0000"/>
      </font>
    </dxf>
    <dxf>
      <font>
        <b/>
        <i val="0"/>
        <color rgb="FFFF0000"/>
      </font>
    </dxf>
    <dxf>
      <font>
        <color rgb="FF006100"/>
      </font>
      <fill>
        <patternFill>
          <bgColor rgb="FFC6EFCE"/>
        </patternFill>
      </fill>
    </dxf>
    <dxf>
      <font>
        <color rgb="FF9C0006"/>
      </font>
      <fill>
        <patternFill>
          <bgColor rgb="FFFFC7CE"/>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b/>
        <i val="0"/>
      </font>
    </dxf>
    <dxf>
      <font>
        <b/>
        <i val="0"/>
      </font>
    </dxf>
    <dxf>
      <font>
        <b/>
        <i val="0"/>
      </font>
    </dxf>
    <dxf>
      <font>
        <b/>
        <i val="0"/>
      </font>
    </dxf>
    <dxf>
      <font>
        <b/>
        <i val="0"/>
      </font>
    </dxf>
    <dxf>
      <font>
        <b/>
        <i val="0"/>
      </font>
    </dxf>
    <dxf>
      <font>
        <color theme="9" tint="-0.24994659260841701"/>
      </font>
      <fill>
        <patternFill>
          <bgColor theme="9" tint="0.59996337778862885"/>
        </patternFill>
      </fill>
    </dxf>
    <dxf>
      <font>
        <b/>
        <i val="0"/>
        <color rgb="FFFF0000"/>
      </font>
    </dxf>
    <dxf>
      <font>
        <b/>
        <i val="0"/>
        <color rgb="FFFF0000"/>
      </font>
    </dxf>
    <dxf>
      <font>
        <color rgb="FF006100"/>
      </font>
      <fill>
        <patternFill>
          <bgColor rgb="FFC6EFCE"/>
        </patternFill>
      </fill>
    </dxf>
    <dxf>
      <font>
        <color rgb="FF9C0006"/>
      </font>
      <fill>
        <patternFill>
          <bgColor rgb="FFFFC7CE"/>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b/>
        <i val="0"/>
      </font>
    </dxf>
    <dxf>
      <font>
        <b/>
        <i val="0"/>
      </font>
    </dxf>
    <dxf>
      <font>
        <b/>
        <i val="0"/>
      </font>
    </dxf>
    <dxf>
      <font>
        <b/>
        <i val="0"/>
      </font>
    </dxf>
    <dxf>
      <font>
        <b/>
        <i val="0"/>
      </font>
    </dxf>
    <dxf>
      <font>
        <b/>
        <i val="0"/>
      </font>
    </dxf>
    <dxf>
      <font>
        <color theme="9" tint="-0.24994659260841701"/>
      </font>
      <fill>
        <patternFill>
          <bgColor theme="9" tint="0.59996337778862885"/>
        </patternFill>
      </fill>
    </dxf>
    <dxf>
      <font>
        <b/>
        <i val="0"/>
        <color rgb="FFFF0000"/>
      </font>
    </dxf>
    <dxf>
      <font>
        <b/>
        <i val="0"/>
        <color rgb="FFFF0000"/>
      </font>
    </dxf>
    <dxf>
      <font>
        <color rgb="FF006100"/>
      </font>
      <fill>
        <patternFill>
          <bgColor rgb="FFC6EFCE"/>
        </patternFill>
      </fill>
    </dxf>
    <dxf>
      <font>
        <color rgb="FF9C0006"/>
      </font>
      <fill>
        <patternFill>
          <bgColor rgb="FFFFC7CE"/>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b/>
        <i val="0"/>
      </font>
    </dxf>
    <dxf>
      <font>
        <b/>
        <i val="0"/>
      </font>
    </dxf>
    <dxf>
      <font>
        <b/>
        <i val="0"/>
      </font>
    </dxf>
    <dxf>
      <font>
        <b/>
        <i val="0"/>
      </font>
    </dxf>
    <dxf>
      <font>
        <b/>
        <i val="0"/>
      </font>
    </dxf>
    <dxf>
      <font>
        <b/>
        <i val="0"/>
      </font>
    </dxf>
    <dxf>
      <font>
        <color theme="9" tint="-0.24994659260841701"/>
      </font>
      <fill>
        <patternFill>
          <bgColor theme="9" tint="0.59996337778862885"/>
        </patternFill>
      </fill>
    </dxf>
    <dxf>
      <font>
        <b/>
        <i val="0"/>
        <color rgb="FFFF0000"/>
      </font>
    </dxf>
    <dxf>
      <font>
        <b/>
        <i val="0"/>
        <color rgb="FFFF0000"/>
      </font>
    </dxf>
    <dxf>
      <font>
        <color rgb="FF006100"/>
      </font>
      <fill>
        <patternFill>
          <bgColor rgb="FFC6EFCE"/>
        </patternFill>
      </fill>
    </dxf>
    <dxf>
      <font>
        <color rgb="FF9C0006"/>
      </font>
      <fill>
        <patternFill>
          <bgColor rgb="FFFFC7CE"/>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b/>
        <i val="0"/>
      </font>
    </dxf>
    <dxf>
      <font>
        <b/>
        <i val="0"/>
      </font>
    </dxf>
    <dxf>
      <font>
        <b/>
        <i val="0"/>
      </font>
    </dxf>
    <dxf>
      <font>
        <b/>
        <i val="0"/>
      </font>
    </dxf>
    <dxf>
      <font>
        <b/>
        <i val="0"/>
      </font>
    </dxf>
    <dxf>
      <font>
        <b/>
        <i val="0"/>
      </font>
    </dxf>
    <dxf>
      <font>
        <color theme="9" tint="-0.24994659260841701"/>
      </font>
      <fill>
        <patternFill>
          <bgColor theme="9" tint="0.59996337778862885"/>
        </patternFill>
      </fill>
    </dxf>
    <dxf>
      <font>
        <b/>
        <i val="0"/>
        <color rgb="FFFF0000"/>
      </font>
    </dxf>
    <dxf>
      <font>
        <b/>
        <i val="0"/>
        <color rgb="FFFF0000"/>
      </font>
    </dxf>
    <dxf>
      <font>
        <color rgb="FF006100"/>
      </font>
      <fill>
        <patternFill>
          <bgColor rgb="FFC6EFCE"/>
        </patternFill>
      </fill>
    </dxf>
    <dxf>
      <font>
        <color rgb="FF9C0006"/>
      </font>
      <fill>
        <patternFill>
          <bgColor rgb="FFFFC7CE"/>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b/>
        <i val="0"/>
      </font>
    </dxf>
    <dxf>
      <font>
        <b/>
        <i val="0"/>
      </font>
    </dxf>
    <dxf>
      <font>
        <b/>
        <i val="0"/>
      </font>
    </dxf>
    <dxf>
      <font>
        <b/>
        <i val="0"/>
      </font>
    </dxf>
    <dxf>
      <font>
        <b/>
        <i val="0"/>
      </font>
    </dxf>
    <dxf>
      <font>
        <b/>
        <i val="0"/>
      </font>
    </dxf>
    <dxf>
      <font>
        <color theme="9" tint="-0.24994659260841701"/>
      </font>
      <fill>
        <patternFill>
          <bgColor theme="9" tint="0.59996337778862885"/>
        </patternFill>
      </fill>
    </dxf>
    <dxf>
      <font>
        <b/>
        <i val="0"/>
        <color rgb="FFFF0000"/>
      </font>
    </dxf>
    <dxf>
      <font>
        <b/>
        <i val="0"/>
        <color rgb="FFFF0000"/>
      </font>
    </dxf>
    <dxf>
      <font>
        <color rgb="FF006100"/>
      </font>
      <fill>
        <patternFill>
          <bgColor rgb="FFC6EFCE"/>
        </patternFill>
      </fill>
    </dxf>
    <dxf>
      <font>
        <color rgb="FF9C0006"/>
      </font>
      <fill>
        <patternFill>
          <bgColor rgb="FFFFC7CE"/>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b/>
        <i val="0"/>
      </font>
    </dxf>
    <dxf>
      <font>
        <b/>
        <i val="0"/>
      </font>
    </dxf>
    <dxf>
      <font>
        <b/>
        <i val="0"/>
      </font>
    </dxf>
    <dxf>
      <font>
        <b/>
        <i val="0"/>
      </font>
    </dxf>
    <dxf>
      <font>
        <b/>
        <i val="0"/>
      </font>
    </dxf>
    <dxf>
      <font>
        <b/>
        <i val="0"/>
      </font>
    </dxf>
    <dxf>
      <font>
        <color theme="9" tint="-0.24994659260841701"/>
      </font>
      <fill>
        <patternFill>
          <bgColor theme="9" tint="0.59996337778862885"/>
        </patternFill>
      </fill>
    </dxf>
    <dxf>
      <font>
        <b/>
        <i val="0"/>
        <color rgb="FFFF0000"/>
      </font>
    </dxf>
    <dxf>
      <font>
        <b/>
        <i val="0"/>
        <color rgb="FFFF0000"/>
      </font>
    </dxf>
    <dxf>
      <font>
        <color rgb="FF006100"/>
      </font>
      <fill>
        <patternFill>
          <bgColor rgb="FFC6EFCE"/>
        </patternFill>
      </fill>
    </dxf>
    <dxf>
      <font>
        <color rgb="FF9C0006"/>
      </font>
      <fill>
        <patternFill>
          <bgColor rgb="FFFFC7CE"/>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b/>
        <i val="0"/>
      </font>
    </dxf>
    <dxf>
      <font>
        <b/>
        <i val="0"/>
      </font>
    </dxf>
    <dxf>
      <font>
        <b/>
        <i val="0"/>
      </font>
    </dxf>
    <dxf>
      <font>
        <b/>
        <i val="0"/>
      </font>
    </dxf>
    <dxf>
      <font>
        <b/>
        <i val="0"/>
      </font>
    </dxf>
    <dxf>
      <font>
        <b/>
        <i val="0"/>
      </font>
    </dxf>
    <dxf>
      <font>
        <color theme="9" tint="-0.24994659260841701"/>
      </font>
      <fill>
        <patternFill>
          <bgColor theme="9" tint="0.59996337778862885"/>
        </patternFill>
      </fill>
    </dxf>
    <dxf>
      <font>
        <b/>
        <i val="0"/>
        <color rgb="FFFF0000"/>
      </font>
    </dxf>
    <dxf>
      <font>
        <b/>
        <i val="0"/>
        <color rgb="FFFF0000"/>
      </font>
    </dxf>
    <dxf>
      <font>
        <color rgb="FF006100"/>
      </font>
      <fill>
        <patternFill>
          <bgColor rgb="FFC6EFCE"/>
        </patternFill>
      </fill>
    </dxf>
    <dxf>
      <font>
        <color rgb="FF9C0006"/>
      </font>
      <fill>
        <patternFill>
          <bgColor rgb="FFFFC7CE"/>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b/>
        <i val="0"/>
      </font>
    </dxf>
    <dxf>
      <font>
        <b/>
        <i val="0"/>
      </font>
    </dxf>
    <dxf>
      <font>
        <b/>
        <i val="0"/>
      </font>
    </dxf>
    <dxf>
      <font>
        <b/>
        <i val="0"/>
      </font>
    </dxf>
    <dxf>
      <font>
        <b/>
        <i val="0"/>
      </font>
    </dxf>
    <dxf>
      <font>
        <b/>
        <i val="0"/>
      </font>
    </dxf>
    <dxf>
      <font>
        <color theme="9" tint="-0.24994659260841701"/>
      </font>
      <fill>
        <patternFill>
          <bgColor theme="9" tint="0.59996337778862885"/>
        </patternFill>
      </fill>
    </dxf>
    <dxf>
      <font>
        <b/>
        <i val="0"/>
        <color rgb="FFFF0000"/>
      </font>
    </dxf>
    <dxf>
      <font>
        <b/>
        <i val="0"/>
        <color rgb="FFFF0000"/>
      </font>
    </dxf>
    <dxf>
      <font>
        <color rgb="FF006100"/>
      </font>
      <fill>
        <patternFill>
          <bgColor rgb="FFC6EFCE"/>
        </patternFill>
      </fill>
    </dxf>
    <dxf>
      <font>
        <color rgb="FF9C0006"/>
      </font>
      <fill>
        <patternFill>
          <bgColor rgb="FFFFC7CE"/>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b/>
        <i val="0"/>
      </font>
    </dxf>
    <dxf>
      <font>
        <b/>
        <i val="0"/>
      </font>
    </dxf>
    <dxf>
      <font>
        <b/>
        <i val="0"/>
      </font>
    </dxf>
    <dxf>
      <font>
        <b/>
        <i val="0"/>
      </font>
    </dxf>
    <dxf>
      <font>
        <b/>
        <i val="0"/>
      </font>
    </dxf>
    <dxf>
      <font>
        <b/>
        <i val="0"/>
      </font>
    </dxf>
    <dxf>
      <font>
        <color theme="9" tint="-0.24994659260841701"/>
      </font>
      <fill>
        <patternFill>
          <bgColor theme="9" tint="0.59996337778862885"/>
        </patternFill>
      </fill>
    </dxf>
    <dxf>
      <font>
        <b/>
        <i val="0"/>
        <color rgb="FFFF0000"/>
      </font>
    </dxf>
    <dxf>
      <font>
        <b/>
        <i val="0"/>
        <color rgb="FFFF0000"/>
      </font>
    </dxf>
    <dxf>
      <font>
        <color rgb="FF006100"/>
      </font>
      <fill>
        <patternFill>
          <bgColor rgb="FFC6EFCE"/>
        </patternFill>
      </fill>
    </dxf>
    <dxf>
      <font>
        <color rgb="FF9C0006"/>
      </font>
      <fill>
        <patternFill>
          <bgColor rgb="FFFFC7CE"/>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b/>
        <i val="0"/>
      </font>
    </dxf>
    <dxf>
      <font>
        <b/>
        <i val="0"/>
      </font>
    </dxf>
    <dxf>
      <font>
        <b/>
        <i val="0"/>
      </font>
    </dxf>
    <dxf>
      <font>
        <b/>
        <i val="0"/>
      </font>
    </dxf>
    <dxf>
      <font>
        <b/>
        <i val="0"/>
      </font>
    </dxf>
    <dxf>
      <font>
        <b/>
        <i val="0"/>
      </font>
    </dxf>
    <dxf>
      <font>
        <color theme="9" tint="-0.24994659260841701"/>
      </font>
      <fill>
        <patternFill>
          <bgColor theme="9" tint="0.59996337778862885"/>
        </patternFill>
      </fill>
    </dxf>
    <dxf>
      <font>
        <b/>
        <i val="0"/>
        <color rgb="FFFF0000"/>
      </font>
    </dxf>
    <dxf>
      <font>
        <b/>
        <i val="0"/>
        <color rgb="FFFF0000"/>
      </font>
    </dxf>
    <dxf>
      <font>
        <color rgb="FF006100"/>
      </font>
      <fill>
        <patternFill>
          <bgColor rgb="FFC6EFCE"/>
        </patternFill>
      </fill>
    </dxf>
    <dxf>
      <font>
        <color rgb="FF9C0006"/>
      </font>
      <fill>
        <patternFill>
          <bgColor rgb="FFFFC7CE"/>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b/>
        <i val="0"/>
      </font>
    </dxf>
    <dxf>
      <font>
        <b/>
        <i val="0"/>
      </font>
    </dxf>
    <dxf>
      <font>
        <b/>
        <i val="0"/>
      </font>
    </dxf>
    <dxf>
      <font>
        <b/>
        <i val="0"/>
      </font>
    </dxf>
    <dxf>
      <font>
        <b/>
        <i val="0"/>
      </font>
    </dxf>
    <dxf>
      <font>
        <b/>
        <i val="0"/>
      </font>
    </dxf>
    <dxf>
      <font>
        <color theme="9" tint="-0.24994659260841701"/>
      </font>
      <fill>
        <patternFill>
          <bgColor theme="9" tint="0.59996337778862885"/>
        </patternFill>
      </fill>
    </dxf>
    <dxf>
      <font>
        <b/>
        <i val="0"/>
        <color rgb="FFFF0000"/>
      </font>
    </dxf>
    <dxf>
      <font>
        <b/>
        <i val="0"/>
        <color rgb="FFFF0000"/>
      </font>
    </dxf>
    <dxf>
      <font>
        <color rgb="FF006100"/>
      </font>
      <fill>
        <patternFill>
          <bgColor rgb="FFC6EFCE"/>
        </patternFill>
      </fill>
    </dxf>
    <dxf>
      <font>
        <color rgb="FF9C0006"/>
      </font>
      <fill>
        <patternFill>
          <bgColor rgb="FFFFC7CE"/>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b/>
        <i val="0"/>
      </font>
    </dxf>
    <dxf>
      <font>
        <b/>
        <i val="0"/>
      </font>
    </dxf>
    <dxf>
      <font>
        <b/>
        <i val="0"/>
      </font>
    </dxf>
    <dxf>
      <font>
        <b/>
        <i val="0"/>
      </font>
    </dxf>
    <dxf>
      <font>
        <b/>
        <i val="0"/>
      </font>
    </dxf>
    <dxf>
      <font>
        <b/>
        <i val="0"/>
      </font>
    </dxf>
    <dxf>
      <font>
        <color theme="9" tint="-0.24994659260841701"/>
      </font>
      <fill>
        <patternFill>
          <bgColor theme="9" tint="0.59996337778862885"/>
        </patternFill>
      </fill>
    </dxf>
    <dxf>
      <font>
        <b/>
        <i val="0"/>
        <color rgb="FFFF0000"/>
      </font>
    </dxf>
    <dxf>
      <font>
        <b/>
        <i val="0"/>
        <color rgb="FFFF0000"/>
      </font>
    </dxf>
    <dxf>
      <font>
        <color rgb="FF006100"/>
      </font>
      <fill>
        <patternFill>
          <bgColor rgb="FFC6EFCE"/>
        </patternFill>
      </fill>
    </dxf>
    <dxf>
      <font>
        <color rgb="FF9C0006"/>
      </font>
      <fill>
        <patternFill>
          <bgColor rgb="FFFFC7CE"/>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color rgb="FF9C0006"/>
      </font>
      <fill>
        <patternFill>
          <bgColor rgb="FFFFC7CE"/>
        </patternFill>
      </fill>
    </dxf>
    <dxf>
      <font>
        <color rgb="FF006100"/>
      </font>
      <fill>
        <patternFill>
          <bgColor rgb="FFC6EFCE"/>
        </patternFill>
      </fill>
    </dxf>
    <dxf>
      <font>
        <b/>
        <i val="0"/>
        <color rgb="FFFF0000"/>
      </font>
    </dxf>
    <dxf>
      <font>
        <b/>
        <i val="0"/>
      </font>
    </dxf>
    <dxf>
      <font>
        <b/>
        <i val="0"/>
        <color rgb="FFFF0000"/>
      </font>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b/>
        <i val="0"/>
        <color rgb="FFFF0000"/>
      </font>
    </dxf>
    <dxf>
      <font>
        <b/>
        <i val="0"/>
        <color rgb="FFFF0000"/>
      </font>
    </dxf>
    <dxf>
      <font>
        <b/>
        <i val="0"/>
      </font>
    </dxf>
    <dxf>
      <font>
        <b/>
        <i val="0"/>
        <color rgb="FFFF0000"/>
      </font>
    </dxf>
    <dxf>
      <font>
        <b/>
        <i val="0"/>
      </font>
    </dxf>
    <dxf>
      <font>
        <b/>
        <i val="0"/>
        <color rgb="FFFF0000"/>
      </font>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b/>
        <i val="0"/>
        <color rgb="FFFF0000"/>
      </font>
    </dxf>
    <dxf>
      <font>
        <b/>
        <i val="0"/>
        <color rgb="FFFF0000"/>
      </font>
    </dxf>
    <dxf>
      <font>
        <b/>
        <i val="0"/>
      </font>
    </dxf>
    <dxf>
      <font>
        <b/>
        <i val="0"/>
        <color rgb="FFFF0000"/>
      </font>
    </dxf>
    <dxf>
      <font>
        <b/>
        <i val="0"/>
      </font>
    </dxf>
    <dxf>
      <font>
        <b/>
        <i val="0"/>
        <color rgb="FFFF0000"/>
      </font>
    </dxf>
    <dxf>
      <font>
        <color theme="9" tint="-0.24994659260841701"/>
      </font>
      <fill>
        <patternFill>
          <bgColor theme="9" tint="0.59996337778862885"/>
        </patternFill>
      </fill>
    </dxf>
    <dxf>
      <font>
        <b/>
        <i val="0"/>
        <color rgb="FFFF0000"/>
      </font>
    </dxf>
    <dxf>
      <font>
        <b/>
        <i val="0"/>
      </font>
    </dxf>
    <dxf>
      <font>
        <b/>
        <i val="0"/>
        <color rgb="FFFF0000"/>
      </font>
    </dxf>
    <dxf>
      <font>
        <color theme="9" tint="-0.24994659260841701"/>
      </font>
      <fill>
        <patternFill>
          <bgColor theme="9" tint="0.59996337778862885"/>
        </patternFill>
      </fill>
    </dxf>
    <dxf>
      <font>
        <color theme="9" tint="-0.24994659260841701"/>
      </font>
      <fill>
        <patternFill>
          <bgColor theme="9" tint="0.59996337778862885"/>
        </patternFill>
      </fill>
    </dxf>
    <dxf>
      <font>
        <b/>
        <i val="0"/>
        <color rgb="FFFF0000"/>
      </font>
    </dxf>
    <dxf>
      <font>
        <b/>
        <i val="0"/>
        <color rgb="FFFF0000"/>
      </font>
    </dxf>
    <dxf>
      <font>
        <b/>
        <i val="0"/>
      </font>
    </dxf>
    <dxf>
      <font>
        <color rgb="FF006100"/>
      </font>
      <fill>
        <patternFill>
          <bgColor rgb="FFC6EFCE"/>
        </patternFill>
      </fill>
    </dxf>
    <dxf>
      <font>
        <color rgb="FF9C0006"/>
      </font>
      <fill>
        <patternFill>
          <bgColor rgb="FFFFC7CE"/>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color rgb="FF9C0006"/>
      </font>
      <fill>
        <patternFill>
          <bgColor rgb="FFFFC7CE"/>
        </patternFill>
      </fill>
    </dxf>
    <dxf>
      <font>
        <color rgb="FF006100"/>
      </font>
      <fill>
        <patternFill>
          <bgColor rgb="FFC6EFCE"/>
        </patternFill>
      </fill>
    </dxf>
    <dxf>
      <font>
        <b/>
        <i val="0"/>
        <color rgb="FFFF0000"/>
      </font>
    </dxf>
    <dxf>
      <font>
        <b/>
        <i val="0"/>
      </font>
    </dxf>
    <dxf>
      <font>
        <b/>
        <i val="0"/>
        <color rgb="FFFF0000"/>
      </font>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b/>
        <i val="0"/>
        <color rgb="FFFF0000"/>
      </font>
    </dxf>
    <dxf>
      <font>
        <b/>
        <i val="0"/>
        <color rgb="FFFF0000"/>
      </font>
    </dxf>
    <dxf>
      <font>
        <b/>
        <i val="0"/>
      </font>
    </dxf>
    <dxf>
      <font>
        <b/>
        <i val="0"/>
        <color rgb="FFFF0000"/>
      </font>
    </dxf>
    <dxf>
      <font>
        <b/>
        <i val="0"/>
      </font>
    </dxf>
    <dxf>
      <font>
        <b/>
        <i val="0"/>
        <color rgb="FFFF0000"/>
      </font>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b/>
        <i val="0"/>
        <color rgb="FFFF0000"/>
      </font>
    </dxf>
    <dxf>
      <font>
        <b/>
        <i val="0"/>
        <color rgb="FFFF0000"/>
      </font>
    </dxf>
    <dxf>
      <font>
        <b/>
        <i val="0"/>
      </font>
    </dxf>
    <dxf>
      <font>
        <b/>
        <i val="0"/>
        <color rgb="FFFF0000"/>
      </font>
    </dxf>
    <dxf>
      <font>
        <b/>
        <i val="0"/>
      </font>
    </dxf>
    <dxf>
      <font>
        <b/>
        <i val="0"/>
        <color rgb="FFFF0000"/>
      </font>
    </dxf>
    <dxf>
      <font>
        <color theme="9" tint="-0.24994659260841701"/>
      </font>
      <fill>
        <patternFill>
          <bgColor theme="9" tint="0.59996337778862885"/>
        </patternFill>
      </fill>
    </dxf>
    <dxf>
      <font>
        <b/>
        <i val="0"/>
        <color rgb="FFFF0000"/>
      </font>
    </dxf>
    <dxf>
      <font>
        <b/>
        <i val="0"/>
      </font>
    </dxf>
    <dxf>
      <font>
        <b/>
        <i val="0"/>
        <color rgb="FFFF0000"/>
      </font>
    </dxf>
    <dxf>
      <font>
        <color theme="9" tint="-0.24994659260841701"/>
      </font>
      <fill>
        <patternFill>
          <bgColor theme="9" tint="0.59996337778862885"/>
        </patternFill>
      </fill>
    </dxf>
    <dxf>
      <font>
        <color theme="9" tint="-0.24994659260841701"/>
      </font>
      <fill>
        <patternFill>
          <bgColor theme="9" tint="0.59996337778862885"/>
        </patternFill>
      </fill>
    </dxf>
    <dxf>
      <font>
        <b/>
        <i val="0"/>
        <color rgb="FFFF0000"/>
      </font>
    </dxf>
    <dxf>
      <font>
        <b/>
        <i val="0"/>
        <color rgb="FFFF0000"/>
      </font>
    </dxf>
    <dxf>
      <font>
        <b/>
        <i val="0"/>
      </font>
    </dxf>
    <dxf>
      <font>
        <color rgb="FF006100"/>
      </font>
      <fill>
        <patternFill>
          <bgColor rgb="FFC6EFCE"/>
        </patternFill>
      </fill>
    </dxf>
    <dxf>
      <font>
        <color rgb="FF9C0006"/>
      </font>
      <fill>
        <patternFill>
          <bgColor rgb="FFFFC7CE"/>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color rgb="FF9C0006"/>
      </font>
      <fill>
        <patternFill>
          <bgColor rgb="FFFFC7CE"/>
        </patternFill>
      </fill>
    </dxf>
    <dxf>
      <font>
        <color rgb="FF006100"/>
      </font>
      <fill>
        <patternFill>
          <bgColor rgb="FFC6EFCE"/>
        </patternFill>
      </fill>
    </dxf>
    <dxf>
      <font>
        <b/>
        <i val="0"/>
        <color rgb="FFFF0000"/>
      </font>
    </dxf>
    <dxf>
      <font>
        <b/>
        <i val="0"/>
      </font>
    </dxf>
    <dxf>
      <font>
        <b/>
        <i val="0"/>
        <color rgb="FFFF0000"/>
      </font>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b/>
        <i val="0"/>
        <color rgb="FFFF0000"/>
      </font>
    </dxf>
    <dxf>
      <font>
        <b/>
        <i val="0"/>
        <color rgb="FFFF0000"/>
      </font>
    </dxf>
    <dxf>
      <font>
        <b/>
        <i val="0"/>
      </font>
    </dxf>
    <dxf>
      <font>
        <b/>
        <i val="0"/>
        <color rgb="FFFF0000"/>
      </font>
    </dxf>
    <dxf>
      <font>
        <b/>
        <i val="0"/>
      </font>
    </dxf>
    <dxf>
      <font>
        <b/>
        <i val="0"/>
        <color rgb="FFFF0000"/>
      </font>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b/>
        <i val="0"/>
        <color rgb="FFFF0000"/>
      </font>
    </dxf>
    <dxf>
      <font>
        <b/>
        <i val="0"/>
        <color rgb="FFFF0000"/>
      </font>
    </dxf>
    <dxf>
      <font>
        <b/>
        <i val="0"/>
      </font>
    </dxf>
    <dxf>
      <font>
        <b/>
        <i val="0"/>
        <color rgb="FFFF0000"/>
      </font>
    </dxf>
    <dxf>
      <font>
        <b/>
        <i val="0"/>
      </font>
    </dxf>
    <dxf>
      <font>
        <b/>
        <i val="0"/>
        <color rgb="FFFF0000"/>
      </font>
    </dxf>
    <dxf>
      <font>
        <color theme="9" tint="-0.24994659260841701"/>
      </font>
      <fill>
        <patternFill>
          <bgColor theme="9" tint="0.59996337778862885"/>
        </patternFill>
      </fill>
    </dxf>
    <dxf>
      <font>
        <b/>
        <i val="0"/>
        <color rgb="FFFF0000"/>
      </font>
    </dxf>
    <dxf>
      <font>
        <b/>
        <i val="0"/>
      </font>
    </dxf>
    <dxf>
      <font>
        <b/>
        <i val="0"/>
        <color rgb="FFFF0000"/>
      </font>
    </dxf>
    <dxf>
      <font>
        <color theme="9" tint="-0.24994659260841701"/>
      </font>
      <fill>
        <patternFill>
          <bgColor theme="9" tint="0.59996337778862885"/>
        </patternFill>
      </fill>
    </dxf>
    <dxf>
      <font>
        <color theme="9" tint="-0.24994659260841701"/>
      </font>
      <fill>
        <patternFill>
          <bgColor theme="9" tint="0.59996337778862885"/>
        </patternFill>
      </fill>
    </dxf>
    <dxf>
      <font>
        <b/>
        <i val="0"/>
        <color rgb="FFFF0000"/>
      </font>
    </dxf>
    <dxf>
      <font>
        <b/>
        <i val="0"/>
        <color rgb="FFFF0000"/>
      </font>
    </dxf>
    <dxf>
      <font>
        <b/>
        <i val="0"/>
      </font>
    </dxf>
    <dxf>
      <font>
        <color rgb="FF006100"/>
      </font>
      <fill>
        <patternFill>
          <bgColor rgb="FFC6EFCE"/>
        </patternFill>
      </fill>
    </dxf>
    <dxf>
      <font>
        <color rgb="FF9C0006"/>
      </font>
      <fill>
        <patternFill>
          <bgColor rgb="FFFFC7CE"/>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color rgb="FF9C0006"/>
      </font>
      <fill>
        <patternFill>
          <bgColor rgb="FFFFC7CE"/>
        </patternFill>
      </fill>
    </dxf>
    <dxf>
      <font>
        <color rgb="FF006100"/>
      </font>
      <fill>
        <patternFill>
          <bgColor rgb="FFC6EFCE"/>
        </patternFill>
      </fill>
    </dxf>
    <dxf>
      <font>
        <b/>
        <i val="0"/>
        <color rgb="FFFF0000"/>
      </font>
    </dxf>
    <dxf>
      <font>
        <b/>
        <i val="0"/>
      </font>
    </dxf>
    <dxf>
      <font>
        <b/>
        <i val="0"/>
        <color rgb="FFFF0000"/>
      </font>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b/>
        <i val="0"/>
        <color rgb="FFFF0000"/>
      </font>
    </dxf>
    <dxf>
      <font>
        <b/>
        <i val="0"/>
        <color rgb="FFFF0000"/>
      </font>
    </dxf>
    <dxf>
      <font>
        <b/>
        <i val="0"/>
      </font>
    </dxf>
    <dxf>
      <font>
        <b/>
        <i val="0"/>
        <color rgb="FFFF0000"/>
      </font>
    </dxf>
    <dxf>
      <font>
        <b/>
        <i val="0"/>
      </font>
    </dxf>
    <dxf>
      <font>
        <b/>
        <i val="0"/>
        <color rgb="FFFF0000"/>
      </font>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b/>
        <i val="0"/>
        <color rgb="FFFF0000"/>
      </font>
    </dxf>
    <dxf>
      <font>
        <b/>
        <i val="0"/>
        <color rgb="FFFF0000"/>
      </font>
    </dxf>
    <dxf>
      <font>
        <b/>
        <i val="0"/>
      </font>
    </dxf>
    <dxf>
      <font>
        <b/>
        <i val="0"/>
        <color rgb="FFFF0000"/>
      </font>
    </dxf>
    <dxf>
      <font>
        <b/>
        <i val="0"/>
      </font>
    </dxf>
    <dxf>
      <font>
        <b/>
        <i val="0"/>
        <color rgb="FFFF0000"/>
      </font>
    </dxf>
    <dxf>
      <font>
        <color theme="9" tint="-0.24994659260841701"/>
      </font>
      <fill>
        <patternFill>
          <bgColor theme="9" tint="0.59996337778862885"/>
        </patternFill>
      </fill>
    </dxf>
    <dxf>
      <font>
        <b/>
        <i val="0"/>
        <color rgb="FFFF0000"/>
      </font>
    </dxf>
    <dxf>
      <font>
        <b/>
        <i val="0"/>
      </font>
    </dxf>
    <dxf>
      <font>
        <b/>
        <i val="0"/>
        <color rgb="FFFF0000"/>
      </font>
    </dxf>
    <dxf>
      <font>
        <color theme="9" tint="-0.24994659260841701"/>
      </font>
      <fill>
        <patternFill>
          <bgColor theme="9" tint="0.59996337778862885"/>
        </patternFill>
      </fill>
    </dxf>
    <dxf>
      <font>
        <color theme="9" tint="-0.24994659260841701"/>
      </font>
      <fill>
        <patternFill>
          <bgColor theme="9" tint="0.59996337778862885"/>
        </patternFill>
      </fill>
    </dxf>
    <dxf>
      <font>
        <b/>
        <i val="0"/>
        <color rgb="FFFF0000"/>
      </font>
    </dxf>
    <dxf>
      <font>
        <b/>
        <i val="0"/>
        <color rgb="FFFF0000"/>
      </font>
    </dxf>
    <dxf>
      <font>
        <b/>
        <i val="0"/>
      </font>
    </dxf>
    <dxf>
      <font>
        <color rgb="FF006100"/>
      </font>
      <fill>
        <patternFill>
          <bgColor rgb="FFC6EFCE"/>
        </patternFill>
      </fill>
    </dxf>
    <dxf>
      <font>
        <color rgb="FF9C0006"/>
      </font>
      <fill>
        <patternFill>
          <bgColor rgb="FFFFC7CE"/>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color rgb="FF9C0006"/>
      </font>
      <fill>
        <patternFill>
          <bgColor rgb="FFFFC7CE"/>
        </patternFill>
      </fill>
    </dxf>
    <dxf>
      <font>
        <color rgb="FF006100"/>
      </font>
      <fill>
        <patternFill>
          <bgColor rgb="FFC6EFCE"/>
        </patternFill>
      </fill>
    </dxf>
    <dxf>
      <font>
        <b/>
        <i val="0"/>
        <color rgb="FFFF0000"/>
      </font>
    </dxf>
    <dxf>
      <font>
        <b/>
        <i val="0"/>
      </font>
    </dxf>
    <dxf>
      <font>
        <b/>
        <i val="0"/>
        <color rgb="FFFF0000"/>
      </font>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b/>
        <i val="0"/>
        <color rgb="FFFF0000"/>
      </font>
    </dxf>
    <dxf>
      <font>
        <b/>
        <i val="0"/>
        <color rgb="FFFF0000"/>
      </font>
    </dxf>
    <dxf>
      <font>
        <b/>
        <i val="0"/>
      </font>
    </dxf>
    <dxf>
      <font>
        <b/>
        <i val="0"/>
        <color rgb="FFFF0000"/>
      </font>
    </dxf>
    <dxf>
      <font>
        <b/>
        <i val="0"/>
      </font>
    </dxf>
    <dxf>
      <font>
        <b/>
        <i val="0"/>
        <color rgb="FFFF0000"/>
      </font>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b/>
        <i val="0"/>
        <color rgb="FFFF0000"/>
      </font>
    </dxf>
    <dxf>
      <font>
        <b/>
        <i val="0"/>
        <color rgb="FFFF0000"/>
      </font>
    </dxf>
    <dxf>
      <font>
        <b/>
        <i val="0"/>
      </font>
    </dxf>
    <dxf>
      <font>
        <b/>
        <i val="0"/>
        <color rgb="FFFF0000"/>
      </font>
    </dxf>
    <dxf>
      <font>
        <b/>
        <i val="0"/>
      </font>
    </dxf>
    <dxf>
      <font>
        <b/>
        <i val="0"/>
        <color rgb="FFFF0000"/>
      </font>
    </dxf>
    <dxf>
      <font>
        <color theme="9" tint="-0.24994659260841701"/>
      </font>
      <fill>
        <patternFill>
          <bgColor theme="9" tint="0.59996337778862885"/>
        </patternFill>
      </fill>
    </dxf>
    <dxf>
      <font>
        <b/>
        <i val="0"/>
        <color rgb="FFFF0000"/>
      </font>
    </dxf>
    <dxf>
      <font>
        <b/>
        <i val="0"/>
      </font>
    </dxf>
    <dxf>
      <font>
        <b/>
        <i val="0"/>
        <color rgb="FFFF0000"/>
      </font>
    </dxf>
    <dxf>
      <font>
        <color theme="9" tint="-0.24994659260841701"/>
      </font>
      <fill>
        <patternFill>
          <bgColor theme="9" tint="0.59996337778862885"/>
        </patternFill>
      </fill>
    </dxf>
    <dxf>
      <font>
        <color theme="9" tint="-0.24994659260841701"/>
      </font>
      <fill>
        <patternFill>
          <bgColor theme="9" tint="0.59996337778862885"/>
        </patternFill>
      </fill>
    </dxf>
    <dxf>
      <font>
        <b/>
        <i val="0"/>
        <color rgb="FFFF0000"/>
      </font>
    </dxf>
    <dxf>
      <font>
        <b/>
        <i val="0"/>
        <color rgb="FFFF0000"/>
      </font>
    </dxf>
    <dxf>
      <font>
        <b/>
        <i val="0"/>
      </font>
    </dxf>
    <dxf>
      <font>
        <color rgb="FF006100"/>
      </font>
      <fill>
        <patternFill>
          <bgColor rgb="FFC6EFCE"/>
        </patternFill>
      </fill>
    </dxf>
    <dxf>
      <font>
        <color rgb="FF9C0006"/>
      </font>
      <fill>
        <patternFill>
          <bgColor rgb="FFFFC7CE"/>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color rgb="FF9C0006"/>
      </font>
      <fill>
        <patternFill>
          <bgColor rgb="FFFFC7CE"/>
        </patternFill>
      </fill>
    </dxf>
    <dxf>
      <font>
        <color rgb="FF006100"/>
      </font>
      <fill>
        <patternFill>
          <bgColor rgb="FFC6EFCE"/>
        </patternFill>
      </fill>
    </dxf>
    <dxf>
      <font>
        <b/>
        <i val="0"/>
        <color rgb="FFFF0000"/>
      </font>
    </dxf>
    <dxf>
      <font>
        <b/>
        <i val="0"/>
      </font>
    </dxf>
    <dxf>
      <font>
        <b/>
        <i val="0"/>
        <color rgb="FFFF0000"/>
      </font>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b/>
        <i val="0"/>
        <color rgb="FFFF0000"/>
      </font>
    </dxf>
    <dxf>
      <font>
        <b/>
        <i val="0"/>
        <color rgb="FFFF0000"/>
      </font>
    </dxf>
    <dxf>
      <font>
        <b/>
        <i val="0"/>
      </font>
    </dxf>
    <dxf>
      <font>
        <b/>
        <i val="0"/>
        <color rgb="FFFF0000"/>
      </font>
    </dxf>
    <dxf>
      <font>
        <b/>
        <i val="0"/>
      </font>
    </dxf>
    <dxf>
      <font>
        <b/>
        <i val="0"/>
        <color rgb="FFFF0000"/>
      </font>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b/>
        <i val="0"/>
        <color rgb="FFFF0000"/>
      </font>
    </dxf>
    <dxf>
      <font>
        <b/>
        <i val="0"/>
        <color rgb="FFFF0000"/>
      </font>
    </dxf>
    <dxf>
      <font>
        <b/>
        <i val="0"/>
      </font>
    </dxf>
    <dxf>
      <font>
        <b/>
        <i val="0"/>
        <color rgb="FFFF0000"/>
      </font>
    </dxf>
    <dxf>
      <font>
        <b/>
        <i val="0"/>
      </font>
    </dxf>
    <dxf>
      <font>
        <b/>
        <i val="0"/>
        <color rgb="FFFF0000"/>
      </font>
    </dxf>
    <dxf>
      <font>
        <color theme="9" tint="-0.24994659260841701"/>
      </font>
      <fill>
        <patternFill>
          <bgColor theme="9" tint="0.59996337778862885"/>
        </patternFill>
      </fill>
    </dxf>
    <dxf>
      <font>
        <b/>
        <i val="0"/>
        <color rgb="FFFF0000"/>
      </font>
    </dxf>
    <dxf>
      <font>
        <b/>
        <i val="0"/>
      </font>
    </dxf>
    <dxf>
      <font>
        <b/>
        <i val="0"/>
        <color rgb="FFFF0000"/>
      </font>
    </dxf>
    <dxf>
      <font>
        <color theme="9" tint="-0.24994659260841701"/>
      </font>
      <fill>
        <patternFill>
          <bgColor theme="9" tint="0.59996337778862885"/>
        </patternFill>
      </fill>
    </dxf>
    <dxf>
      <font>
        <color theme="9" tint="-0.24994659260841701"/>
      </font>
      <fill>
        <patternFill>
          <bgColor theme="9" tint="0.59996337778862885"/>
        </patternFill>
      </fill>
    </dxf>
    <dxf>
      <font>
        <b/>
        <i val="0"/>
        <color rgb="FFFF0000"/>
      </font>
    </dxf>
    <dxf>
      <font>
        <b/>
        <i val="0"/>
        <color rgb="FFFF0000"/>
      </font>
    </dxf>
    <dxf>
      <font>
        <b/>
        <i val="0"/>
      </font>
    </dxf>
    <dxf>
      <font>
        <color rgb="FF006100"/>
      </font>
      <fill>
        <patternFill>
          <bgColor rgb="FFC6EFCE"/>
        </patternFill>
      </fill>
    </dxf>
    <dxf>
      <font>
        <color rgb="FF9C0006"/>
      </font>
      <fill>
        <patternFill>
          <bgColor rgb="FFFFC7CE"/>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color rgb="FF9C0006"/>
      </font>
      <fill>
        <patternFill>
          <bgColor rgb="FFFFC7CE"/>
        </patternFill>
      </fill>
    </dxf>
    <dxf>
      <font>
        <color rgb="FF006100"/>
      </font>
      <fill>
        <patternFill>
          <bgColor rgb="FFC6EFCE"/>
        </patternFill>
      </fill>
    </dxf>
    <dxf>
      <font>
        <b/>
        <i val="0"/>
        <color rgb="FFFF0000"/>
      </font>
    </dxf>
    <dxf>
      <font>
        <b/>
        <i val="0"/>
      </font>
    </dxf>
    <dxf>
      <font>
        <b/>
        <i val="0"/>
        <color rgb="FFFF0000"/>
      </font>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b/>
        <i val="0"/>
        <color rgb="FFFF0000"/>
      </font>
    </dxf>
    <dxf>
      <font>
        <b/>
        <i val="0"/>
        <color rgb="FFFF0000"/>
      </font>
    </dxf>
    <dxf>
      <font>
        <b/>
        <i val="0"/>
      </font>
    </dxf>
    <dxf>
      <font>
        <b/>
        <i val="0"/>
        <color rgb="FFFF0000"/>
      </font>
    </dxf>
    <dxf>
      <font>
        <b/>
        <i val="0"/>
      </font>
    </dxf>
    <dxf>
      <font>
        <b/>
        <i val="0"/>
        <color rgb="FFFF0000"/>
      </font>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b/>
        <i val="0"/>
        <color rgb="FFFF0000"/>
      </font>
    </dxf>
    <dxf>
      <font>
        <b/>
        <i val="0"/>
        <color rgb="FFFF0000"/>
      </font>
    </dxf>
    <dxf>
      <font>
        <b/>
        <i val="0"/>
      </font>
    </dxf>
    <dxf>
      <font>
        <b/>
        <i val="0"/>
        <color rgb="FFFF0000"/>
      </font>
    </dxf>
    <dxf>
      <font>
        <b/>
        <i val="0"/>
      </font>
    </dxf>
    <dxf>
      <font>
        <b/>
        <i val="0"/>
        <color rgb="FFFF0000"/>
      </font>
    </dxf>
    <dxf>
      <font>
        <color theme="9" tint="-0.24994659260841701"/>
      </font>
      <fill>
        <patternFill>
          <bgColor theme="9" tint="0.59996337778862885"/>
        </patternFill>
      </fill>
    </dxf>
    <dxf>
      <font>
        <b/>
        <i val="0"/>
        <color rgb="FFFF0000"/>
      </font>
    </dxf>
    <dxf>
      <font>
        <b/>
        <i val="0"/>
      </font>
    </dxf>
    <dxf>
      <font>
        <b/>
        <i val="0"/>
        <color rgb="FFFF0000"/>
      </font>
    </dxf>
    <dxf>
      <font>
        <color theme="9" tint="-0.24994659260841701"/>
      </font>
      <fill>
        <patternFill>
          <bgColor theme="9" tint="0.59996337778862885"/>
        </patternFill>
      </fill>
    </dxf>
    <dxf>
      <font>
        <color theme="9" tint="-0.24994659260841701"/>
      </font>
      <fill>
        <patternFill>
          <bgColor theme="9" tint="0.59996337778862885"/>
        </patternFill>
      </fill>
    </dxf>
    <dxf>
      <font>
        <b/>
        <i val="0"/>
        <color rgb="FFFF0000"/>
      </font>
    </dxf>
    <dxf>
      <font>
        <b/>
        <i val="0"/>
        <color rgb="FFFF0000"/>
      </font>
    </dxf>
    <dxf>
      <font>
        <b/>
        <i val="0"/>
      </font>
    </dxf>
    <dxf>
      <font>
        <color rgb="FF006100"/>
      </font>
      <fill>
        <patternFill>
          <bgColor rgb="FFC6EFCE"/>
        </patternFill>
      </fill>
    </dxf>
    <dxf>
      <font>
        <color rgb="FF9C0006"/>
      </font>
      <fill>
        <patternFill>
          <bgColor rgb="FFFFC7CE"/>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color rgb="FF9C0006"/>
      </font>
      <fill>
        <patternFill>
          <bgColor rgb="FFFFC7CE"/>
        </patternFill>
      </fill>
    </dxf>
    <dxf>
      <font>
        <color rgb="FF006100"/>
      </font>
      <fill>
        <patternFill>
          <bgColor rgb="FFC6EFCE"/>
        </patternFill>
      </fill>
    </dxf>
    <dxf>
      <font>
        <b/>
        <i val="0"/>
        <color rgb="FFFF0000"/>
      </font>
    </dxf>
    <dxf>
      <font>
        <b/>
        <i val="0"/>
      </font>
    </dxf>
    <dxf>
      <font>
        <b/>
        <i val="0"/>
        <color rgb="FFFF0000"/>
      </font>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b/>
        <i val="0"/>
        <color rgb="FFFF0000"/>
      </font>
    </dxf>
    <dxf>
      <font>
        <b/>
        <i val="0"/>
        <color rgb="FFFF0000"/>
      </font>
    </dxf>
    <dxf>
      <font>
        <b/>
        <i val="0"/>
      </font>
    </dxf>
    <dxf>
      <font>
        <b/>
        <i val="0"/>
        <color rgb="FFFF0000"/>
      </font>
    </dxf>
    <dxf>
      <font>
        <b/>
        <i val="0"/>
      </font>
    </dxf>
    <dxf>
      <font>
        <b/>
        <i val="0"/>
        <color rgb="FFFF0000"/>
      </font>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b/>
        <i val="0"/>
        <color rgb="FFFF0000"/>
      </font>
    </dxf>
    <dxf>
      <font>
        <b/>
        <i val="0"/>
        <color rgb="FFFF0000"/>
      </font>
    </dxf>
    <dxf>
      <font>
        <b/>
        <i val="0"/>
      </font>
    </dxf>
    <dxf>
      <font>
        <b/>
        <i val="0"/>
        <color rgb="FFFF0000"/>
      </font>
    </dxf>
    <dxf>
      <font>
        <b/>
        <i val="0"/>
      </font>
    </dxf>
    <dxf>
      <font>
        <b/>
        <i val="0"/>
        <color rgb="FFFF0000"/>
      </font>
    </dxf>
    <dxf>
      <font>
        <color theme="9" tint="-0.24994659260841701"/>
      </font>
      <fill>
        <patternFill>
          <bgColor theme="9" tint="0.59996337778862885"/>
        </patternFill>
      </fill>
    </dxf>
    <dxf>
      <font>
        <b/>
        <i val="0"/>
        <color rgb="FFFF0000"/>
      </font>
    </dxf>
    <dxf>
      <font>
        <b/>
        <i val="0"/>
      </font>
    </dxf>
    <dxf>
      <font>
        <b/>
        <i val="0"/>
        <color rgb="FFFF0000"/>
      </font>
    </dxf>
    <dxf>
      <font>
        <color theme="9" tint="-0.24994659260841701"/>
      </font>
      <fill>
        <patternFill>
          <bgColor theme="9" tint="0.59996337778862885"/>
        </patternFill>
      </fill>
    </dxf>
    <dxf>
      <font>
        <color theme="9" tint="-0.24994659260841701"/>
      </font>
      <fill>
        <patternFill>
          <bgColor theme="9" tint="0.59996337778862885"/>
        </patternFill>
      </fill>
    </dxf>
    <dxf>
      <font>
        <b/>
        <i val="0"/>
        <color rgb="FFFF0000"/>
      </font>
    </dxf>
    <dxf>
      <font>
        <b/>
        <i val="0"/>
        <color rgb="FFFF0000"/>
      </font>
    </dxf>
    <dxf>
      <font>
        <b/>
        <i val="0"/>
      </font>
    </dxf>
    <dxf>
      <font>
        <color rgb="FF006100"/>
      </font>
      <fill>
        <patternFill>
          <bgColor rgb="FFC6EFCE"/>
        </patternFill>
      </fill>
    </dxf>
    <dxf>
      <font>
        <color rgb="FF9C0006"/>
      </font>
      <fill>
        <patternFill>
          <bgColor rgb="FFFFC7CE"/>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color rgb="FF9C0006"/>
      </font>
      <fill>
        <patternFill>
          <bgColor rgb="FFFFC7CE"/>
        </patternFill>
      </fill>
    </dxf>
    <dxf>
      <font>
        <color rgb="FF006100"/>
      </font>
      <fill>
        <patternFill>
          <bgColor rgb="FFC6EFCE"/>
        </patternFill>
      </fill>
    </dxf>
    <dxf>
      <font>
        <b/>
        <i val="0"/>
        <color rgb="FFFF0000"/>
      </font>
    </dxf>
    <dxf>
      <font>
        <b/>
        <i val="0"/>
      </font>
    </dxf>
    <dxf>
      <font>
        <b/>
        <i val="0"/>
        <color rgb="FFFF0000"/>
      </font>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b/>
        <i val="0"/>
        <color rgb="FFFF0000"/>
      </font>
    </dxf>
    <dxf>
      <font>
        <b/>
        <i val="0"/>
        <color rgb="FFFF0000"/>
      </font>
    </dxf>
    <dxf>
      <font>
        <b/>
        <i val="0"/>
      </font>
    </dxf>
    <dxf>
      <font>
        <b/>
        <i val="0"/>
        <color rgb="FFFF0000"/>
      </font>
    </dxf>
    <dxf>
      <font>
        <b/>
        <i val="0"/>
      </font>
    </dxf>
    <dxf>
      <font>
        <b/>
        <i val="0"/>
        <color rgb="FFFF0000"/>
      </font>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b/>
        <i val="0"/>
        <color rgb="FFFF0000"/>
      </font>
    </dxf>
    <dxf>
      <font>
        <b/>
        <i val="0"/>
        <color rgb="FFFF0000"/>
      </font>
    </dxf>
    <dxf>
      <font>
        <b/>
        <i val="0"/>
      </font>
    </dxf>
    <dxf>
      <font>
        <b/>
        <i val="0"/>
        <color rgb="FFFF0000"/>
      </font>
    </dxf>
    <dxf>
      <font>
        <b/>
        <i val="0"/>
      </font>
    </dxf>
    <dxf>
      <font>
        <b/>
        <i val="0"/>
        <color rgb="FFFF0000"/>
      </font>
    </dxf>
    <dxf>
      <font>
        <color theme="9" tint="-0.24994659260841701"/>
      </font>
      <fill>
        <patternFill>
          <bgColor theme="9" tint="0.59996337778862885"/>
        </patternFill>
      </fill>
    </dxf>
    <dxf>
      <font>
        <b/>
        <i val="0"/>
        <color rgb="FFFF0000"/>
      </font>
    </dxf>
    <dxf>
      <font>
        <b/>
        <i val="0"/>
      </font>
    </dxf>
    <dxf>
      <font>
        <b/>
        <i val="0"/>
        <color rgb="FFFF0000"/>
      </font>
    </dxf>
    <dxf>
      <font>
        <color theme="9" tint="-0.24994659260841701"/>
      </font>
      <fill>
        <patternFill>
          <bgColor theme="9" tint="0.59996337778862885"/>
        </patternFill>
      </fill>
    </dxf>
    <dxf>
      <font>
        <color theme="9" tint="-0.24994659260841701"/>
      </font>
      <fill>
        <patternFill>
          <bgColor theme="9" tint="0.59996337778862885"/>
        </patternFill>
      </fill>
    </dxf>
    <dxf>
      <font>
        <b/>
        <i val="0"/>
        <color rgb="FFFF0000"/>
      </font>
    </dxf>
    <dxf>
      <font>
        <b/>
        <i val="0"/>
        <color rgb="FFFF0000"/>
      </font>
    </dxf>
    <dxf>
      <font>
        <b/>
        <i val="0"/>
      </font>
    </dxf>
    <dxf>
      <font>
        <color rgb="FF006100"/>
      </font>
      <fill>
        <patternFill>
          <bgColor rgb="FFC6EFCE"/>
        </patternFill>
      </fill>
    </dxf>
    <dxf>
      <font>
        <color rgb="FF9C0006"/>
      </font>
      <fill>
        <patternFill>
          <bgColor rgb="FFFFC7CE"/>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color rgb="FF9C0006"/>
      </font>
      <fill>
        <patternFill>
          <bgColor rgb="FFFFC7CE"/>
        </patternFill>
      </fill>
    </dxf>
    <dxf>
      <font>
        <color rgb="FF006100"/>
      </font>
      <fill>
        <patternFill>
          <bgColor rgb="FFC6EFCE"/>
        </patternFill>
      </fill>
    </dxf>
    <dxf>
      <font>
        <b/>
        <i val="0"/>
        <color rgb="FFFF0000"/>
      </font>
    </dxf>
    <dxf>
      <font>
        <b/>
        <i val="0"/>
      </font>
    </dxf>
    <dxf>
      <font>
        <b/>
        <i val="0"/>
        <color rgb="FFFF0000"/>
      </font>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b/>
        <i val="0"/>
        <color rgb="FFFF0000"/>
      </font>
    </dxf>
    <dxf>
      <font>
        <b/>
        <i val="0"/>
        <color rgb="FFFF0000"/>
      </font>
    </dxf>
    <dxf>
      <font>
        <b/>
        <i val="0"/>
      </font>
    </dxf>
    <dxf>
      <font>
        <b/>
        <i val="0"/>
        <color rgb="FFFF0000"/>
      </font>
    </dxf>
    <dxf>
      <font>
        <b/>
        <i val="0"/>
      </font>
    </dxf>
    <dxf>
      <font>
        <b/>
        <i val="0"/>
        <color rgb="FFFF0000"/>
      </font>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b/>
        <i val="0"/>
        <color rgb="FFFF0000"/>
      </font>
    </dxf>
    <dxf>
      <font>
        <b/>
        <i val="0"/>
        <color rgb="FFFF0000"/>
      </font>
    </dxf>
    <dxf>
      <font>
        <b/>
        <i val="0"/>
      </font>
    </dxf>
    <dxf>
      <font>
        <b/>
        <i val="0"/>
        <color rgb="FFFF0000"/>
      </font>
    </dxf>
    <dxf>
      <font>
        <b/>
        <i val="0"/>
      </font>
    </dxf>
    <dxf>
      <font>
        <b/>
        <i val="0"/>
        <color rgb="FFFF0000"/>
      </font>
    </dxf>
    <dxf>
      <font>
        <color theme="9" tint="-0.24994659260841701"/>
      </font>
      <fill>
        <patternFill>
          <bgColor theme="9" tint="0.59996337778862885"/>
        </patternFill>
      </fill>
    </dxf>
    <dxf>
      <font>
        <b/>
        <i val="0"/>
        <color rgb="FFFF0000"/>
      </font>
    </dxf>
    <dxf>
      <font>
        <b/>
        <i val="0"/>
      </font>
    </dxf>
    <dxf>
      <font>
        <b/>
        <i val="0"/>
        <color rgb="FFFF0000"/>
      </font>
    </dxf>
    <dxf>
      <font>
        <color theme="9" tint="-0.24994659260841701"/>
      </font>
      <fill>
        <patternFill>
          <bgColor theme="9" tint="0.59996337778862885"/>
        </patternFill>
      </fill>
    </dxf>
    <dxf>
      <font>
        <color theme="9" tint="-0.24994659260841701"/>
      </font>
      <fill>
        <patternFill>
          <bgColor theme="9" tint="0.59996337778862885"/>
        </patternFill>
      </fill>
    </dxf>
    <dxf>
      <font>
        <b/>
        <i val="0"/>
        <color rgb="FFFF0000"/>
      </font>
    </dxf>
    <dxf>
      <font>
        <b/>
        <i val="0"/>
        <color rgb="FFFF0000"/>
      </font>
    </dxf>
    <dxf>
      <font>
        <b/>
        <i val="0"/>
      </font>
    </dxf>
    <dxf>
      <font>
        <color rgb="FF006100"/>
      </font>
      <fill>
        <patternFill>
          <bgColor rgb="FFC6EFCE"/>
        </patternFill>
      </fill>
    </dxf>
    <dxf>
      <font>
        <color rgb="FF9C0006"/>
      </font>
      <fill>
        <patternFill>
          <bgColor rgb="FFFFC7CE"/>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color rgb="FF9C0006"/>
      </font>
      <fill>
        <patternFill>
          <bgColor rgb="FFFFC7CE"/>
        </patternFill>
      </fill>
    </dxf>
    <dxf>
      <font>
        <color rgb="FF006100"/>
      </font>
      <fill>
        <patternFill>
          <bgColor rgb="FFC6EFCE"/>
        </patternFill>
      </fill>
    </dxf>
    <dxf>
      <font>
        <b/>
        <i val="0"/>
        <color rgb="FFFF0000"/>
      </font>
    </dxf>
    <dxf>
      <font>
        <b/>
        <i val="0"/>
      </font>
    </dxf>
    <dxf>
      <font>
        <b/>
        <i val="0"/>
        <color rgb="FFFF0000"/>
      </font>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b/>
        <i val="0"/>
        <color rgb="FFFF0000"/>
      </font>
    </dxf>
    <dxf>
      <font>
        <b/>
        <i val="0"/>
        <color rgb="FFFF0000"/>
      </font>
    </dxf>
    <dxf>
      <font>
        <b/>
        <i val="0"/>
      </font>
    </dxf>
    <dxf>
      <font>
        <b/>
        <i val="0"/>
        <color rgb="FFFF0000"/>
      </font>
    </dxf>
    <dxf>
      <font>
        <b/>
        <i val="0"/>
      </font>
    </dxf>
    <dxf>
      <font>
        <b/>
        <i val="0"/>
        <color rgb="FFFF0000"/>
      </font>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b/>
        <i val="0"/>
        <color rgb="FFFF0000"/>
      </font>
    </dxf>
    <dxf>
      <font>
        <b/>
        <i val="0"/>
        <color rgb="FFFF0000"/>
      </font>
    </dxf>
    <dxf>
      <font>
        <b/>
        <i val="0"/>
      </font>
    </dxf>
    <dxf>
      <font>
        <b/>
        <i val="0"/>
        <color rgb="FFFF0000"/>
      </font>
    </dxf>
    <dxf>
      <font>
        <b/>
        <i val="0"/>
      </font>
    </dxf>
    <dxf>
      <font>
        <b/>
        <i val="0"/>
        <color rgb="FFFF0000"/>
      </font>
    </dxf>
    <dxf>
      <font>
        <color theme="9" tint="-0.24994659260841701"/>
      </font>
      <fill>
        <patternFill>
          <bgColor theme="9" tint="0.59996337778862885"/>
        </patternFill>
      </fill>
    </dxf>
    <dxf>
      <font>
        <b/>
        <i val="0"/>
        <color rgb="FFFF0000"/>
      </font>
    </dxf>
    <dxf>
      <font>
        <b/>
        <i val="0"/>
      </font>
    </dxf>
    <dxf>
      <font>
        <b/>
        <i val="0"/>
        <color rgb="FFFF0000"/>
      </font>
    </dxf>
    <dxf>
      <font>
        <color theme="9" tint="-0.24994659260841701"/>
      </font>
      <fill>
        <patternFill>
          <bgColor theme="9" tint="0.59996337778862885"/>
        </patternFill>
      </fill>
    </dxf>
    <dxf>
      <font>
        <color theme="9" tint="-0.24994659260841701"/>
      </font>
      <fill>
        <patternFill>
          <bgColor theme="9" tint="0.59996337778862885"/>
        </patternFill>
      </fill>
    </dxf>
    <dxf>
      <font>
        <b/>
        <i val="0"/>
        <color rgb="FFFF0000"/>
      </font>
    </dxf>
    <dxf>
      <font>
        <b/>
        <i val="0"/>
        <color rgb="FFFF0000"/>
      </font>
    </dxf>
    <dxf>
      <font>
        <b/>
        <i val="0"/>
      </font>
    </dxf>
    <dxf>
      <font>
        <color rgb="FF006100"/>
      </font>
      <fill>
        <patternFill>
          <bgColor rgb="FFC6EFCE"/>
        </patternFill>
      </fill>
    </dxf>
    <dxf>
      <font>
        <color rgb="FF9C0006"/>
      </font>
      <fill>
        <patternFill>
          <bgColor rgb="FFFFC7CE"/>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color rgb="FF9C0006"/>
      </font>
      <fill>
        <patternFill>
          <bgColor rgb="FFFFC7CE"/>
        </patternFill>
      </fill>
    </dxf>
    <dxf>
      <font>
        <color rgb="FF006100"/>
      </font>
      <fill>
        <patternFill>
          <bgColor rgb="FFC6EFCE"/>
        </patternFill>
      </fill>
    </dxf>
    <dxf>
      <font>
        <b/>
        <i val="0"/>
        <color rgb="FFFF0000"/>
      </font>
    </dxf>
    <dxf>
      <font>
        <b/>
        <i val="0"/>
      </font>
    </dxf>
    <dxf>
      <font>
        <b/>
        <i val="0"/>
        <color rgb="FFFF0000"/>
      </font>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b/>
        <i val="0"/>
        <color rgb="FFFF0000"/>
      </font>
    </dxf>
    <dxf>
      <font>
        <b/>
        <i val="0"/>
        <color rgb="FFFF0000"/>
      </font>
    </dxf>
    <dxf>
      <font>
        <b/>
        <i val="0"/>
      </font>
    </dxf>
    <dxf>
      <font>
        <b/>
        <i val="0"/>
        <color rgb="FFFF0000"/>
      </font>
    </dxf>
    <dxf>
      <font>
        <b/>
        <i val="0"/>
      </font>
    </dxf>
    <dxf>
      <font>
        <b/>
        <i val="0"/>
        <color rgb="FFFF0000"/>
      </font>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b/>
        <i val="0"/>
        <color rgb="FFFF0000"/>
      </font>
    </dxf>
    <dxf>
      <font>
        <b/>
        <i val="0"/>
        <color rgb="FFFF0000"/>
      </font>
    </dxf>
    <dxf>
      <font>
        <b/>
        <i val="0"/>
      </font>
    </dxf>
    <dxf>
      <font>
        <b/>
        <i val="0"/>
        <color rgb="FFFF0000"/>
      </font>
    </dxf>
    <dxf>
      <font>
        <b/>
        <i val="0"/>
      </font>
    </dxf>
    <dxf>
      <font>
        <b/>
        <i val="0"/>
        <color rgb="FFFF0000"/>
      </font>
    </dxf>
    <dxf>
      <font>
        <color theme="9" tint="-0.24994659260841701"/>
      </font>
      <fill>
        <patternFill>
          <bgColor theme="9" tint="0.59996337778862885"/>
        </patternFill>
      </fill>
    </dxf>
    <dxf>
      <font>
        <b/>
        <i val="0"/>
        <color rgb="FFFF0000"/>
      </font>
    </dxf>
    <dxf>
      <font>
        <b/>
        <i val="0"/>
      </font>
    </dxf>
    <dxf>
      <font>
        <b/>
        <i val="0"/>
        <color rgb="FFFF0000"/>
      </font>
    </dxf>
    <dxf>
      <font>
        <color theme="9" tint="-0.24994659260841701"/>
      </font>
      <fill>
        <patternFill>
          <bgColor theme="9" tint="0.59996337778862885"/>
        </patternFill>
      </fill>
    </dxf>
    <dxf>
      <font>
        <color theme="9" tint="-0.24994659260841701"/>
      </font>
      <fill>
        <patternFill>
          <bgColor theme="9" tint="0.59996337778862885"/>
        </patternFill>
      </fill>
    </dxf>
    <dxf>
      <font>
        <b/>
        <i val="0"/>
        <color rgb="FFFF0000"/>
      </font>
    </dxf>
    <dxf>
      <font>
        <b/>
        <i val="0"/>
        <color rgb="FFFF0000"/>
      </font>
    </dxf>
    <dxf>
      <font>
        <b/>
        <i val="0"/>
      </font>
    </dxf>
    <dxf>
      <font>
        <color rgb="FF006100"/>
      </font>
      <fill>
        <patternFill>
          <bgColor rgb="FFC6EFCE"/>
        </patternFill>
      </fill>
    </dxf>
    <dxf>
      <font>
        <color rgb="FF9C0006"/>
      </font>
      <fill>
        <patternFill>
          <bgColor rgb="FFFFC7CE"/>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color rgb="FF9C0006"/>
      </font>
      <fill>
        <patternFill>
          <bgColor rgb="FFFFC7CE"/>
        </patternFill>
      </fill>
    </dxf>
    <dxf>
      <font>
        <color rgb="FF006100"/>
      </font>
      <fill>
        <patternFill>
          <bgColor rgb="FFC6EFCE"/>
        </patternFill>
      </fill>
    </dxf>
    <dxf>
      <font>
        <b/>
        <i val="0"/>
        <color rgb="FFFF0000"/>
      </font>
    </dxf>
    <dxf>
      <font>
        <b/>
        <i val="0"/>
      </font>
    </dxf>
    <dxf>
      <font>
        <b/>
        <i val="0"/>
        <color rgb="FFFF0000"/>
      </font>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b/>
        <i val="0"/>
        <color rgb="FFFF0000"/>
      </font>
    </dxf>
    <dxf>
      <font>
        <b/>
        <i val="0"/>
        <color rgb="FFFF0000"/>
      </font>
    </dxf>
    <dxf>
      <font>
        <b/>
        <i val="0"/>
      </font>
    </dxf>
    <dxf>
      <font>
        <b/>
        <i val="0"/>
        <color rgb="FFFF0000"/>
      </font>
    </dxf>
    <dxf>
      <font>
        <b/>
        <i val="0"/>
      </font>
    </dxf>
    <dxf>
      <font>
        <b/>
        <i val="0"/>
        <color rgb="FFFF0000"/>
      </font>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b/>
        <i val="0"/>
        <color rgb="FFFF0000"/>
      </font>
    </dxf>
    <dxf>
      <font>
        <b/>
        <i val="0"/>
        <color rgb="FFFF0000"/>
      </font>
    </dxf>
    <dxf>
      <font>
        <b/>
        <i val="0"/>
      </font>
    </dxf>
    <dxf>
      <font>
        <b/>
        <i val="0"/>
        <color rgb="FFFF0000"/>
      </font>
    </dxf>
    <dxf>
      <font>
        <b/>
        <i val="0"/>
      </font>
    </dxf>
    <dxf>
      <font>
        <b/>
        <i val="0"/>
        <color rgb="FFFF0000"/>
      </font>
    </dxf>
    <dxf>
      <font>
        <color theme="9" tint="-0.24994659260841701"/>
      </font>
      <fill>
        <patternFill>
          <bgColor theme="9" tint="0.59996337778862885"/>
        </patternFill>
      </fill>
    </dxf>
    <dxf>
      <font>
        <b/>
        <i val="0"/>
        <color rgb="FFFF0000"/>
      </font>
    </dxf>
    <dxf>
      <font>
        <b/>
        <i val="0"/>
      </font>
    </dxf>
    <dxf>
      <font>
        <b/>
        <i val="0"/>
        <color rgb="FFFF0000"/>
      </font>
    </dxf>
    <dxf>
      <font>
        <color theme="9" tint="-0.24994659260841701"/>
      </font>
      <fill>
        <patternFill>
          <bgColor theme="9" tint="0.59996337778862885"/>
        </patternFill>
      </fill>
    </dxf>
    <dxf>
      <font>
        <color theme="9" tint="-0.24994659260841701"/>
      </font>
      <fill>
        <patternFill>
          <bgColor theme="9" tint="0.59996337778862885"/>
        </patternFill>
      </fill>
    </dxf>
    <dxf>
      <font>
        <b/>
        <i val="0"/>
        <color rgb="FFFF0000"/>
      </font>
    </dxf>
    <dxf>
      <font>
        <b/>
        <i val="0"/>
        <color rgb="FFFF0000"/>
      </font>
    </dxf>
    <dxf>
      <font>
        <b/>
        <i val="0"/>
      </font>
    </dxf>
    <dxf>
      <font>
        <color rgb="FF006100"/>
      </font>
      <fill>
        <patternFill>
          <bgColor rgb="FFC6EFCE"/>
        </patternFill>
      </fill>
    </dxf>
    <dxf>
      <font>
        <color rgb="FF9C0006"/>
      </font>
      <fill>
        <patternFill>
          <bgColor rgb="FFFFC7CE"/>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color rgb="FF9C0006"/>
      </font>
      <fill>
        <patternFill>
          <bgColor rgb="FFFFC7CE"/>
        </patternFill>
      </fill>
    </dxf>
    <dxf>
      <font>
        <color rgb="FF006100"/>
      </font>
      <fill>
        <patternFill>
          <bgColor rgb="FFC6EFCE"/>
        </patternFill>
      </fill>
    </dxf>
    <dxf>
      <font>
        <b/>
        <i val="0"/>
        <color rgb="FFFF0000"/>
      </font>
    </dxf>
    <dxf>
      <font>
        <b/>
        <i val="0"/>
        <color rgb="FFFF0000"/>
      </font>
    </dxf>
    <dxf>
      <font>
        <b/>
        <i val="0"/>
      </font>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b/>
        <i val="0"/>
        <color rgb="FFFF0000"/>
      </font>
    </dxf>
    <dxf>
      <font>
        <b/>
        <i val="0"/>
        <color rgb="FFFF0000"/>
      </font>
    </dxf>
    <dxf>
      <font>
        <b/>
        <i val="0"/>
        <color rgb="FFFF0000"/>
      </font>
    </dxf>
    <dxf>
      <font>
        <b/>
        <i val="0"/>
      </font>
    </dxf>
    <dxf>
      <font>
        <b/>
        <i val="0"/>
        <color rgb="FFFF0000"/>
      </font>
    </dxf>
    <dxf>
      <font>
        <b/>
        <i val="0"/>
      </font>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b/>
        <i val="0"/>
        <color rgb="FFFF0000"/>
      </font>
    </dxf>
    <dxf>
      <font>
        <b/>
        <i val="0"/>
        <color rgb="FFFF0000"/>
      </font>
    </dxf>
    <dxf>
      <font>
        <b/>
        <i val="0"/>
        <color rgb="FFFF0000"/>
      </font>
    </dxf>
    <dxf>
      <font>
        <b/>
        <i val="0"/>
      </font>
    </dxf>
    <dxf>
      <font>
        <b/>
        <i val="0"/>
        <color rgb="FFFF0000"/>
      </font>
    </dxf>
    <dxf>
      <font>
        <b/>
        <i val="0"/>
      </font>
    </dxf>
    <dxf>
      <font>
        <color theme="9" tint="-0.24994659260841701"/>
      </font>
      <fill>
        <patternFill>
          <bgColor theme="9" tint="0.59996337778862885"/>
        </patternFill>
      </fill>
    </dxf>
    <dxf>
      <font>
        <b/>
        <i val="0"/>
        <color rgb="FFFF0000"/>
      </font>
    </dxf>
    <dxf>
      <font>
        <b/>
        <i val="0"/>
        <color rgb="FFFF0000"/>
      </font>
    </dxf>
    <dxf>
      <font>
        <b/>
        <i val="0"/>
      </font>
    </dxf>
    <dxf>
      <font>
        <color theme="9" tint="-0.24994659260841701"/>
      </font>
      <fill>
        <patternFill>
          <bgColor theme="9" tint="0.59996337778862885"/>
        </patternFill>
      </fill>
    </dxf>
    <dxf>
      <font>
        <b/>
        <i val="0"/>
        <color rgb="FFFF0000"/>
      </font>
    </dxf>
    <dxf>
      <font>
        <b/>
        <i val="0"/>
        <color rgb="FFFF0000"/>
      </font>
    </dxf>
    <dxf>
      <font>
        <color rgb="FF006100"/>
      </font>
      <fill>
        <patternFill>
          <bgColor rgb="FFC6EFCE"/>
        </patternFill>
      </fill>
    </dxf>
    <dxf>
      <font>
        <color rgb="FF9C0006"/>
      </font>
      <fill>
        <patternFill>
          <bgColor rgb="FFFFC7CE"/>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color rgb="FF9C0006"/>
      </font>
      <fill>
        <patternFill>
          <bgColor rgb="FFFFC7CE"/>
        </patternFill>
      </fill>
    </dxf>
    <dxf>
      <font>
        <color rgb="FF006100"/>
      </font>
      <fill>
        <patternFill>
          <bgColor rgb="FFC6EFCE"/>
        </patternFill>
      </fill>
    </dxf>
    <dxf>
      <font>
        <b/>
        <i val="0"/>
        <color rgb="FFFF0000"/>
      </font>
    </dxf>
    <dxf>
      <font>
        <b/>
        <i val="0"/>
        <color rgb="FFFF0000"/>
      </font>
    </dxf>
    <dxf>
      <font>
        <b/>
        <i val="0"/>
      </font>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b/>
        <i val="0"/>
        <color rgb="FFFF0000"/>
      </font>
    </dxf>
    <dxf>
      <font>
        <b/>
        <i val="0"/>
        <color rgb="FFFF0000"/>
      </font>
    </dxf>
    <dxf>
      <font>
        <b/>
        <i val="0"/>
        <color rgb="FFFF0000"/>
      </font>
    </dxf>
    <dxf>
      <font>
        <b/>
        <i val="0"/>
      </font>
    </dxf>
    <dxf>
      <font>
        <b/>
        <i val="0"/>
        <color rgb="FFFF0000"/>
      </font>
    </dxf>
    <dxf>
      <font>
        <b/>
        <i val="0"/>
      </font>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b/>
        <i val="0"/>
        <color rgb="FFFF0000"/>
      </font>
    </dxf>
    <dxf>
      <font>
        <b/>
        <i val="0"/>
        <color rgb="FFFF0000"/>
      </font>
    </dxf>
    <dxf>
      <font>
        <b/>
        <i val="0"/>
        <color rgb="FFFF0000"/>
      </font>
    </dxf>
    <dxf>
      <font>
        <b/>
        <i val="0"/>
      </font>
    </dxf>
    <dxf>
      <font>
        <b/>
        <i val="0"/>
        <color rgb="FFFF0000"/>
      </font>
    </dxf>
    <dxf>
      <font>
        <b/>
        <i val="0"/>
      </font>
    </dxf>
    <dxf>
      <font>
        <color theme="9" tint="-0.24994659260841701"/>
      </font>
      <fill>
        <patternFill>
          <bgColor theme="9" tint="0.59996337778862885"/>
        </patternFill>
      </fill>
    </dxf>
    <dxf>
      <font>
        <b/>
        <i val="0"/>
        <color rgb="FFFF0000"/>
      </font>
    </dxf>
    <dxf>
      <font>
        <b/>
        <i val="0"/>
        <color rgb="FFFF0000"/>
      </font>
    </dxf>
    <dxf>
      <font>
        <b/>
        <i val="0"/>
      </font>
    </dxf>
    <dxf>
      <font>
        <color theme="9" tint="-0.24994659260841701"/>
      </font>
      <fill>
        <patternFill>
          <bgColor theme="9" tint="0.59996337778862885"/>
        </patternFill>
      </fill>
    </dxf>
    <dxf>
      <font>
        <b/>
        <i val="0"/>
        <color rgb="FFFF0000"/>
      </font>
    </dxf>
    <dxf>
      <font>
        <b/>
        <i val="0"/>
        <color rgb="FFFF0000"/>
      </font>
    </dxf>
    <dxf>
      <font>
        <color rgb="FF006100"/>
      </font>
      <fill>
        <patternFill>
          <bgColor rgb="FFC6EFCE"/>
        </patternFill>
      </fill>
    </dxf>
    <dxf>
      <font>
        <color rgb="FF9C0006"/>
      </font>
      <fill>
        <patternFill>
          <bgColor rgb="FFFFC7CE"/>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color rgb="FF9C0006"/>
      </font>
      <fill>
        <patternFill>
          <bgColor rgb="FFFFC7CE"/>
        </patternFill>
      </fill>
    </dxf>
    <dxf>
      <font>
        <color rgb="FF006100"/>
      </font>
      <fill>
        <patternFill>
          <bgColor rgb="FFC6EFCE"/>
        </patternFill>
      </fill>
    </dxf>
    <dxf>
      <font>
        <b/>
        <i val="0"/>
        <color rgb="FFFF0000"/>
      </font>
    </dxf>
    <dxf>
      <font>
        <b/>
        <i val="0"/>
        <color rgb="FFFF0000"/>
      </font>
    </dxf>
    <dxf>
      <font>
        <b/>
        <i val="0"/>
      </font>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b/>
        <i val="0"/>
        <color rgb="FFFF0000"/>
      </font>
    </dxf>
    <dxf>
      <font>
        <b/>
        <i val="0"/>
        <color rgb="FFFF0000"/>
      </font>
    </dxf>
    <dxf>
      <font>
        <b/>
        <i val="0"/>
        <color rgb="FFFF0000"/>
      </font>
    </dxf>
    <dxf>
      <font>
        <b/>
        <i val="0"/>
      </font>
    </dxf>
    <dxf>
      <font>
        <b/>
        <i val="0"/>
        <color rgb="FFFF0000"/>
      </font>
    </dxf>
    <dxf>
      <font>
        <b/>
        <i val="0"/>
      </font>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b/>
        <i val="0"/>
        <color rgb="FFFF0000"/>
      </font>
    </dxf>
    <dxf>
      <font>
        <b/>
        <i val="0"/>
        <color rgb="FFFF0000"/>
      </font>
    </dxf>
    <dxf>
      <font>
        <b/>
        <i val="0"/>
        <color rgb="FFFF0000"/>
      </font>
    </dxf>
    <dxf>
      <font>
        <b/>
        <i val="0"/>
      </font>
    </dxf>
    <dxf>
      <font>
        <b/>
        <i val="0"/>
        <color rgb="FFFF0000"/>
      </font>
    </dxf>
    <dxf>
      <font>
        <b/>
        <i val="0"/>
      </font>
    </dxf>
    <dxf>
      <font>
        <color theme="9" tint="-0.24994659260841701"/>
      </font>
      <fill>
        <patternFill>
          <bgColor theme="9" tint="0.59996337778862885"/>
        </patternFill>
      </fill>
    </dxf>
    <dxf>
      <font>
        <b/>
        <i val="0"/>
        <color rgb="FFFF0000"/>
      </font>
    </dxf>
    <dxf>
      <font>
        <b/>
        <i val="0"/>
        <color rgb="FFFF0000"/>
      </font>
    </dxf>
    <dxf>
      <font>
        <b/>
        <i val="0"/>
      </font>
    </dxf>
    <dxf>
      <font>
        <color theme="9" tint="-0.24994659260841701"/>
      </font>
      <fill>
        <patternFill>
          <bgColor theme="9" tint="0.59996337778862885"/>
        </patternFill>
      </fill>
    </dxf>
    <dxf>
      <font>
        <b/>
        <i val="0"/>
        <color rgb="FFFF0000"/>
      </font>
    </dxf>
    <dxf>
      <font>
        <b/>
        <i val="0"/>
        <color rgb="FFFF0000"/>
      </font>
    </dxf>
    <dxf>
      <font>
        <color rgb="FF006100"/>
      </font>
      <fill>
        <patternFill>
          <bgColor rgb="FFC6EFCE"/>
        </patternFill>
      </fill>
    </dxf>
    <dxf>
      <font>
        <color rgb="FF9C0006"/>
      </font>
      <fill>
        <patternFill>
          <bgColor rgb="FFFFC7CE"/>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color rgb="FF9C0006"/>
      </font>
      <fill>
        <patternFill>
          <bgColor rgb="FFFFC7CE"/>
        </patternFill>
      </fill>
    </dxf>
    <dxf>
      <font>
        <color rgb="FF006100"/>
      </font>
      <fill>
        <patternFill>
          <bgColor rgb="FFC6EFCE"/>
        </patternFill>
      </fill>
    </dxf>
    <dxf>
      <font>
        <b/>
        <i val="0"/>
        <color rgb="FFFF0000"/>
      </font>
    </dxf>
    <dxf>
      <font>
        <b/>
        <i val="0"/>
        <color rgb="FFFF0000"/>
      </font>
    </dxf>
    <dxf>
      <font>
        <b/>
        <i val="0"/>
      </font>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b/>
        <i val="0"/>
        <color rgb="FFFF0000"/>
      </font>
    </dxf>
    <dxf>
      <font>
        <b/>
        <i val="0"/>
        <color rgb="FFFF0000"/>
      </font>
    </dxf>
    <dxf>
      <font>
        <b/>
        <i val="0"/>
        <color rgb="FFFF0000"/>
      </font>
    </dxf>
    <dxf>
      <font>
        <b/>
        <i val="0"/>
      </font>
    </dxf>
    <dxf>
      <font>
        <b/>
        <i val="0"/>
        <color rgb="FFFF0000"/>
      </font>
    </dxf>
    <dxf>
      <font>
        <b/>
        <i val="0"/>
      </font>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b/>
        <i val="0"/>
        <color rgb="FFFF0000"/>
      </font>
    </dxf>
    <dxf>
      <font>
        <b/>
        <i val="0"/>
        <color rgb="FFFF0000"/>
      </font>
    </dxf>
    <dxf>
      <font>
        <b/>
        <i val="0"/>
        <color rgb="FFFF0000"/>
      </font>
    </dxf>
    <dxf>
      <font>
        <b/>
        <i val="0"/>
      </font>
    </dxf>
    <dxf>
      <font>
        <b/>
        <i val="0"/>
        <color rgb="FFFF0000"/>
      </font>
    </dxf>
    <dxf>
      <font>
        <b/>
        <i val="0"/>
      </font>
    </dxf>
    <dxf>
      <font>
        <color theme="9" tint="-0.24994659260841701"/>
      </font>
      <fill>
        <patternFill>
          <bgColor theme="9" tint="0.59996337778862885"/>
        </patternFill>
      </fill>
    </dxf>
    <dxf>
      <font>
        <b/>
        <i val="0"/>
        <color rgb="FFFF0000"/>
      </font>
    </dxf>
    <dxf>
      <font>
        <b/>
        <i val="0"/>
        <color rgb="FFFF0000"/>
      </font>
    </dxf>
    <dxf>
      <font>
        <b/>
        <i val="0"/>
      </font>
    </dxf>
    <dxf>
      <font>
        <color theme="9" tint="-0.24994659260841701"/>
      </font>
      <fill>
        <patternFill>
          <bgColor theme="9" tint="0.59996337778862885"/>
        </patternFill>
      </fill>
    </dxf>
    <dxf>
      <font>
        <b/>
        <i val="0"/>
        <color rgb="FFFF0000"/>
      </font>
    </dxf>
    <dxf>
      <font>
        <b/>
        <i val="0"/>
        <color rgb="FFFF0000"/>
      </font>
    </dxf>
    <dxf>
      <font>
        <color rgb="FF006100"/>
      </font>
      <fill>
        <patternFill>
          <bgColor rgb="FFC6EFCE"/>
        </patternFill>
      </fill>
    </dxf>
    <dxf>
      <font>
        <color rgb="FF9C0006"/>
      </font>
      <fill>
        <patternFill>
          <bgColor rgb="FFFFC7CE"/>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color rgb="FF9C0006"/>
      </font>
      <fill>
        <patternFill>
          <bgColor rgb="FFFFC7CE"/>
        </patternFill>
      </fill>
    </dxf>
    <dxf>
      <font>
        <color rgb="FF006100"/>
      </font>
      <fill>
        <patternFill>
          <bgColor rgb="FFC6EFCE"/>
        </patternFill>
      </fill>
    </dxf>
    <dxf>
      <font>
        <b/>
        <i val="0"/>
        <color rgb="FFFF0000"/>
      </font>
    </dxf>
    <dxf>
      <font>
        <b/>
        <i val="0"/>
        <color rgb="FFFF0000"/>
      </font>
    </dxf>
    <dxf>
      <font>
        <b/>
        <i val="0"/>
      </font>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b/>
        <i val="0"/>
        <color rgb="FFFF0000"/>
      </font>
    </dxf>
    <dxf>
      <font>
        <b/>
        <i val="0"/>
        <color rgb="FFFF0000"/>
      </font>
    </dxf>
    <dxf>
      <font>
        <b/>
        <i val="0"/>
        <color rgb="FFFF0000"/>
      </font>
    </dxf>
    <dxf>
      <font>
        <b/>
        <i val="0"/>
      </font>
    </dxf>
    <dxf>
      <font>
        <b/>
        <i val="0"/>
        <color rgb="FFFF0000"/>
      </font>
    </dxf>
    <dxf>
      <font>
        <b/>
        <i val="0"/>
      </font>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b/>
        <i val="0"/>
        <color rgb="FFFF0000"/>
      </font>
    </dxf>
    <dxf>
      <font>
        <b/>
        <i val="0"/>
        <color rgb="FFFF0000"/>
      </font>
    </dxf>
    <dxf>
      <font>
        <b/>
        <i val="0"/>
        <color rgb="FFFF0000"/>
      </font>
    </dxf>
    <dxf>
      <font>
        <b/>
        <i val="0"/>
      </font>
    </dxf>
    <dxf>
      <font>
        <b/>
        <i val="0"/>
        <color rgb="FFFF0000"/>
      </font>
    </dxf>
    <dxf>
      <font>
        <b/>
        <i val="0"/>
      </font>
    </dxf>
    <dxf>
      <font>
        <color theme="9" tint="-0.24994659260841701"/>
      </font>
      <fill>
        <patternFill>
          <bgColor theme="9" tint="0.59996337778862885"/>
        </patternFill>
      </fill>
    </dxf>
    <dxf>
      <font>
        <b/>
        <i val="0"/>
        <color rgb="FFFF0000"/>
      </font>
    </dxf>
    <dxf>
      <font>
        <b/>
        <i val="0"/>
        <color rgb="FFFF0000"/>
      </font>
    </dxf>
    <dxf>
      <font>
        <b/>
        <i val="0"/>
      </font>
    </dxf>
    <dxf>
      <font>
        <color theme="9" tint="-0.24994659260841701"/>
      </font>
      <fill>
        <patternFill>
          <bgColor theme="9" tint="0.59996337778862885"/>
        </patternFill>
      </fill>
    </dxf>
    <dxf>
      <font>
        <color theme="9" tint="-0.24994659260841701"/>
      </font>
      <fill>
        <patternFill>
          <bgColor theme="9" tint="0.59996337778862885"/>
        </patternFill>
      </fill>
    </dxf>
    <dxf>
      <font>
        <b/>
        <i val="0"/>
        <color rgb="FFFF0000"/>
      </font>
    </dxf>
    <dxf>
      <font>
        <b/>
        <i val="0"/>
        <color rgb="FFFF0000"/>
      </font>
    </dxf>
    <dxf>
      <font>
        <b/>
        <i val="0"/>
      </font>
    </dxf>
    <dxf>
      <font>
        <color rgb="FF006100"/>
      </font>
      <fill>
        <patternFill>
          <bgColor rgb="FFC6EFCE"/>
        </patternFill>
      </fill>
    </dxf>
    <dxf>
      <font>
        <color rgb="FF9C0006"/>
      </font>
      <fill>
        <patternFill>
          <bgColor rgb="FFFFC7CE"/>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color rgb="FF9C0006"/>
      </font>
      <fill>
        <patternFill>
          <bgColor rgb="FFFFC7CE"/>
        </patternFill>
      </fill>
    </dxf>
    <dxf>
      <font>
        <color rgb="FF006100"/>
      </font>
      <fill>
        <patternFill>
          <bgColor rgb="FFC6EFCE"/>
        </patternFill>
      </fill>
    </dxf>
    <dxf>
      <font>
        <b/>
        <i val="0"/>
        <color rgb="FFFF0000"/>
      </font>
    </dxf>
    <dxf>
      <font>
        <b/>
        <i val="0"/>
        <color rgb="FFFF0000"/>
      </font>
    </dxf>
    <dxf>
      <font>
        <b/>
        <i val="0"/>
      </font>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b/>
        <i val="0"/>
        <color rgb="FFFF0000"/>
      </font>
    </dxf>
    <dxf>
      <font>
        <b/>
        <i val="0"/>
        <color rgb="FFFF0000"/>
      </font>
    </dxf>
    <dxf>
      <font>
        <b/>
        <i val="0"/>
        <color rgb="FFFF0000"/>
      </font>
    </dxf>
    <dxf>
      <font>
        <b/>
        <i val="0"/>
      </font>
    </dxf>
    <dxf>
      <font>
        <b/>
        <i val="0"/>
        <color rgb="FFFF0000"/>
      </font>
    </dxf>
    <dxf>
      <font>
        <b/>
        <i val="0"/>
      </font>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b/>
        <i val="0"/>
        <color rgb="FFFF0000"/>
      </font>
    </dxf>
    <dxf>
      <font>
        <b/>
        <i val="0"/>
        <color rgb="FFFF0000"/>
      </font>
    </dxf>
    <dxf>
      <font>
        <b/>
        <i val="0"/>
        <color rgb="FFFF0000"/>
      </font>
    </dxf>
    <dxf>
      <font>
        <b/>
        <i val="0"/>
      </font>
    </dxf>
    <dxf>
      <font>
        <b/>
        <i val="0"/>
        <color rgb="FFFF0000"/>
      </font>
    </dxf>
    <dxf>
      <font>
        <b/>
        <i val="0"/>
      </font>
    </dxf>
    <dxf>
      <font>
        <color theme="9" tint="-0.24994659260841701"/>
      </font>
      <fill>
        <patternFill>
          <bgColor theme="9" tint="0.59996337778862885"/>
        </patternFill>
      </fill>
    </dxf>
    <dxf>
      <font>
        <b/>
        <i val="0"/>
        <color rgb="FFFF0000"/>
      </font>
    </dxf>
    <dxf>
      <font>
        <b/>
        <i val="0"/>
        <color rgb="FFFF0000"/>
      </font>
    </dxf>
    <dxf>
      <font>
        <b/>
        <i val="0"/>
      </font>
    </dxf>
    <dxf>
      <font>
        <color theme="9" tint="-0.24994659260841701"/>
      </font>
      <fill>
        <patternFill>
          <bgColor theme="9" tint="0.59996337778862885"/>
        </patternFill>
      </fill>
    </dxf>
    <dxf>
      <font>
        <color theme="9" tint="-0.24994659260841701"/>
      </font>
      <fill>
        <patternFill>
          <bgColor theme="9" tint="0.59996337778862885"/>
        </patternFill>
      </fill>
    </dxf>
    <dxf>
      <font>
        <b/>
        <i val="0"/>
        <color rgb="FFFF0000"/>
      </font>
    </dxf>
    <dxf>
      <font>
        <b/>
        <i val="0"/>
        <color rgb="FFFF0000"/>
      </font>
    </dxf>
    <dxf>
      <font>
        <b/>
        <i val="0"/>
      </font>
    </dxf>
    <dxf>
      <font>
        <color rgb="FF006100"/>
      </font>
      <fill>
        <patternFill>
          <bgColor rgb="FFC6EFCE"/>
        </patternFill>
      </fill>
    </dxf>
    <dxf>
      <font>
        <color rgb="FF9C0006"/>
      </font>
      <fill>
        <patternFill>
          <bgColor rgb="FFFFC7CE"/>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color rgb="FF9C0006"/>
      </font>
      <fill>
        <patternFill>
          <bgColor rgb="FFFFC7CE"/>
        </patternFill>
      </fill>
    </dxf>
    <dxf>
      <font>
        <color rgb="FF006100"/>
      </font>
      <fill>
        <patternFill>
          <bgColor rgb="FFC6EFCE"/>
        </patternFill>
      </fill>
    </dxf>
    <dxf>
      <font>
        <b/>
        <i val="0"/>
        <color rgb="FFFF0000"/>
      </font>
    </dxf>
    <dxf>
      <font>
        <b/>
        <i val="0"/>
        <color rgb="FFFF0000"/>
      </font>
    </dxf>
    <dxf>
      <font>
        <b/>
        <i val="0"/>
      </font>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b/>
        <i val="0"/>
        <color rgb="FFFF0000"/>
      </font>
    </dxf>
    <dxf>
      <font>
        <b/>
        <i val="0"/>
        <color rgb="FFFF0000"/>
      </font>
    </dxf>
    <dxf>
      <font>
        <b/>
        <i val="0"/>
        <color rgb="FFFF0000"/>
      </font>
    </dxf>
    <dxf>
      <font>
        <b/>
        <i val="0"/>
      </font>
    </dxf>
    <dxf>
      <font>
        <b/>
        <i val="0"/>
        <color rgb="FFFF0000"/>
      </font>
    </dxf>
    <dxf>
      <font>
        <b/>
        <i val="0"/>
      </font>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b/>
        <i val="0"/>
        <color rgb="FFFF0000"/>
      </font>
    </dxf>
    <dxf>
      <font>
        <b/>
        <i val="0"/>
        <color rgb="FFFF0000"/>
      </font>
    </dxf>
    <dxf>
      <font>
        <b/>
        <i val="0"/>
        <color rgb="FFFF0000"/>
      </font>
    </dxf>
    <dxf>
      <font>
        <b/>
        <i val="0"/>
      </font>
    </dxf>
    <dxf>
      <font>
        <b/>
        <i val="0"/>
        <color rgb="FFFF0000"/>
      </font>
    </dxf>
    <dxf>
      <font>
        <b/>
        <i val="0"/>
      </font>
    </dxf>
    <dxf>
      <font>
        <color theme="9" tint="-0.24994659260841701"/>
      </font>
      <fill>
        <patternFill>
          <bgColor theme="9" tint="0.59996337778862885"/>
        </patternFill>
      </fill>
    </dxf>
    <dxf>
      <font>
        <b/>
        <i val="0"/>
        <color rgb="FFFF0000"/>
      </font>
    </dxf>
    <dxf>
      <font>
        <b/>
        <i val="0"/>
        <color rgb="FFFF0000"/>
      </font>
    </dxf>
    <dxf>
      <font>
        <b/>
        <i val="0"/>
      </font>
    </dxf>
    <dxf>
      <font>
        <color theme="9" tint="-0.24994659260841701"/>
      </font>
      <fill>
        <patternFill>
          <bgColor theme="9" tint="0.59996337778862885"/>
        </patternFill>
      </fill>
    </dxf>
    <dxf>
      <font>
        <color theme="9" tint="-0.24994659260841701"/>
      </font>
      <fill>
        <patternFill>
          <bgColor theme="9" tint="0.59996337778862885"/>
        </patternFill>
      </fill>
    </dxf>
    <dxf>
      <font>
        <b/>
        <i val="0"/>
        <color rgb="FFFF0000"/>
      </font>
    </dxf>
    <dxf>
      <font>
        <b/>
        <i val="0"/>
        <color rgb="FFFF0000"/>
      </font>
    </dxf>
    <dxf>
      <font>
        <b/>
        <i val="0"/>
      </font>
    </dxf>
    <dxf>
      <font>
        <color rgb="FF006100"/>
      </font>
      <fill>
        <patternFill>
          <bgColor rgb="FFC6EFCE"/>
        </patternFill>
      </fill>
    </dxf>
    <dxf>
      <font>
        <color rgb="FF9C0006"/>
      </font>
      <fill>
        <patternFill>
          <bgColor rgb="FFFFC7CE"/>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color rgb="FF9C0006"/>
      </font>
      <fill>
        <patternFill>
          <bgColor rgb="FFFFC7CE"/>
        </patternFill>
      </fill>
    </dxf>
    <dxf>
      <font>
        <color rgb="FF006100"/>
      </font>
      <fill>
        <patternFill>
          <bgColor rgb="FFC6EFCE"/>
        </patternFill>
      </fill>
    </dxf>
    <dxf>
      <font>
        <b/>
        <i val="0"/>
        <color rgb="FFFF0000"/>
      </font>
    </dxf>
    <dxf>
      <font>
        <b/>
        <i val="0"/>
        <color rgb="FFFF0000"/>
      </font>
    </dxf>
    <dxf>
      <font>
        <b/>
        <i val="0"/>
      </font>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b/>
        <i val="0"/>
        <color rgb="FFFF0000"/>
      </font>
    </dxf>
    <dxf>
      <font>
        <b/>
        <i val="0"/>
        <color rgb="FFFF0000"/>
      </font>
    </dxf>
    <dxf>
      <font>
        <b/>
        <i val="0"/>
        <color rgb="FFFF0000"/>
      </font>
    </dxf>
    <dxf>
      <font>
        <b/>
        <i val="0"/>
      </font>
    </dxf>
    <dxf>
      <font>
        <b/>
        <i val="0"/>
        <color rgb="FFFF0000"/>
      </font>
    </dxf>
    <dxf>
      <font>
        <b/>
        <i val="0"/>
      </font>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b/>
        <i val="0"/>
        <color rgb="FFFF0000"/>
      </font>
    </dxf>
    <dxf>
      <font>
        <b/>
        <i val="0"/>
        <color rgb="FFFF0000"/>
      </font>
    </dxf>
    <dxf>
      <font>
        <b/>
        <i val="0"/>
        <color rgb="FFFF0000"/>
      </font>
    </dxf>
    <dxf>
      <font>
        <b/>
        <i val="0"/>
      </font>
    </dxf>
    <dxf>
      <font>
        <b/>
        <i val="0"/>
        <color rgb="FFFF0000"/>
      </font>
    </dxf>
    <dxf>
      <font>
        <b/>
        <i val="0"/>
      </font>
    </dxf>
    <dxf>
      <font>
        <color theme="9" tint="-0.24994659260841701"/>
      </font>
      <fill>
        <patternFill>
          <bgColor theme="9" tint="0.59996337778862885"/>
        </patternFill>
      </fill>
    </dxf>
    <dxf>
      <font>
        <b/>
        <i val="0"/>
        <color rgb="FFFF0000"/>
      </font>
    </dxf>
    <dxf>
      <font>
        <b/>
        <i val="0"/>
        <color rgb="FFFF0000"/>
      </font>
    </dxf>
    <dxf>
      <font>
        <b/>
        <i val="0"/>
      </font>
    </dxf>
    <dxf>
      <font>
        <color theme="9" tint="-0.24994659260841701"/>
      </font>
      <fill>
        <patternFill>
          <bgColor theme="9" tint="0.59996337778862885"/>
        </patternFill>
      </fill>
    </dxf>
    <dxf>
      <font>
        <color theme="9" tint="-0.24994659260841701"/>
      </font>
      <fill>
        <patternFill>
          <bgColor theme="9" tint="0.59996337778862885"/>
        </patternFill>
      </fill>
    </dxf>
    <dxf>
      <font>
        <b/>
        <i val="0"/>
        <color rgb="FFFF0000"/>
      </font>
    </dxf>
    <dxf>
      <font>
        <b/>
        <i val="0"/>
        <color rgb="FFFF0000"/>
      </font>
    </dxf>
    <dxf>
      <font>
        <b/>
        <i val="0"/>
      </font>
    </dxf>
    <dxf>
      <font>
        <color rgb="FF006100"/>
      </font>
      <fill>
        <patternFill>
          <bgColor rgb="FFC6EFCE"/>
        </patternFill>
      </fill>
    </dxf>
    <dxf>
      <font>
        <color rgb="FF9C0006"/>
      </font>
      <fill>
        <patternFill>
          <bgColor rgb="FFFFC7CE"/>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color rgb="FF9C0006"/>
      </font>
      <fill>
        <patternFill>
          <bgColor rgb="FFFFC7CE"/>
        </patternFill>
      </fill>
    </dxf>
    <dxf>
      <font>
        <color rgb="FF006100"/>
      </font>
      <fill>
        <patternFill>
          <bgColor rgb="FFC6EFCE"/>
        </patternFill>
      </fill>
    </dxf>
    <dxf>
      <font>
        <b/>
        <i val="0"/>
        <color rgb="FFFF0000"/>
      </font>
    </dxf>
    <dxf>
      <font>
        <b/>
        <i val="0"/>
        <color rgb="FFFF0000"/>
      </font>
    </dxf>
    <dxf>
      <font>
        <b/>
        <i val="0"/>
      </font>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b/>
        <i val="0"/>
        <color rgb="FFFF0000"/>
      </font>
    </dxf>
    <dxf>
      <font>
        <b/>
        <i val="0"/>
        <color rgb="FFFF0000"/>
      </font>
    </dxf>
    <dxf>
      <font>
        <b/>
        <i val="0"/>
        <color rgb="FFFF0000"/>
      </font>
    </dxf>
    <dxf>
      <font>
        <b/>
        <i val="0"/>
      </font>
    </dxf>
    <dxf>
      <font>
        <b/>
        <i val="0"/>
        <color rgb="FFFF0000"/>
      </font>
    </dxf>
    <dxf>
      <font>
        <b/>
        <i val="0"/>
      </font>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b/>
        <i val="0"/>
        <color rgb="FFFF0000"/>
      </font>
    </dxf>
    <dxf>
      <font>
        <b/>
        <i val="0"/>
        <color rgb="FFFF0000"/>
      </font>
    </dxf>
    <dxf>
      <font>
        <b/>
        <i val="0"/>
        <color rgb="FFFF0000"/>
      </font>
    </dxf>
    <dxf>
      <font>
        <b/>
        <i val="0"/>
      </font>
    </dxf>
    <dxf>
      <font>
        <b/>
        <i val="0"/>
        <color rgb="FFFF0000"/>
      </font>
    </dxf>
    <dxf>
      <font>
        <b/>
        <i val="0"/>
      </font>
    </dxf>
    <dxf>
      <font>
        <color theme="9" tint="-0.24994659260841701"/>
      </font>
      <fill>
        <patternFill>
          <bgColor theme="9" tint="0.59996337778862885"/>
        </patternFill>
      </fill>
    </dxf>
    <dxf>
      <font>
        <b/>
        <i val="0"/>
        <color rgb="FFFF0000"/>
      </font>
    </dxf>
    <dxf>
      <font>
        <b/>
        <i val="0"/>
        <color rgb="FFFF0000"/>
      </font>
    </dxf>
    <dxf>
      <font>
        <b/>
        <i val="0"/>
      </font>
    </dxf>
    <dxf>
      <font>
        <color theme="9" tint="-0.24994659260841701"/>
      </font>
      <fill>
        <patternFill>
          <bgColor theme="9" tint="0.59996337778862885"/>
        </patternFill>
      </fill>
    </dxf>
    <dxf>
      <font>
        <color theme="9" tint="-0.24994659260841701"/>
      </font>
      <fill>
        <patternFill>
          <bgColor theme="9" tint="0.59996337778862885"/>
        </patternFill>
      </fill>
    </dxf>
    <dxf>
      <font>
        <b/>
        <i val="0"/>
        <color rgb="FFFF0000"/>
      </font>
    </dxf>
    <dxf>
      <font>
        <b/>
        <i val="0"/>
        <color rgb="FFFF0000"/>
      </font>
    </dxf>
    <dxf>
      <font>
        <b/>
        <i val="0"/>
      </font>
    </dxf>
    <dxf>
      <font>
        <color rgb="FF006100"/>
      </font>
      <fill>
        <patternFill>
          <bgColor rgb="FFC6EFCE"/>
        </patternFill>
      </fill>
    </dxf>
    <dxf>
      <font>
        <color rgb="FF9C0006"/>
      </font>
      <fill>
        <patternFill>
          <bgColor rgb="FFFFC7CE"/>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color rgb="FF9C0006"/>
      </font>
      <fill>
        <patternFill>
          <bgColor rgb="FFFFC7CE"/>
        </patternFill>
      </fill>
    </dxf>
    <dxf>
      <font>
        <color rgb="FF006100"/>
      </font>
      <fill>
        <patternFill>
          <bgColor rgb="FFC6EFCE"/>
        </patternFill>
      </fill>
    </dxf>
    <dxf>
      <font>
        <b/>
        <i val="0"/>
        <color rgb="FFFF0000"/>
      </font>
    </dxf>
    <dxf>
      <font>
        <b/>
        <i val="0"/>
        <color rgb="FFFF0000"/>
      </font>
    </dxf>
    <dxf>
      <font>
        <b/>
        <i val="0"/>
      </font>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b/>
        <i val="0"/>
        <color rgb="FFFF0000"/>
      </font>
    </dxf>
    <dxf>
      <font>
        <b/>
        <i val="0"/>
        <color rgb="FFFF0000"/>
      </font>
    </dxf>
    <dxf>
      <font>
        <b/>
        <i val="0"/>
        <color rgb="FFFF0000"/>
      </font>
    </dxf>
    <dxf>
      <font>
        <b/>
        <i val="0"/>
      </font>
    </dxf>
    <dxf>
      <font>
        <b/>
        <i val="0"/>
        <color rgb="FFFF0000"/>
      </font>
    </dxf>
    <dxf>
      <font>
        <b/>
        <i val="0"/>
      </font>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b/>
        <i val="0"/>
        <color rgb="FFFF0000"/>
      </font>
    </dxf>
    <dxf>
      <font>
        <b/>
        <i val="0"/>
        <color rgb="FFFF0000"/>
      </font>
    </dxf>
    <dxf>
      <font>
        <b/>
        <i val="0"/>
        <color rgb="FFFF0000"/>
      </font>
    </dxf>
    <dxf>
      <font>
        <b/>
        <i val="0"/>
      </font>
    </dxf>
    <dxf>
      <font>
        <b/>
        <i val="0"/>
        <color rgb="FFFF0000"/>
      </font>
    </dxf>
    <dxf>
      <font>
        <b/>
        <i val="0"/>
      </font>
    </dxf>
    <dxf>
      <font>
        <color theme="9" tint="-0.24994659260841701"/>
      </font>
      <fill>
        <patternFill>
          <bgColor theme="9" tint="0.59996337778862885"/>
        </patternFill>
      </fill>
    </dxf>
    <dxf>
      <font>
        <b/>
        <i val="0"/>
        <color rgb="FFFF0000"/>
      </font>
    </dxf>
    <dxf>
      <font>
        <b/>
        <i val="0"/>
        <color rgb="FFFF0000"/>
      </font>
    </dxf>
    <dxf>
      <font>
        <b/>
        <i val="0"/>
      </font>
    </dxf>
    <dxf>
      <font>
        <color theme="9" tint="-0.24994659260841701"/>
      </font>
      <fill>
        <patternFill>
          <bgColor theme="9" tint="0.59996337778862885"/>
        </patternFill>
      </fill>
    </dxf>
    <dxf>
      <font>
        <color theme="9" tint="-0.24994659260841701"/>
      </font>
      <fill>
        <patternFill>
          <bgColor theme="9" tint="0.59996337778862885"/>
        </patternFill>
      </fill>
    </dxf>
    <dxf>
      <font>
        <b/>
        <i val="0"/>
        <color rgb="FFFF0000"/>
      </font>
    </dxf>
    <dxf>
      <font>
        <b/>
        <i val="0"/>
        <color rgb="FFFF0000"/>
      </font>
    </dxf>
    <dxf>
      <font>
        <b/>
        <i val="0"/>
      </font>
    </dxf>
    <dxf>
      <font>
        <color rgb="FF006100"/>
      </font>
      <fill>
        <patternFill>
          <bgColor rgb="FFC6EFCE"/>
        </patternFill>
      </fill>
    </dxf>
    <dxf>
      <font>
        <color rgb="FF9C0006"/>
      </font>
      <fill>
        <patternFill>
          <bgColor rgb="FFFFC7CE"/>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color rgb="FF9C0006"/>
      </font>
      <fill>
        <patternFill>
          <bgColor rgb="FFFFC7CE"/>
        </patternFill>
      </fill>
    </dxf>
    <dxf>
      <font>
        <color rgb="FF006100"/>
      </font>
      <fill>
        <patternFill>
          <bgColor rgb="FFC6EFCE"/>
        </patternFill>
      </fill>
    </dxf>
    <dxf>
      <font>
        <b/>
        <i val="0"/>
        <color rgb="FFFF0000"/>
      </font>
    </dxf>
    <dxf>
      <font>
        <b/>
        <i val="0"/>
      </font>
    </dxf>
    <dxf>
      <font>
        <b/>
        <i val="0"/>
        <color rgb="FFFF0000"/>
      </font>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b/>
        <i val="0"/>
        <color rgb="FFFF0000"/>
      </font>
    </dxf>
    <dxf>
      <font>
        <b/>
        <i val="0"/>
        <color rgb="FFFF0000"/>
      </font>
    </dxf>
    <dxf>
      <font>
        <b/>
        <i val="0"/>
      </font>
    </dxf>
    <dxf>
      <font>
        <b/>
        <i val="0"/>
        <color rgb="FFFF0000"/>
      </font>
    </dxf>
    <dxf>
      <font>
        <b/>
        <i val="0"/>
      </font>
    </dxf>
    <dxf>
      <font>
        <b/>
        <i val="0"/>
        <color rgb="FFFF0000"/>
      </font>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b/>
        <i val="0"/>
        <color rgb="FFFF0000"/>
      </font>
    </dxf>
    <dxf>
      <font>
        <b/>
        <i val="0"/>
        <color rgb="FFFF0000"/>
      </font>
    </dxf>
    <dxf>
      <font>
        <b/>
        <i val="0"/>
      </font>
    </dxf>
    <dxf>
      <font>
        <b/>
        <i val="0"/>
        <color rgb="FFFF0000"/>
      </font>
    </dxf>
    <dxf>
      <font>
        <b/>
        <i val="0"/>
      </font>
    </dxf>
    <dxf>
      <font>
        <b/>
        <i val="0"/>
        <color rgb="FFFF0000"/>
      </font>
    </dxf>
    <dxf>
      <font>
        <color theme="9" tint="-0.24994659260841701"/>
      </font>
      <fill>
        <patternFill>
          <bgColor theme="9" tint="0.59996337778862885"/>
        </patternFill>
      </fill>
    </dxf>
    <dxf>
      <font>
        <b/>
        <i val="0"/>
        <color rgb="FFFF0000"/>
      </font>
    </dxf>
    <dxf>
      <font>
        <b/>
        <i val="0"/>
      </font>
    </dxf>
    <dxf>
      <font>
        <b/>
        <i val="0"/>
        <color rgb="FFFF0000"/>
      </font>
    </dxf>
    <dxf>
      <font>
        <b/>
        <i val="0"/>
        <color rgb="FFFF0000"/>
      </font>
    </dxf>
    <dxf>
      <font>
        <b/>
        <i val="0"/>
        <color rgb="FFFF0000"/>
      </font>
    </dxf>
    <dxf>
      <font>
        <b/>
        <i val="0"/>
      </font>
    </dxf>
    <dxf>
      <font>
        <color theme="9" tint="-0.24994659260841701"/>
      </font>
      <fill>
        <patternFill>
          <bgColor theme="9" tint="0.59996337778862885"/>
        </patternFill>
      </fill>
    </dxf>
    <dxf>
      <font>
        <color theme="9" tint="-0.24994659260841701"/>
      </font>
      <fill>
        <patternFill>
          <bgColor theme="9" tint="0.59996337778862885"/>
        </patternFill>
      </fill>
    </dxf>
    <dxf>
      <font>
        <color rgb="FF006100"/>
      </font>
      <fill>
        <patternFill>
          <bgColor rgb="FFC6EFCE"/>
        </patternFill>
      </fill>
    </dxf>
    <dxf>
      <font>
        <color rgb="FF9C0006"/>
      </font>
      <fill>
        <patternFill>
          <bgColor rgb="FFFFC7CE"/>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color rgb="FF9C0006"/>
      </font>
      <fill>
        <patternFill>
          <bgColor rgb="FFFFC7CE"/>
        </patternFill>
      </fill>
    </dxf>
    <dxf>
      <font>
        <color rgb="FF006100"/>
      </font>
      <fill>
        <patternFill>
          <bgColor rgb="FFC6EFCE"/>
        </patternFill>
      </fill>
    </dxf>
    <dxf>
      <font>
        <b/>
        <i val="0"/>
        <color rgb="FFFF0000"/>
      </font>
    </dxf>
    <dxf>
      <font>
        <b/>
        <i val="0"/>
        <color rgb="FFFF0000"/>
      </font>
    </dxf>
    <dxf>
      <font>
        <b/>
        <i val="0"/>
      </font>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b/>
        <i val="0"/>
        <color rgb="FFFF0000"/>
      </font>
    </dxf>
    <dxf>
      <font>
        <b/>
        <i val="0"/>
        <color rgb="FFFF0000"/>
      </font>
    </dxf>
    <dxf>
      <font>
        <b/>
        <i val="0"/>
        <color rgb="FFFF0000"/>
      </font>
    </dxf>
    <dxf>
      <font>
        <b/>
        <i val="0"/>
      </font>
    </dxf>
    <dxf>
      <font>
        <b/>
        <i val="0"/>
        <color rgb="FFFF0000"/>
      </font>
    </dxf>
    <dxf>
      <font>
        <b/>
        <i val="0"/>
      </font>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b/>
        <i val="0"/>
        <color rgb="FFFF0000"/>
      </font>
    </dxf>
    <dxf>
      <font>
        <b/>
        <i val="0"/>
        <color rgb="FFFF0000"/>
      </font>
    </dxf>
    <dxf>
      <font>
        <b/>
        <i val="0"/>
        <color rgb="FFFF0000"/>
      </font>
    </dxf>
    <dxf>
      <font>
        <b/>
        <i val="0"/>
      </font>
    </dxf>
    <dxf>
      <font>
        <b/>
        <i val="0"/>
        <color rgb="FFFF0000"/>
      </font>
    </dxf>
    <dxf>
      <font>
        <b/>
        <i val="0"/>
      </font>
    </dxf>
    <dxf>
      <font>
        <color theme="9" tint="-0.24994659260841701"/>
      </font>
      <fill>
        <patternFill>
          <bgColor theme="9" tint="0.59996337778862885"/>
        </patternFill>
      </fill>
    </dxf>
    <dxf>
      <font>
        <b/>
        <i val="0"/>
        <color rgb="FFFF0000"/>
      </font>
    </dxf>
    <dxf>
      <font>
        <b/>
        <i val="0"/>
        <color rgb="FFFF0000"/>
      </font>
    </dxf>
    <dxf>
      <font>
        <b/>
        <i val="0"/>
      </font>
    </dxf>
    <dxf>
      <font>
        <color theme="9" tint="-0.24994659260841701"/>
      </font>
      <fill>
        <patternFill>
          <bgColor theme="9" tint="0.59996337778862885"/>
        </patternFill>
      </fill>
    </dxf>
    <dxf>
      <font>
        <color theme="9" tint="-0.24994659260841701"/>
      </font>
      <fill>
        <patternFill>
          <bgColor theme="9" tint="0.59996337778862885"/>
        </patternFill>
      </fill>
    </dxf>
    <dxf>
      <font>
        <b/>
        <i val="0"/>
        <color rgb="FFFF0000"/>
      </font>
    </dxf>
    <dxf>
      <font>
        <color rgb="FF006100"/>
      </font>
      <fill>
        <patternFill>
          <bgColor rgb="FFC6EFCE"/>
        </patternFill>
      </fill>
    </dxf>
    <dxf>
      <font>
        <color rgb="FF9C0006"/>
      </font>
      <fill>
        <patternFill>
          <bgColor rgb="FFFFC7CE"/>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color rgb="FF9C0006"/>
      </font>
      <fill>
        <patternFill>
          <bgColor rgb="FFFFC7CE"/>
        </patternFill>
      </fill>
    </dxf>
    <dxf>
      <font>
        <color rgb="FF006100"/>
      </font>
      <fill>
        <patternFill>
          <bgColor rgb="FFC6EFCE"/>
        </patternFill>
      </fill>
    </dxf>
    <dxf>
      <font>
        <b/>
        <i val="0"/>
        <color rgb="FFFF0000"/>
      </font>
    </dxf>
    <dxf>
      <font>
        <b/>
        <i val="0"/>
        <color rgb="FFFF0000"/>
      </font>
    </dxf>
    <dxf>
      <font>
        <b/>
        <i val="0"/>
      </font>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b/>
        <i val="0"/>
        <color rgb="FFFF0000"/>
      </font>
    </dxf>
    <dxf>
      <font>
        <b/>
        <i val="0"/>
        <color rgb="FFFF0000"/>
      </font>
    </dxf>
    <dxf>
      <font>
        <b/>
        <i val="0"/>
        <color rgb="FFFF0000"/>
      </font>
    </dxf>
    <dxf>
      <font>
        <b/>
        <i val="0"/>
      </font>
    </dxf>
    <dxf>
      <font>
        <b/>
        <i val="0"/>
        <color rgb="FFFF0000"/>
      </font>
    </dxf>
    <dxf>
      <font>
        <b/>
        <i val="0"/>
      </font>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b/>
        <i val="0"/>
        <color rgb="FFFF0000"/>
      </font>
    </dxf>
    <dxf>
      <font>
        <b/>
        <i val="0"/>
        <color rgb="FFFF0000"/>
      </font>
    </dxf>
    <dxf>
      <font>
        <b/>
        <i val="0"/>
        <color rgb="FFFF0000"/>
      </font>
    </dxf>
    <dxf>
      <font>
        <b/>
        <i val="0"/>
      </font>
    </dxf>
    <dxf>
      <font>
        <b/>
        <i val="0"/>
        <color rgb="FFFF0000"/>
      </font>
    </dxf>
    <dxf>
      <font>
        <b/>
        <i val="0"/>
      </font>
    </dxf>
    <dxf>
      <font>
        <color theme="9" tint="-0.24994659260841701"/>
      </font>
      <fill>
        <patternFill>
          <bgColor theme="9" tint="0.59996337778862885"/>
        </patternFill>
      </fill>
    </dxf>
    <dxf>
      <font>
        <b/>
        <i val="0"/>
        <color rgb="FFFF0000"/>
      </font>
    </dxf>
    <dxf>
      <font>
        <b/>
        <i val="0"/>
        <color rgb="FFFF0000"/>
      </font>
    </dxf>
    <dxf>
      <font>
        <b/>
        <i val="0"/>
      </font>
    </dxf>
    <dxf>
      <font>
        <color theme="9" tint="-0.24994659260841701"/>
      </font>
      <fill>
        <patternFill>
          <bgColor theme="9" tint="0.59996337778862885"/>
        </patternFill>
      </fill>
    </dxf>
    <dxf>
      <font>
        <color theme="9" tint="-0.24994659260841701"/>
      </font>
      <fill>
        <patternFill>
          <bgColor theme="9" tint="0.59996337778862885"/>
        </patternFill>
      </fill>
    </dxf>
    <dxf>
      <font>
        <b/>
        <i val="0"/>
        <color rgb="FFFF0000"/>
      </font>
    </dxf>
    <dxf>
      <font>
        <color rgb="FF006100"/>
      </font>
      <fill>
        <patternFill>
          <bgColor rgb="FFC6EFCE"/>
        </patternFill>
      </fill>
    </dxf>
    <dxf>
      <font>
        <color rgb="FF9C0006"/>
      </font>
      <fill>
        <patternFill>
          <bgColor rgb="FFFFC7CE"/>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b/>
        <i val="0"/>
      </font>
    </dxf>
    <dxf>
      <font>
        <b/>
        <i val="0"/>
        <color rgb="FFFF0000"/>
      </font>
    </dxf>
    <dxf>
      <font>
        <color rgb="FF006100"/>
      </font>
      <fill>
        <patternFill>
          <bgColor rgb="FFC6EFCE"/>
        </patternFill>
      </fill>
    </dxf>
    <dxf>
      <font>
        <color rgb="FF9C0006"/>
      </font>
      <fill>
        <patternFill>
          <bgColor rgb="FFFFC7CE"/>
        </patternFill>
      </fill>
    </dxf>
    <dxf>
      <font>
        <b/>
        <i val="0"/>
        <color rgb="FFFF0000"/>
      </font>
    </dxf>
    <dxf>
      <font>
        <b/>
        <i val="0"/>
      </font>
    </dxf>
    <dxf>
      <font>
        <b/>
        <i val="0"/>
        <color rgb="FFFF0000"/>
      </font>
    </dxf>
    <dxf>
      <font>
        <b/>
        <i val="0"/>
      </font>
    </dxf>
    <dxf>
      <font>
        <b/>
        <i val="0"/>
        <color rgb="FFFF0000"/>
      </font>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b/>
        <i val="0"/>
        <color rgb="FFFF0000"/>
      </font>
    </dxf>
    <dxf>
      <font>
        <b/>
        <i val="0"/>
        <color rgb="FFFF0000"/>
      </font>
    </dxf>
    <dxf>
      <font>
        <b/>
        <i val="0"/>
      </font>
    </dxf>
    <dxf>
      <font>
        <b/>
        <i val="0"/>
        <color rgb="FFFF0000"/>
      </font>
    </dxf>
    <dxf>
      <font>
        <b/>
        <i val="0"/>
      </font>
    </dxf>
    <dxf>
      <font>
        <b/>
        <i val="0"/>
        <color rgb="FFFF0000"/>
      </font>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b/>
        <i val="0"/>
        <color rgb="FFFF0000"/>
      </font>
    </dxf>
    <dxf>
      <font>
        <b/>
        <i val="0"/>
        <color rgb="FFFF0000"/>
      </font>
    </dxf>
    <dxf>
      <font>
        <b/>
        <i val="0"/>
      </font>
    </dxf>
    <dxf>
      <font>
        <b/>
        <i val="0"/>
        <color rgb="FFFF0000"/>
      </font>
    </dxf>
    <dxf>
      <font>
        <color theme="9" tint="-0.24994659260841701"/>
      </font>
      <fill>
        <patternFill>
          <bgColor theme="9" tint="0.59996337778862885"/>
        </patternFill>
      </fill>
    </dxf>
    <dxf>
      <font>
        <b/>
        <i val="0"/>
        <color rgb="FFFF0000"/>
      </font>
    </dxf>
    <dxf>
      <font>
        <color theme="9" tint="-0.24994659260841701"/>
      </font>
      <fill>
        <patternFill>
          <bgColor theme="9" tint="0.59996337778862885"/>
        </patternFill>
      </fill>
    </dxf>
    <dxf>
      <font>
        <color theme="9" tint="-0.24994659260841701"/>
      </font>
      <fill>
        <patternFill>
          <bgColor theme="9" tint="0.59996337778862885"/>
        </patternFill>
      </fill>
    </dxf>
    <dxf>
      <font>
        <b/>
        <i val="0"/>
        <color rgb="FFFF0000"/>
      </font>
    </dxf>
    <dxf>
      <font>
        <b/>
        <i val="0"/>
      </font>
    </dxf>
    <dxf>
      <font>
        <b/>
        <i val="0"/>
        <color rgb="FFFF0000"/>
      </font>
    </dxf>
    <dxf>
      <font>
        <color rgb="FF006100"/>
      </font>
      <fill>
        <patternFill>
          <bgColor rgb="FFC6EFCE"/>
        </patternFill>
      </fill>
    </dxf>
    <dxf>
      <font>
        <color rgb="FF9C0006"/>
      </font>
      <fill>
        <patternFill>
          <bgColor rgb="FFFFC7CE"/>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b/>
        <i val="0"/>
      </font>
    </dxf>
    <dxf>
      <font>
        <b/>
        <i val="0"/>
        <color rgb="FFFF0000"/>
      </font>
    </dxf>
    <dxf>
      <font>
        <color rgb="FF006100"/>
      </font>
      <fill>
        <patternFill>
          <bgColor rgb="FFC6EFCE"/>
        </patternFill>
      </fill>
    </dxf>
    <dxf>
      <font>
        <color rgb="FF9C0006"/>
      </font>
      <fill>
        <patternFill>
          <bgColor rgb="FFFFC7CE"/>
        </patternFill>
      </fill>
    </dxf>
    <dxf>
      <font>
        <b/>
        <i val="0"/>
        <color rgb="FFFF0000"/>
      </font>
    </dxf>
    <dxf>
      <font>
        <b/>
        <i val="0"/>
      </font>
    </dxf>
    <dxf>
      <font>
        <b/>
        <i val="0"/>
        <color rgb="FFFF0000"/>
      </font>
    </dxf>
    <dxf>
      <font>
        <b/>
        <i val="0"/>
      </font>
    </dxf>
    <dxf>
      <font>
        <b/>
        <i val="0"/>
        <color rgb="FFFF0000"/>
      </font>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b/>
        <i val="0"/>
        <color rgb="FFFF0000"/>
      </font>
    </dxf>
    <dxf>
      <font>
        <b/>
        <i val="0"/>
        <color rgb="FFFF0000"/>
      </font>
    </dxf>
    <dxf>
      <font>
        <b/>
        <i val="0"/>
      </font>
    </dxf>
    <dxf>
      <font>
        <b/>
        <i val="0"/>
        <color rgb="FFFF0000"/>
      </font>
    </dxf>
    <dxf>
      <font>
        <b/>
        <i val="0"/>
      </font>
    </dxf>
    <dxf>
      <font>
        <b/>
        <i val="0"/>
        <color rgb="FFFF0000"/>
      </font>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b/>
        <i val="0"/>
        <color rgb="FFFF0000"/>
      </font>
    </dxf>
    <dxf>
      <font>
        <b/>
        <i val="0"/>
        <color rgb="FFFF0000"/>
      </font>
    </dxf>
    <dxf>
      <font>
        <b/>
        <i val="0"/>
      </font>
    </dxf>
    <dxf>
      <font>
        <b/>
        <i val="0"/>
        <color rgb="FFFF0000"/>
      </font>
    </dxf>
    <dxf>
      <font>
        <color theme="9" tint="-0.24994659260841701"/>
      </font>
      <fill>
        <patternFill>
          <bgColor theme="9" tint="0.59996337778862885"/>
        </patternFill>
      </fill>
    </dxf>
    <dxf>
      <font>
        <b/>
        <i val="0"/>
        <color rgb="FFFF0000"/>
      </font>
    </dxf>
    <dxf>
      <font>
        <color theme="9" tint="-0.24994659260841701"/>
      </font>
      <fill>
        <patternFill>
          <bgColor theme="9" tint="0.59996337778862885"/>
        </patternFill>
      </fill>
    </dxf>
    <dxf>
      <font>
        <color theme="9" tint="-0.24994659260841701"/>
      </font>
      <fill>
        <patternFill>
          <bgColor theme="9" tint="0.59996337778862885"/>
        </patternFill>
      </fill>
    </dxf>
    <dxf>
      <font>
        <b/>
        <i val="0"/>
        <color rgb="FFFF0000"/>
      </font>
    </dxf>
    <dxf>
      <font>
        <b/>
        <i val="0"/>
      </font>
    </dxf>
    <dxf>
      <font>
        <b/>
        <i val="0"/>
        <color rgb="FFFF0000"/>
      </font>
    </dxf>
    <dxf>
      <font>
        <color rgb="FF006100"/>
      </font>
      <fill>
        <patternFill>
          <bgColor rgb="FFC6EFCE"/>
        </patternFill>
      </fill>
    </dxf>
    <dxf>
      <font>
        <color rgb="FF9C0006"/>
      </font>
      <fill>
        <patternFill>
          <bgColor rgb="FFFFC7CE"/>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b/>
        <i val="0"/>
      </font>
    </dxf>
    <dxf>
      <font>
        <b/>
        <i val="0"/>
        <color rgb="FFFF0000"/>
      </font>
    </dxf>
    <dxf>
      <font>
        <color rgb="FF006100"/>
      </font>
      <fill>
        <patternFill>
          <bgColor rgb="FFC6EFCE"/>
        </patternFill>
      </fill>
    </dxf>
    <dxf>
      <font>
        <color rgb="FF9C0006"/>
      </font>
      <fill>
        <patternFill>
          <bgColor rgb="FFFFC7CE"/>
        </patternFill>
      </fill>
    </dxf>
    <dxf>
      <font>
        <b/>
        <i val="0"/>
        <color rgb="FFFF0000"/>
      </font>
    </dxf>
    <dxf>
      <font>
        <b/>
        <i val="0"/>
      </font>
    </dxf>
    <dxf>
      <font>
        <b/>
        <i val="0"/>
        <color rgb="FFFF0000"/>
      </font>
    </dxf>
    <dxf>
      <font>
        <b/>
        <i val="0"/>
      </font>
    </dxf>
    <dxf>
      <font>
        <b/>
        <i val="0"/>
        <color rgb="FFFF0000"/>
      </font>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b/>
        <i val="0"/>
        <color rgb="FFFF0000"/>
      </font>
    </dxf>
    <dxf>
      <font>
        <b/>
        <i val="0"/>
        <color rgb="FFFF0000"/>
      </font>
    </dxf>
    <dxf>
      <font>
        <b/>
        <i val="0"/>
      </font>
    </dxf>
    <dxf>
      <font>
        <b/>
        <i val="0"/>
        <color rgb="FFFF0000"/>
      </font>
    </dxf>
    <dxf>
      <font>
        <b/>
        <i val="0"/>
      </font>
    </dxf>
    <dxf>
      <font>
        <b/>
        <i val="0"/>
        <color rgb="FFFF0000"/>
      </font>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b/>
        <i val="0"/>
        <color rgb="FFFF0000"/>
      </font>
    </dxf>
    <dxf>
      <font>
        <b/>
        <i val="0"/>
        <color rgb="FFFF0000"/>
      </font>
    </dxf>
    <dxf>
      <font>
        <b/>
        <i val="0"/>
      </font>
    </dxf>
    <dxf>
      <font>
        <b/>
        <i val="0"/>
        <color rgb="FFFF0000"/>
      </font>
    </dxf>
    <dxf>
      <font>
        <color theme="9" tint="-0.24994659260841701"/>
      </font>
      <fill>
        <patternFill>
          <bgColor theme="9" tint="0.59996337778862885"/>
        </patternFill>
      </fill>
    </dxf>
    <dxf>
      <font>
        <b/>
        <i val="0"/>
        <color rgb="FFFF0000"/>
      </font>
    </dxf>
    <dxf>
      <font>
        <color theme="9" tint="-0.24994659260841701"/>
      </font>
      <fill>
        <patternFill>
          <bgColor theme="9" tint="0.59996337778862885"/>
        </patternFill>
      </fill>
    </dxf>
    <dxf>
      <font>
        <color theme="9" tint="-0.24994659260841701"/>
      </font>
      <fill>
        <patternFill>
          <bgColor theme="9" tint="0.59996337778862885"/>
        </patternFill>
      </fill>
    </dxf>
    <dxf>
      <font>
        <b/>
        <i val="0"/>
        <color rgb="FFFF0000"/>
      </font>
    </dxf>
    <dxf>
      <font>
        <b/>
        <i val="0"/>
      </font>
    </dxf>
    <dxf>
      <font>
        <b/>
        <i val="0"/>
        <color rgb="FFFF0000"/>
      </font>
    </dxf>
    <dxf>
      <font>
        <color rgb="FF006100"/>
      </font>
      <fill>
        <patternFill>
          <bgColor rgb="FFC6EFCE"/>
        </patternFill>
      </fill>
    </dxf>
    <dxf>
      <font>
        <color rgb="FF9C0006"/>
      </font>
      <fill>
        <patternFill>
          <bgColor rgb="FFFFC7CE"/>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b/>
        <i val="0"/>
      </font>
    </dxf>
    <dxf>
      <font>
        <b/>
        <i val="0"/>
        <color rgb="FFFF0000"/>
      </font>
    </dxf>
    <dxf>
      <font>
        <color rgb="FF006100"/>
      </font>
      <fill>
        <patternFill>
          <bgColor rgb="FFC6EFCE"/>
        </patternFill>
      </fill>
    </dxf>
    <dxf>
      <font>
        <color rgb="FF9C0006"/>
      </font>
      <fill>
        <patternFill>
          <bgColor rgb="FFFFC7CE"/>
        </patternFill>
      </fill>
    </dxf>
    <dxf>
      <font>
        <b/>
        <i val="0"/>
        <color rgb="FFFF0000"/>
      </font>
    </dxf>
    <dxf>
      <font>
        <b/>
        <i val="0"/>
      </font>
    </dxf>
    <dxf>
      <font>
        <b/>
        <i val="0"/>
        <color rgb="FFFF0000"/>
      </font>
    </dxf>
    <dxf>
      <font>
        <b/>
        <i val="0"/>
      </font>
    </dxf>
    <dxf>
      <font>
        <b/>
        <i val="0"/>
        <color rgb="FFFF0000"/>
      </font>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b/>
        <i val="0"/>
        <color rgb="FFFF0000"/>
      </font>
    </dxf>
    <dxf>
      <font>
        <b/>
        <i val="0"/>
        <color rgb="FFFF0000"/>
      </font>
    </dxf>
    <dxf>
      <font>
        <b/>
        <i val="0"/>
      </font>
    </dxf>
    <dxf>
      <font>
        <b/>
        <i val="0"/>
        <color rgb="FFFF0000"/>
      </font>
    </dxf>
    <dxf>
      <font>
        <b/>
        <i val="0"/>
      </font>
    </dxf>
    <dxf>
      <font>
        <b/>
        <i val="0"/>
        <color rgb="FFFF0000"/>
      </font>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b/>
        <i val="0"/>
        <color rgb="FFFF0000"/>
      </font>
    </dxf>
    <dxf>
      <font>
        <b/>
        <i val="0"/>
        <color rgb="FFFF0000"/>
      </font>
    </dxf>
    <dxf>
      <font>
        <b/>
        <i val="0"/>
      </font>
    </dxf>
    <dxf>
      <font>
        <b/>
        <i val="0"/>
        <color rgb="FFFF0000"/>
      </font>
    </dxf>
    <dxf>
      <font>
        <color theme="9" tint="-0.24994659260841701"/>
      </font>
      <fill>
        <patternFill>
          <bgColor theme="9" tint="0.59996337778862885"/>
        </patternFill>
      </fill>
    </dxf>
    <dxf>
      <font>
        <b/>
        <i val="0"/>
        <color rgb="FFFF0000"/>
      </font>
    </dxf>
    <dxf>
      <font>
        <color theme="9" tint="-0.24994659260841701"/>
      </font>
      <fill>
        <patternFill>
          <bgColor theme="9" tint="0.59996337778862885"/>
        </patternFill>
      </fill>
    </dxf>
    <dxf>
      <font>
        <color theme="9" tint="-0.24994659260841701"/>
      </font>
      <fill>
        <patternFill>
          <bgColor theme="9" tint="0.59996337778862885"/>
        </patternFill>
      </fill>
    </dxf>
    <dxf>
      <font>
        <b/>
        <i val="0"/>
        <color rgb="FFFF0000"/>
      </font>
    </dxf>
    <dxf>
      <font>
        <b/>
        <i val="0"/>
      </font>
    </dxf>
    <dxf>
      <font>
        <b/>
        <i val="0"/>
        <color rgb="FFFF0000"/>
      </font>
    </dxf>
    <dxf>
      <font>
        <color rgb="FF006100"/>
      </font>
      <fill>
        <patternFill>
          <bgColor rgb="FFC6EFCE"/>
        </patternFill>
      </fill>
    </dxf>
    <dxf>
      <font>
        <color rgb="FF9C0006"/>
      </font>
      <fill>
        <patternFill>
          <bgColor rgb="FFFFC7CE"/>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b/>
        <i val="0"/>
      </font>
    </dxf>
    <dxf>
      <font>
        <b/>
        <i val="0"/>
        <color rgb="FFFF0000"/>
      </font>
    </dxf>
    <dxf>
      <font>
        <color rgb="FF006100"/>
      </font>
      <fill>
        <patternFill>
          <bgColor rgb="FFC6EFCE"/>
        </patternFill>
      </fill>
    </dxf>
    <dxf>
      <font>
        <color rgb="FF9C0006"/>
      </font>
      <fill>
        <patternFill>
          <bgColor rgb="FFFFC7CE"/>
        </patternFill>
      </fill>
    </dxf>
    <dxf>
      <font>
        <b/>
        <i val="0"/>
        <color rgb="FFFF0000"/>
      </font>
    </dxf>
    <dxf>
      <font>
        <b/>
        <i val="0"/>
      </font>
    </dxf>
    <dxf>
      <font>
        <b/>
        <i val="0"/>
        <color rgb="FFFF0000"/>
      </font>
    </dxf>
    <dxf>
      <font>
        <b/>
        <i val="0"/>
      </font>
    </dxf>
    <dxf>
      <font>
        <b/>
        <i val="0"/>
        <color rgb="FFFF0000"/>
      </font>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b/>
        <i val="0"/>
        <color rgb="FFFF0000"/>
      </font>
    </dxf>
    <dxf>
      <font>
        <b/>
        <i val="0"/>
        <color rgb="FFFF0000"/>
      </font>
    </dxf>
    <dxf>
      <font>
        <b/>
        <i val="0"/>
      </font>
    </dxf>
    <dxf>
      <font>
        <b/>
        <i val="0"/>
        <color rgb="FFFF0000"/>
      </font>
    </dxf>
    <dxf>
      <font>
        <b/>
        <i val="0"/>
      </font>
    </dxf>
    <dxf>
      <font>
        <b/>
        <i val="0"/>
        <color rgb="FFFF0000"/>
      </font>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b/>
        <i val="0"/>
        <color rgb="FFFF0000"/>
      </font>
    </dxf>
    <dxf>
      <font>
        <b/>
        <i val="0"/>
        <color rgb="FFFF0000"/>
      </font>
    </dxf>
    <dxf>
      <font>
        <b/>
        <i val="0"/>
      </font>
    </dxf>
    <dxf>
      <font>
        <b/>
        <i val="0"/>
        <color rgb="FFFF0000"/>
      </font>
    </dxf>
    <dxf>
      <font>
        <color theme="9" tint="-0.24994659260841701"/>
      </font>
      <fill>
        <patternFill>
          <bgColor theme="9" tint="0.59996337778862885"/>
        </patternFill>
      </fill>
    </dxf>
    <dxf>
      <font>
        <b/>
        <i val="0"/>
        <color rgb="FFFF0000"/>
      </font>
    </dxf>
    <dxf>
      <font>
        <color theme="9" tint="-0.24994659260841701"/>
      </font>
      <fill>
        <patternFill>
          <bgColor theme="9" tint="0.59996337778862885"/>
        </patternFill>
      </fill>
    </dxf>
    <dxf>
      <font>
        <color theme="9" tint="-0.24994659260841701"/>
      </font>
      <fill>
        <patternFill>
          <bgColor theme="9" tint="0.59996337778862885"/>
        </patternFill>
      </fill>
    </dxf>
    <dxf>
      <font>
        <b/>
        <i val="0"/>
        <color rgb="FFFF0000"/>
      </font>
    </dxf>
    <dxf>
      <font>
        <b/>
        <i val="0"/>
      </font>
    </dxf>
    <dxf>
      <font>
        <b/>
        <i val="0"/>
        <color rgb="FFFF0000"/>
      </font>
    </dxf>
    <dxf>
      <font>
        <color rgb="FF006100"/>
      </font>
      <fill>
        <patternFill>
          <bgColor rgb="FFC6EFCE"/>
        </patternFill>
      </fill>
    </dxf>
    <dxf>
      <font>
        <color rgb="FF9C0006"/>
      </font>
      <fill>
        <patternFill>
          <bgColor rgb="FFFFC7CE"/>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b/>
        <i val="0"/>
      </font>
    </dxf>
    <dxf>
      <font>
        <b/>
        <i val="0"/>
        <color rgb="FFFF0000"/>
      </font>
    </dxf>
    <dxf>
      <font>
        <color rgb="FF006100"/>
      </font>
      <fill>
        <patternFill>
          <bgColor rgb="FFC6EFCE"/>
        </patternFill>
      </fill>
    </dxf>
    <dxf>
      <font>
        <color rgb="FF9C0006"/>
      </font>
      <fill>
        <patternFill>
          <bgColor rgb="FFFFC7CE"/>
        </patternFill>
      </fill>
    </dxf>
    <dxf>
      <font>
        <b/>
        <i val="0"/>
        <color rgb="FFFF0000"/>
      </font>
    </dxf>
    <dxf>
      <font>
        <b/>
        <i val="0"/>
      </font>
    </dxf>
    <dxf>
      <font>
        <b/>
        <i val="0"/>
        <color rgb="FFFF0000"/>
      </font>
    </dxf>
    <dxf>
      <font>
        <b/>
        <i val="0"/>
      </font>
    </dxf>
    <dxf>
      <font>
        <b/>
        <i val="0"/>
        <color rgb="FFFF0000"/>
      </font>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b/>
        <i val="0"/>
        <color rgb="FFFF0000"/>
      </font>
    </dxf>
    <dxf>
      <font>
        <b/>
        <i val="0"/>
        <color rgb="FFFF0000"/>
      </font>
    </dxf>
    <dxf>
      <font>
        <b/>
        <i val="0"/>
      </font>
    </dxf>
    <dxf>
      <font>
        <b/>
        <i val="0"/>
        <color rgb="FFFF0000"/>
      </font>
    </dxf>
    <dxf>
      <font>
        <b/>
        <i val="0"/>
      </font>
    </dxf>
    <dxf>
      <font>
        <b/>
        <i val="0"/>
        <color rgb="FFFF0000"/>
      </font>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b/>
        <i val="0"/>
        <color rgb="FFFF0000"/>
      </font>
    </dxf>
    <dxf>
      <font>
        <b/>
        <i val="0"/>
        <color rgb="FFFF0000"/>
      </font>
    </dxf>
    <dxf>
      <font>
        <b/>
        <i val="0"/>
      </font>
    </dxf>
    <dxf>
      <font>
        <b/>
        <i val="0"/>
        <color rgb="FFFF0000"/>
      </font>
    </dxf>
    <dxf>
      <font>
        <color theme="9" tint="-0.24994659260841701"/>
      </font>
      <fill>
        <patternFill>
          <bgColor theme="9" tint="0.59996337778862885"/>
        </patternFill>
      </fill>
    </dxf>
    <dxf>
      <font>
        <b/>
        <i val="0"/>
        <color rgb="FFFF0000"/>
      </font>
    </dxf>
    <dxf>
      <font>
        <color theme="9" tint="-0.24994659260841701"/>
      </font>
      <fill>
        <patternFill>
          <bgColor theme="9" tint="0.59996337778862885"/>
        </patternFill>
      </fill>
    </dxf>
    <dxf>
      <font>
        <color theme="9" tint="-0.24994659260841701"/>
      </font>
      <fill>
        <patternFill>
          <bgColor theme="9" tint="0.59996337778862885"/>
        </patternFill>
      </fill>
    </dxf>
    <dxf>
      <font>
        <b/>
        <i val="0"/>
        <color rgb="FFFF0000"/>
      </font>
    </dxf>
    <dxf>
      <font>
        <b/>
        <i val="0"/>
      </font>
    </dxf>
    <dxf>
      <font>
        <b/>
        <i val="0"/>
        <color rgb="FFFF0000"/>
      </font>
    </dxf>
    <dxf>
      <font>
        <color rgb="FF006100"/>
      </font>
      <fill>
        <patternFill>
          <bgColor rgb="FFC6EFCE"/>
        </patternFill>
      </fill>
    </dxf>
    <dxf>
      <font>
        <color rgb="FF9C0006"/>
      </font>
      <fill>
        <patternFill>
          <bgColor rgb="FFFFC7CE"/>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b/>
        <i val="0"/>
      </font>
    </dxf>
    <dxf>
      <font>
        <b/>
        <i val="0"/>
        <color rgb="FFFF0000"/>
      </font>
    </dxf>
    <dxf>
      <font>
        <color rgb="FF006100"/>
      </font>
      <fill>
        <patternFill>
          <bgColor rgb="FFC6EFCE"/>
        </patternFill>
      </fill>
    </dxf>
    <dxf>
      <font>
        <color rgb="FF9C0006"/>
      </font>
      <fill>
        <patternFill>
          <bgColor rgb="FFFFC7CE"/>
        </patternFill>
      </fill>
    </dxf>
    <dxf>
      <font>
        <b/>
        <i val="0"/>
        <color rgb="FFFF0000"/>
      </font>
    </dxf>
    <dxf>
      <font>
        <b/>
        <i val="0"/>
      </font>
    </dxf>
    <dxf>
      <font>
        <b/>
        <i val="0"/>
        <color rgb="FFFF0000"/>
      </font>
    </dxf>
    <dxf>
      <font>
        <b/>
        <i val="0"/>
      </font>
    </dxf>
    <dxf>
      <font>
        <b/>
        <i val="0"/>
        <color rgb="FFFF0000"/>
      </font>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b/>
        <i val="0"/>
        <color rgb="FFFF0000"/>
      </font>
    </dxf>
    <dxf>
      <font>
        <b/>
        <i val="0"/>
        <color rgb="FFFF0000"/>
      </font>
    </dxf>
    <dxf>
      <font>
        <b/>
        <i val="0"/>
      </font>
    </dxf>
    <dxf>
      <font>
        <b/>
        <i val="0"/>
        <color rgb="FFFF0000"/>
      </font>
    </dxf>
    <dxf>
      <font>
        <b/>
        <i val="0"/>
      </font>
    </dxf>
    <dxf>
      <font>
        <b/>
        <i val="0"/>
        <color rgb="FFFF0000"/>
      </font>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b/>
        <i val="0"/>
        <color rgb="FFFF0000"/>
      </font>
    </dxf>
    <dxf>
      <font>
        <b/>
        <i val="0"/>
        <color rgb="FFFF0000"/>
      </font>
    </dxf>
    <dxf>
      <font>
        <b/>
        <i val="0"/>
      </font>
    </dxf>
    <dxf>
      <font>
        <b/>
        <i val="0"/>
        <color rgb="FFFF0000"/>
      </font>
    </dxf>
    <dxf>
      <font>
        <color theme="9" tint="-0.24994659260841701"/>
      </font>
      <fill>
        <patternFill>
          <bgColor theme="9" tint="0.59996337778862885"/>
        </patternFill>
      </fill>
    </dxf>
    <dxf>
      <font>
        <b/>
        <i val="0"/>
        <color rgb="FFFF0000"/>
      </font>
    </dxf>
    <dxf>
      <font>
        <color theme="9" tint="-0.24994659260841701"/>
      </font>
      <fill>
        <patternFill>
          <bgColor theme="9" tint="0.59996337778862885"/>
        </patternFill>
      </fill>
    </dxf>
    <dxf>
      <font>
        <color theme="9" tint="-0.24994659260841701"/>
      </font>
      <fill>
        <patternFill>
          <bgColor theme="9" tint="0.59996337778862885"/>
        </patternFill>
      </fill>
    </dxf>
    <dxf>
      <font>
        <b/>
        <i val="0"/>
        <color rgb="FFFF0000"/>
      </font>
    </dxf>
    <dxf>
      <font>
        <b/>
        <i val="0"/>
      </font>
    </dxf>
    <dxf>
      <font>
        <b/>
        <i val="0"/>
        <color rgb="FFFF0000"/>
      </font>
    </dxf>
    <dxf>
      <font>
        <color rgb="FF006100"/>
      </font>
      <fill>
        <patternFill>
          <bgColor rgb="FFC6EFCE"/>
        </patternFill>
      </fill>
    </dxf>
    <dxf>
      <font>
        <color rgb="FF9C0006"/>
      </font>
      <fill>
        <patternFill>
          <bgColor rgb="FFFFC7CE"/>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b/>
        <i val="0"/>
      </font>
    </dxf>
    <dxf>
      <font>
        <b/>
        <i val="0"/>
        <color rgb="FFFF0000"/>
      </font>
    </dxf>
    <dxf>
      <font>
        <color rgb="FF006100"/>
      </font>
      <fill>
        <patternFill>
          <bgColor rgb="FFC6EFCE"/>
        </patternFill>
      </fill>
    </dxf>
    <dxf>
      <font>
        <color rgb="FF9C0006"/>
      </font>
      <fill>
        <patternFill>
          <bgColor rgb="FFFFC7CE"/>
        </patternFill>
      </fill>
    </dxf>
    <dxf>
      <font>
        <b/>
        <i val="0"/>
        <color rgb="FFFF0000"/>
      </font>
    </dxf>
    <dxf>
      <font>
        <b/>
        <i val="0"/>
      </font>
    </dxf>
    <dxf>
      <font>
        <b/>
        <i val="0"/>
        <color rgb="FFFF0000"/>
      </font>
    </dxf>
    <dxf>
      <font>
        <b/>
        <i val="0"/>
      </font>
    </dxf>
    <dxf>
      <font>
        <b/>
        <i val="0"/>
        <color rgb="FFFF0000"/>
      </font>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b/>
        <i val="0"/>
        <color rgb="FFFF0000"/>
      </font>
    </dxf>
    <dxf>
      <font>
        <b/>
        <i val="0"/>
        <color rgb="FFFF0000"/>
      </font>
    </dxf>
    <dxf>
      <font>
        <b/>
        <i val="0"/>
      </font>
    </dxf>
    <dxf>
      <font>
        <b/>
        <i val="0"/>
        <color rgb="FFFF0000"/>
      </font>
    </dxf>
    <dxf>
      <font>
        <b/>
        <i val="0"/>
      </font>
    </dxf>
    <dxf>
      <font>
        <b/>
        <i val="0"/>
        <color rgb="FFFF0000"/>
      </font>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b/>
        <i val="0"/>
        <color rgb="FFFF0000"/>
      </font>
    </dxf>
    <dxf>
      <font>
        <b/>
        <i val="0"/>
        <color rgb="FFFF0000"/>
      </font>
    </dxf>
    <dxf>
      <font>
        <b/>
        <i val="0"/>
      </font>
    </dxf>
    <dxf>
      <font>
        <b/>
        <i val="0"/>
        <color rgb="FFFF0000"/>
      </font>
    </dxf>
    <dxf>
      <font>
        <color theme="9" tint="-0.24994659260841701"/>
      </font>
      <fill>
        <patternFill>
          <bgColor theme="9" tint="0.59996337778862885"/>
        </patternFill>
      </fill>
    </dxf>
    <dxf>
      <font>
        <b/>
        <i val="0"/>
        <color rgb="FFFF0000"/>
      </font>
    </dxf>
    <dxf>
      <font>
        <color theme="9" tint="-0.24994659260841701"/>
      </font>
      <fill>
        <patternFill>
          <bgColor theme="9" tint="0.59996337778862885"/>
        </patternFill>
      </fill>
    </dxf>
    <dxf>
      <font>
        <color theme="9" tint="-0.24994659260841701"/>
      </font>
      <fill>
        <patternFill>
          <bgColor theme="9" tint="0.59996337778862885"/>
        </patternFill>
      </fill>
    </dxf>
    <dxf>
      <font>
        <b/>
        <i val="0"/>
        <color rgb="FFFF0000"/>
      </font>
    </dxf>
    <dxf>
      <font>
        <b/>
        <i val="0"/>
      </font>
    </dxf>
    <dxf>
      <font>
        <b/>
        <i val="0"/>
        <color rgb="FFFF0000"/>
      </font>
    </dxf>
    <dxf>
      <font>
        <color rgb="FF006100"/>
      </font>
      <fill>
        <patternFill>
          <bgColor rgb="FFC6EFCE"/>
        </patternFill>
      </fill>
    </dxf>
    <dxf>
      <font>
        <color rgb="FF9C0006"/>
      </font>
      <fill>
        <patternFill>
          <bgColor rgb="FFFFC7CE"/>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b/>
        <i val="0"/>
      </font>
    </dxf>
    <dxf>
      <font>
        <b/>
        <i val="0"/>
        <color rgb="FFFF0000"/>
      </font>
    </dxf>
    <dxf>
      <font>
        <color rgb="FF006100"/>
      </font>
      <fill>
        <patternFill>
          <bgColor rgb="FFC6EFCE"/>
        </patternFill>
      </fill>
    </dxf>
    <dxf>
      <font>
        <color rgb="FF9C0006"/>
      </font>
      <fill>
        <patternFill>
          <bgColor rgb="FFFFC7CE"/>
        </patternFill>
      </fill>
    </dxf>
    <dxf>
      <font>
        <b/>
        <i val="0"/>
        <color rgb="FFFF0000"/>
      </font>
    </dxf>
    <dxf>
      <font>
        <b/>
        <i val="0"/>
      </font>
    </dxf>
    <dxf>
      <font>
        <b/>
        <i val="0"/>
        <color rgb="FFFF0000"/>
      </font>
    </dxf>
    <dxf>
      <font>
        <b/>
        <i val="0"/>
      </font>
    </dxf>
    <dxf>
      <font>
        <b/>
        <i val="0"/>
        <color rgb="FFFF0000"/>
      </font>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b/>
        <i val="0"/>
        <color rgb="FFFF0000"/>
      </font>
    </dxf>
    <dxf>
      <font>
        <b/>
        <i val="0"/>
        <color rgb="FFFF0000"/>
      </font>
    </dxf>
    <dxf>
      <font>
        <b/>
        <i val="0"/>
      </font>
    </dxf>
    <dxf>
      <font>
        <b/>
        <i val="0"/>
        <color rgb="FFFF0000"/>
      </font>
    </dxf>
    <dxf>
      <font>
        <b/>
        <i val="0"/>
      </font>
    </dxf>
    <dxf>
      <font>
        <b/>
        <i val="0"/>
        <color rgb="FFFF0000"/>
      </font>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b/>
        <i val="0"/>
        <color rgb="FFFF0000"/>
      </font>
    </dxf>
    <dxf>
      <font>
        <b/>
        <i val="0"/>
        <color rgb="FFFF0000"/>
      </font>
    </dxf>
    <dxf>
      <font>
        <b/>
        <i val="0"/>
      </font>
    </dxf>
    <dxf>
      <font>
        <b/>
        <i val="0"/>
        <color rgb="FFFF0000"/>
      </font>
    </dxf>
    <dxf>
      <font>
        <color theme="9" tint="-0.24994659260841701"/>
      </font>
      <fill>
        <patternFill>
          <bgColor theme="9" tint="0.59996337778862885"/>
        </patternFill>
      </fill>
    </dxf>
    <dxf>
      <font>
        <b/>
        <i val="0"/>
        <color rgb="FFFF0000"/>
      </font>
    </dxf>
    <dxf>
      <font>
        <color theme="9" tint="-0.24994659260841701"/>
      </font>
      <fill>
        <patternFill>
          <bgColor theme="9" tint="0.59996337778862885"/>
        </patternFill>
      </fill>
    </dxf>
    <dxf>
      <font>
        <color theme="9" tint="-0.24994659260841701"/>
      </font>
      <fill>
        <patternFill>
          <bgColor theme="9" tint="0.59996337778862885"/>
        </patternFill>
      </fill>
    </dxf>
    <dxf>
      <font>
        <b/>
        <i val="0"/>
        <color rgb="FFFF0000"/>
      </font>
    </dxf>
    <dxf>
      <font>
        <b/>
        <i val="0"/>
      </font>
    </dxf>
    <dxf>
      <font>
        <b/>
        <i val="0"/>
        <color rgb="FFFF0000"/>
      </font>
    </dxf>
    <dxf>
      <font>
        <color rgb="FF006100"/>
      </font>
      <fill>
        <patternFill>
          <bgColor rgb="FFC6EFCE"/>
        </patternFill>
      </fill>
    </dxf>
    <dxf>
      <font>
        <color rgb="FF9C0006"/>
      </font>
      <fill>
        <patternFill>
          <bgColor rgb="FFFFC7CE"/>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b/>
        <i val="0"/>
      </font>
    </dxf>
    <dxf>
      <font>
        <b/>
        <i val="0"/>
        <color rgb="FFFF0000"/>
      </font>
    </dxf>
    <dxf>
      <font>
        <color rgb="FF006100"/>
      </font>
      <fill>
        <patternFill>
          <bgColor rgb="FFC6EFCE"/>
        </patternFill>
      </fill>
    </dxf>
    <dxf>
      <font>
        <color rgb="FF9C0006"/>
      </font>
      <fill>
        <patternFill>
          <bgColor rgb="FFFFC7CE"/>
        </patternFill>
      </fill>
    </dxf>
    <dxf>
      <font>
        <b/>
        <i val="0"/>
        <color rgb="FFFF0000"/>
      </font>
    </dxf>
    <dxf>
      <font>
        <b/>
        <i val="0"/>
      </font>
    </dxf>
    <dxf>
      <font>
        <b/>
        <i val="0"/>
        <color rgb="FFFF0000"/>
      </font>
    </dxf>
    <dxf>
      <font>
        <b/>
        <i val="0"/>
      </font>
    </dxf>
    <dxf>
      <font>
        <b/>
        <i val="0"/>
        <color rgb="FFFF0000"/>
      </font>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b/>
        <i val="0"/>
        <color rgb="FFFF0000"/>
      </font>
    </dxf>
    <dxf>
      <font>
        <b/>
        <i val="0"/>
        <color rgb="FFFF0000"/>
      </font>
    </dxf>
    <dxf>
      <font>
        <b/>
        <i val="0"/>
      </font>
    </dxf>
    <dxf>
      <font>
        <b/>
        <i val="0"/>
        <color rgb="FFFF0000"/>
      </font>
    </dxf>
    <dxf>
      <font>
        <b/>
        <i val="0"/>
      </font>
    </dxf>
    <dxf>
      <font>
        <b/>
        <i val="0"/>
        <color rgb="FFFF0000"/>
      </font>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b/>
        <i val="0"/>
        <color rgb="FFFF0000"/>
      </font>
    </dxf>
    <dxf>
      <font>
        <b/>
        <i val="0"/>
        <color rgb="FFFF0000"/>
      </font>
    </dxf>
    <dxf>
      <font>
        <b/>
        <i val="0"/>
      </font>
    </dxf>
    <dxf>
      <font>
        <b/>
        <i val="0"/>
        <color rgb="FFFF0000"/>
      </font>
    </dxf>
    <dxf>
      <font>
        <color theme="9" tint="-0.24994659260841701"/>
      </font>
      <fill>
        <patternFill>
          <bgColor theme="9" tint="0.59996337778862885"/>
        </patternFill>
      </fill>
    </dxf>
    <dxf>
      <font>
        <b/>
        <i val="0"/>
        <color rgb="FFFF0000"/>
      </font>
    </dxf>
    <dxf>
      <font>
        <color theme="9" tint="-0.24994659260841701"/>
      </font>
      <fill>
        <patternFill>
          <bgColor theme="9" tint="0.59996337778862885"/>
        </patternFill>
      </fill>
    </dxf>
    <dxf>
      <font>
        <color theme="9" tint="-0.24994659260841701"/>
      </font>
      <fill>
        <patternFill>
          <bgColor theme="9" tint="0.59996337778862885"/>
        </patternFill>
      </fill>
    </dxf>
    <dxf>
      <font>
        <b/>
        <i val="0"/>
        <color rgb="FFFF0000"/>
      </font>
    </dxf>
    <dxf>
      <font>
        <b/>
        <i val="0"/>
      </font>
    </dxf>
    <dxf>
      <font>
        <b/>
        <i val="0"/>
        <color rgb="FFFF0000"/>
      </font>
    </dxf>
    <dxf>
      <font>
        <color rgb="FF006100"/>
      </font>
      <fill>
        <patternFill>
          <bgColor rgb="FFC6EFCE"/>
        </patternFill>
      </fill>
    </dxf>
    <dxf>
      <font>
        <color rgb="FF9C0006"/>
      </font>
      <fill>
        <patternFill>
          <bgColor rgb="FFFFC7CE"/>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b/>
        <i val="0"/>
      </font>
    </dxf>
    <dxf>
      <font>
        <b/>
        <i val="0"/>
        <color rgb="FFFF0000"/>
      </font>
    </dxf>
    <dxf>
      <font>
        <color rgb="FF006100"/>
      </font>
      <fill>
        <patternFill>
          <bgColor rgb="FFC6EFCE"/>
        </patternFill>
      </fill>
    </dxf>
    <dxf>
      <font>
        <color rgb="FF9C0006"/>
      </font>
      <fill>
        <patternFill>
          <bgColor rgb="FFFFC7CE"/>
        </patternFill>
      </fill>
    </dxf>
    <dxf>
      <font>
        <b/>
        <i val="0"/>
        <color rgb="FFFF0000"/>
      </font>
    </dxf>
    <dxf>
      <font>
        <b/>
        <i val="0"/>
      </font>
    </dxf>
    <dxf>
      <font>
        <b/>
        <i val="0"/>
        <color rgb="FFFF0000"/>
      </font>
    </dxf>
    <dxf>
      <font>
        <b/>
        <i val="0"/>
      </font>
    </dxf>
    <dxf>
      <font>
        <b/>
        <i val="0"/>
        <color rgb="FFFF0000"/>
      </font>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b/>
        <i val="0"/>
        <color rgb="FFFF0000"/>
      </font>
    </dxf>
    <dxf>
      <font>
        <b/>
        <i val="0"/>
        <color rgb="FFFF0000"/>
      </font>
    </dxf>
    <dxf>
      <font>
        <b/>
        <i val="0"/>
      </font>
    </dxf>
    <dxf>
      <font>
        <b/>
        <i val="0"/>
        <color rgb="FFFF0000"/>
      </font>
    </dxf>
    <dxf>
      <font>
        <b/>
        <i val="0"/>
      </font>
    </dxf>
    <dxf>
      <font>
        <b/>
        <i val="0"/>
        <color rgb="FFFF0000"/>
      </font>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b/>
        <i val="0"/>
        <color rgb="FFFF0000"/>
      </font>
    </dxf>
    <dxf>
      <font>
        <b/>
        <i val="0"/>
        <color rgb="FFFF0000"/>
      </font>
    </dxf>
    <dxf>
      <font>
        <b/>
        <i val="0"/>
      </font>
    </dxf>
    <dxf>
      <font>
        <b/>
        <i val="0"/>
        <color rgb="FFFF0000"/>
      </font>
    </dxf>
    <dxf>
      <font>
        <color theme="9" tint="-0.24994659260841701"/>
      </font>
      <fill>
        <patternFill>
          <bgColor theme="9" tint="0.59996337778862885"/>
        </patternFill>
      </fill>
    </dxf>
    <dxf>
      <font>
        <b/>
        <i val="0"/>
        <color rgb="FFFF0000"/>
      </font>
    </dxf>
    <dxf>
      <font>
        <color theme="9" tint="-0.24994659260841701"/>
      </font>
      <fill>
        <patternFill>
          <bgColor theme="9" tint="0.59996337778862885"/>
        </patternFill>
      </fill>
    </dxf>
    <dxf>
      <font>
        <color theme="9" tint="-0.24994659260841701"/>
      </font>
      <fill>
        <patternFill>
          <bgColor theme="9" tint="0.59996337778862885"/>
        </patternFill>
      </fill>
    </dxf>
    <dxf>
      <font>
        <b/>
        <i val="0"/>
        <color rgb="FFFF0000"/>
      </font>
    </dxf>
    <dxf>
      <font>
        <b/>
        <i val="0"/>
      </font>
    </dxf>
    <dxf>
      <font>
        <b/>
        <i val="0"/>
        <color rgb="FFFF0000"/>
      </font>
    </dxf>
    <dxf>
      <font>
        <color rgb="FF006100"/>
      </font>
      <fill>
        <patternFill>
          <bgColor rgb="FFC6EFCE"/>
        </patternFill>
      </fill>
    </dxf>
    <dxf>
      <font>
        <color rgb="FF9C0006"/>
      </font>
      <fill>
        <patternFill>
          <bgColor rgb="FFFFC7CE"/>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b/>
        <i val="0"/>
      </font>
    </dxf>
    <dxf>
      <font>
        <b/>
        <i val="0"/>
        <color rgb="FFFF0000"/>
      </font>
    </dxf>
    <dxf>
      <font>
        <color rgb="FF006100"/>
      </font>
      <fill>
        <patternFill>
          <bgColor rgb="FFC6EFCE"/>
        </patternFill>
      </fill>
    </dxf>
    <dxf>
      <font>
        <color rgb="FF9C0006"/>
      </font>
      <fill>
        <patternFill>
          <bgColor rgb="FFFFC7CE"/>
        </patternFill>
      </fill>
    </dxf>
    <dxf>
      <font>
        <b/>
        <i val="0"/>
        <color rgb="FFFF0000"/>
      </font>
    </dxf>
    <dxf>
      <font>
        <b/>
        <i val="0"/>
      </font>
    </dxf>
    <dxf>
      <font>
        <b/>
        <i val="0"/>
        <color rgb="FFFF0000"/>
      </font>
    </dxf>
    <dxf>
      <font>
        <b/>
        <i val="0"/>
      </font>
    </dxf>
    <dxf>
      <font>
        <b/>
        <i val="0"/>
        <color rgb="FFFF0000"/>
      </font>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b/>
        <i val="0"/>
        <color rgb="FFFF0000"/>
      </font>
    </dxf>
    <dxf>
      <font>
        <b/>
        <i val="0"/>
        <color rgb="FFFF0000"/>
      </font>
    </dxf>
    <dxf>
      <font>
        <b/>
        <i val="0"/>
      </font>
    </dxf>
    <dxf>
      <font>
        <b/>
        <i val="0"/>
        <color rgb="FFFF0000"/>
      </font>
    </dxf>
    <dxf>
      <font>
        <b/>
        <i val="0"/>
      </font>
    </dxf>
    <dxf>
      <font>
        <b/>
        <i val="0"/>
        <color rgb="FFFF0000"/>
      </font>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b/>
        <i val="0"/>
        <color rgb="FFFF0000"/>
      </font>
    </dxf>
    <dxf>
      <font>
        <b/>
        <i val="0"/>
        <color rgb="FFFF0000"/>
      </font>
    </dxf>
    <dxf>
      <font>
        <b/>
        <i val="0"/>
      </font>
    </dxf>
    <dxf>
      <font>
        <b/>
        <i val="0"/>
        <color rgb="FFFF0000"/>
      </font>
    </dxf>
    <dxf>
      <font>
        <color theme="9" tint="-0.24994659260841701"/>
      </font>
      <fill>
        <patternFill>
          <bgColor theme="9" tint="0.59996337778862885"/>
        </patternFill>
      </fill>
    </dxf>
    <dxf>
      <font>
        <b/>
        <i val="0"/>
        <color rgb="FFFF0000"/>
      </font>
    </dxf>
    <dxf>
      <font>
        <color theme="9" tint="-0.24994659260841701"/>
      </font>
      <fill>
        <patternFill>
          <bgColor theme="9" tint="0.59996337778862885"/>
        </patternFill>
      </fill>
    </dxf>
    <dxf>
      <font>
        <color theme="9" tint="-0.24994659260841701"/>
      </font>
      <fill>
        <patternFill>
          <bgColor theme="9" tint="0.59996337778862885"/>
        </patternFill>
      </fill>
    </dxf>
    <dxf>
      <font>
        <b/>
        <i val="0"/>
        <color rgb="FFFF0000"/>
      </font>
    </dxf>
    <dxf>
      <font>
        <b/>
        <i val="0"/>
      </font>
    </dxf>
    <dxf>
      <font>
        <b/>
        <i val="0"/>
        <color rgb="FFFF0000"/>
      </font>
    </dxf>
    <dxf>
      <font>
        <color rgb="FF006100"/>
      </font>
      <fill>
        <patternFill>
          <bgColor rgb="FFC6EFCE"/>
        </patternFill>
      </fill>
    </dxf>
    <dxf>
      <font>
        <color rgb="FF9C0006"/>
      </font>
      <fill>
        <patternFill>
          <bgColor rgb="FFFFC7CE"/>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color rgb="FF9C0006"/>
      </font>
      <fill>
        <patternFill>
          <bgColor rgb="FFFFC7CE"/>
        </patternFill>
      </fill>
    </dxf>
    <dxf>
      <font>
        <color rgb="FF006100"/>
      </font>
      <fill>
        <patternFill>
          <bgColor rgb="FFC6EFCE"/>
        </patternFill>
      </fill>
    </dxf>
    <dxf>
      <font>
        <b/>
        <i val="0"/>
        <color rgb="FFFF0000"/>
      </font>
    </dxf>
    <dxf>
      <font>
        <b/>
        <i val="0"/>
        <color rgb="FFFF0000"/>
      </font>
    </dxf>
    <dxf>
      <font>
        <b/>
        <i val="0"/>
      </font>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b/>
        <i val="0"/>
        <color rgb="FFFF0000"/>
      </font>
    </dxf>
    <dxf>
      <font>
        <b/>
        <i val="0"/>
        <color rgb="FFFF0000"/>
      </font>
    </dxf>
    <dxf>
      <font>
        <b/>
        <i val="0"/>
        <color rgb="FFFF0000"/>
      </font>
    </dxf>
    <dxf>
      <font>
        <b/>
        <i val="0"/>
      </font>
    </dxf>
    <dxf>
      <font>
        <b/>
        <i val="0"/>
        <color rgb="FFFF0000"/>
      </font>
    </dxf>
    <dxf>
      <font>
        <b/>
        <i val="0"/>
      </font>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b/>
        <i val="0"/>
        <color rgb="FFFF0000"/>
      </font>
    </dxf>
    <dxf>
      <font>
        <b/>
        <i val="0"/>
        <color rgb="FFFF0000"/>
      </font>
    </dxf>
    <dxf>
      <font>
        <b/>
        <i val="0"/>
        <color rgb="FFFF0000"/>
      </font>
    </dxf>
    <dxf>
      <font>
        <b/>
        <i val="0"/>
      </font>
    </dxf>
    <dxf>
      <font>
        <b/>
        <i val="0"/>
        <color rgb="FFFF0000"/>
      </font>
    </dxf>
    <dxf>
      <font>
        <b/>
        <i val="0"/>
      </font>
    </dxf>
    <dxf>
      <font>
        <color theme="9" tint="-0.24994659260841701"/>
      </font>
      <fill>
        <patternFill>
          <bgColor theme="9" tint="0.59996337778862885"/>
        </patternFill>
      </fill>
    </dxf>
    <dxf>
      <font>
        <b/>
        <i val="0"/>
        <color rgb="FFFF0000"/>
      </font>
    </dxf>
    <dxf>
      <font>
        <b/>
        <i val="0"/>
        <color rgb="FFFF0000"/>
      </font>
    </dxf>
    <dxf>
      <font>
        <b/>
        <i val="0"/>
      </font>
    </dxf>
    <dxf>
      <font>
        <b/>
        <i val="0"/>
        <color rgb="FFFF0000"/>
      </font>
    </dxf>
    <dxf>
      <font>
        <b/>
        <i val="0"/>
      </font>
    </dxf>
    <dxf>
      <font>
        <b/>
        <i val="0"/>
        <color rgb="FFFF0000"/>
      </font>
    </dxf>
    <dxf>
      <font>
        <color rgb="FF006100"/>
      </font>
      <fill>
        <patternFill>
          <bgColor rgb="FFC6EFCE"/>
        </patternFill>
      </fill>
    </dxf>
    <dxf>
      <font>
        <color rgb="FF9C0006"/>
      </font>
      <fill>
        <patternFill>
          <bgColor rgb="FFFFC7CE"/>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color rgb="FF9C0006"/>
      </font>
      <fill>
        <patternFill>
          <bgColor rgb="FFFFC7CE"/>
        </patternFill>
      </fill>
    </dxf>
    <dxf>
      <font>
        <color rgb="FF006100"/>
      </font>
      <fill>
        <patternFill>
          <bgColor rgb="FFC6EFCE"/>
        </patternFill>
      </fill>
    </dxf>
    <dxf>
      <font>
        <b/>
        <i val="0"/>
        <color rgb="FFFF0000"/>
      </font>
    </dxf>
    <dxf>
      <font>
        <b/>
        <i val="0"/>
      </font>
    </dxf>
    <dxf>
      <font>
        <b/>
        <i val="0"/>
        <color rgb="FFFF0000"/>
      </font>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b/>
        <i val="0"/>
        <color rgb="FFFF0000"/>
      </font>
    </dxf>
    <dxf>
      <font>
        <b/>
        <i val="0"/>
        <color rgb="FFFF0000"/>
      </font>
    </dxf>
    <dxf>
      <font>
        <b/>
        <i val="0"/>
      </font>
    </dxf>
    <dxf>
      <font>
        <b/>
        <i val="0"/>
        <color rgb="FFFF0000"/>
      </font>
    </dxf>
    <dxf>
      <font>
        <b/>
        <i val="0"/>
      </font>
    </dxf>
    <dxf>
      <font>
        <b/>
        <i val="0"/>
        <color rgb="FFFF0000"/>
      </font>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b/>
        <i val="0"/>
        <color rgb="FFFF0000"/>
      </font>
    </dxf>
    <dxf>
      <font>
        <b/>
        <i val="0"/>
        <color rgb="FFFF0000"/>
      </font>
    </dxf>
    <dxf>
      <font>
        <b/>
        <i val="0"/>
      </font>
    </dxf>
    <dxf>
      <font>
        <b/>
        <i val="0"/>
        <color rgb="FFFF0000"/>
      </font>
    </dxf>
    <dxf>
      <font>
        <b/>
        <i val="0"/>
      </font>
    </dxf>
    <dxf>
      <font>
        <b/>
        <i val="0"/>
        <color rgb="FFFF0000"/>
      </font>
    </dxf>
    <dxf>
      <font>
        <color theme="9" tint="-0.24994659260841701"/>
      </font>
      <fill>
        <patternFill>
          <bgColor theme="9" tint="0.59996337778862885"/>
        </patternFill>
      </fill>
    </dxf>
    <dxf>
      <font>
        <b/>
        <i val="0"/>
        <color rgb="FFFF0000"/>
      </font>
    </dxf>
    <dxf>
      <font>
        <b/>
        <i val="0"/>
      </font>
    </dxf>
    <dxf>
      <font>
        <b/>
        <i val="0"/>
        <color rgb="FFFF0000"/>
      </font>
    </dxf>
    <dxf>
      <font>
        <color theme="9" tint="-0.24994659260841701"/>
      </font>
      <fill>
        <patternFill>
          <bgColor theme="9" tint="0.59996337778862885"/>
        </patternFill>
      </fill>
    </dxf>
    <dxf>
      <font>
        <color theme="9" tint="-0.24994659260841701"/>
      </font>
      <fill>
        <patternFill>
          <bgColor theme="9" tint="0.59996337778862885"/>
        </patternFill>
      </fill>
    </dxf>
    <dxf>
      <font>
        <b/>
        <i val="0"/>
        <color rgb="FFFF0000"/>
      </font>
    </dxf>
    <dxf>
      <font>
        <b/>
        <i val="0"/>
      </font>
    </dxf>
    <dxf>
      <font>
        <b/>
        <i val="0"/>
        <color rgb="FFFF0000"/>
      </font>
    </dxf>
    <dxf>
      <font>
        <color rgb="FF006100"/>
      </font>
      <fill>
        <patternFill>
          <bgColor rgb="FFC6EFCE"/>
        </patternFill>
      </fill>
    </dxf>
    <dxf>
      <font>
        <color rgb="FF9C0006"/>
      </font>
      <fill>
        <patternFill>
          <bgColor rgb="FFFFC7CE"/>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color rgb="FF9C0006"/>
      </font>
      <fill>
        <patternFill>
          <bgColor rgb="FFFFC7CE"/>
        </patternFill>
      </fill>
    </dxf>
    <dxf>
      <font>
        <color rgb="FF006100"/>
      </font>
      <fill>
        <patternFill>
          <bgColor rgb="FFC6EFCE"/>
        </patternFill>
      </fill>
    </dxf>
    <dxf>
      <font>
        <b/>
        <i val="0"/>
        <color rgb="FFFF0000"/>
      </font>
    </dxf>
    <dxf>
      <font>
        <b/>
        <i val="0"/>
      </font>
    </dxf>
    <dxf>
      <font>
        <b/>
        <i val="0"/>
        <color rgb="FFFF0000"/>
      </font>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b/>
        <i val="0"/>
        <color rgb="FFFF0000"/>
      </font>
    </dxf>
    <dxf>
      <font>
        <b/>
        <i val="0"/>
        <color rgb="FFFF0000"/>
      </font>
    </dxf>
    <dxf>
      <font>
        <b/>
        <i val="0"/>
      </font>
    </dxf>
    <dxf>
      <font>
        <b/>
        <i val="0"/>
        <color rgb="FFFF0000"/>
      </font>
    </dxf>
    <dxf>
      <font>
        <b/>
        <i val="0"/>
      </font>
    </dxf>
    <dxf>
      <font>
        <b/>
        <i val="0"/>
        <color rgb="FFFF0000"/>
      </font>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b/>
        <i val="0"/>
        <color rgb="FFFF0000"/>
      </font>
    </dxf>
    <dxf>
      <font>
        <b/>
        <i val="0"/>
        <color rgb="FFFF0000"/>
      </font>
    </dxf>
    <dxf>
      <font>
        <b/>
        <i val="0"/>
      </font>
    </dxf>
    <dxf>
      <font>
        <b/>
        <i val="0"/>
        <color rgb="FFFF0000"/>
      </font>
    </dxf>
    <dxf>
      <font>
        <b/>
        <i val="0"/>
      </font>
    </dxf>
    <dxf>
      <font>
        <b/>
        <i val="0"/>
        <color rgb="FFFF0000"/>
      </font>
    </dxf>
    <dxf>
      <font>
        <color theme="9" tint="-0.24994659260841701"/>
      </font>
      <fill>
        <patternFill>
          <bgColor theme="9" tint="0.59996337778862885"/>
        </patternFill>
      </fill>
    </dxf>
    <dxf>
      <font>
        <b/>
        <i val="0"/>
        <color rgb="FFFF0000"/>
      </font>
    </dxf>
    <dxf>
      <font>
        <b/>
        <i val="0"/>
      </font>
    </dxf>
    <dxf>
      <font>
        <b/>
        <i val="0"/>
        <color rgb="FFFF0000"/>
      </font>
    </dxf>
    <dxf>
      <font>
        <color theme="9" tint="-0.24994659260841701"/>
      </font>
      <fill>
        <patternFill>
          <bgColor theme="9" tint="0.59996337778862885"/>
        </patternFill>
      </fill>
    </dxf>
    <dxf>
      <font>
        <color theme="9" tint="-0.24994659260841701"/>
      </font>
      <fill>
        <patternFill>
          <bgColor theme="9" tint="0.59996337778862885"/>
        </patternFill>
      </fill>
    </dxf>
    <dxf>
      <font>
        <b/>
        <i val="0"/>
        <color rgb="FFFF0000"/>
      </font>
    </dxf>
    <dxf>
      <font>
        <b/>
        <i val="0"/>
      </font>
    </dxf>
    <dxf>
      <font>
        <b/>
        <i val="0"/>
        <color rgb="FFFF0000"/>
      </font>
    </dxf>
    <dxf>
      <font>
        <color rgb="FF006100"/>
      </font>
      <fill>
        <patternFill>
          <bgColor rgb="FFC6EFCE"/>
        </patternFill>
      </fill>
    </dxf>
    <dxf>
      <font>
        <color rgb="FF9C0006"/>
      </font>
      <fill>
        <patternFill>
          <bgColor rgb="FFFFC7CE"/>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color rgb="FF9C0006"/>
      </font>
      <fill>
        <patternFill>
          <bgColor rgb="FFFFC7CE"/>
        </patternFill>
      </fill>
    </dxf>
    <dxf>
      <font>
        <color rgb="FF006100"/>
      </font>
      <fill>
        <patternFill>
          <bgColor rgb="FFC6EFCE"/>
        </patternFill>
      </fill>
    </dxf>
    <dxf>
      <font>
        <b/>
        <i val="0"/>
        <color rgb="FFFF0000"/>
      </font>
    </dxf>
    <dxf>
      <font>
        <b/>
        <i val="0"/>
        <color rgb="FFFF0000"/>
      </font>
    </dxf>
    <dxf>
      <font>
        <b/>
        <i val="0"/>
      </font>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b/>
        <i val="0"/>
        <color rgb="FFFF0000"/>
      </font>
    </dxf>
    <dxf>
      <font>
        <b/>
        <i val="0"/>
        <color rgb="FFFF0000"/>
      </font>
    </dxf>
    <dxf>
      <font>
        <b/>
        <i val="0"/>
        <color rgb="FFFF0000"/>
      </font>
    </dxf>
    <dxf>
      <font>
        <b/>
        <i val="0"/>
      </font>
    </dxf>
    <dxf>
      <font>
        <b/>
        <i val="0"/>
        <color rgb="FFFF0000"/>
      </font>
    </dxf>
    <dxf>
      <font>
        <b/>
        <i val="0"/>
      </font>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b/>
        <i val="0"/>
        <color rgb="FFFF0000"/>
      </font>
    </dxf>
    <dxf>
      <font>
        <b/>
        <i val="0"/>
        <color rgb="FFFF0000"/>
      </font>
    </dxf>
    <dxf>
      <font>
        <b/>
        <i val="0"/>
        <color rgb="FFFF0000"/>
      </font>
    </dxf>
    <dxf>
      <font>
        <b/>
        <i val="0"/>
      </font>
    </dxf>
    <dxf>
      <font>
        <b/>
        <i val="0"/>
        <color rgb="FFFF0000"/>
      </font>
    </dxf>
    <dxf>
      <font>
        <b/>
        <i val="0"/>
      </font>
    </dxf>
    <dxf>
      <font>
        <color theme="9" tint="-0.24994659260841701"/>
      </font>
      <fill>
        <patternFill>
          <bgColor theme="9" tint="0.59996337778862885"/>
        </patternFill>
      </fill>
    </dxf>
    <dxf>
      <font>
        <b/>
        <i val="0"/>
        <color rgb="FFFF0000"/>
      </font>
    </dxf>
    <dxf>
      <font>
        <b/>
        <i val="0"/>
        <color rgb="FFFF0000"/>
      </font>
    </dxf>
    <dxf>
      <font>
        <b/>
        <i val="0"/>
      </font>
    </dxf>
    <dxf>
      <font>
        <color theme="9" tint="-0.24994659260841701"/>
      </font>
      <fill>
        <patternFill>
          <bgColor theme="9" tint="0.59996337778862885"/>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b/>
        <i val="0"/>
        <color rgb="FFFF0000"/>
      </font>
    </dxf>
    <dxf>
      <font>
        <b/>
        <i val="0"/>
      </font>
    </dxf>
    <dxf>
      <font>
        <b/>
        <i val="0"/>
        <color rgb="FFFF0000"/>
      </font>
    </dxf>
    <dxf>
      <font>
        <color rgb="FF006100"/>
      </font>
      <fill>
        <patternFill>
          <bgColor rgb="FFC6EFCE"/>
        </patternFill>
      </fill>
    </dxf>
    <dxf>
      <font>
        <color rgb="FF9C0006"/>
      </font>
      <fill>
        <patternFill>
          <bgColor rgb="FFFFC7CE"/>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color rgb="FF9C0006"/>
      </font>
      <fill>
        <patternFill>
          <bgColor rgb="FFFFC7CE"/>
        </patternFill>
      </fill>
    </dxf>
    <dxf>
      <font>
        <color rgb="FF006100"/>
      </font>
      <fill>
        <patternFill>
          <bgColor rgb="FFC6EFCE"/>
        </patternFill>
      </fill>
    </dxf>
    <dxf>
      <font>
        <b/>
        <i val="0"/>
        <color rgb="FFFF0000"/>
      </font>
    </dxf>
    <dxf>
      <font>
        <b/>
        <i val="0"/>
      </font>
    </dxf>
    <dxf>
      <font>
        <b/>
        <i val="0"/>
        <color rgb="FFFF0000"/>
      </font>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b/>
        <i val="0"/>
        <color rgb="FFFF0000"/>
      </font>
    </dxf>
    <dxf>
      <font>
        <b/>
        <i val="0"/>
        <color rgb="FFFF0000"/>
      </font>
    </dxf>
    <dxf>
      <font>
        <b/>
        <i val="0"/>
      </font>
    </dxf>
    <dxf>
      <font>
        <b/>
        <i val="0"/>
        <color rgb="FFFF0000"/>
      </font>
    </dxf>
    <dxf>
      <font>
        <b/>
        <i val="0"/>
      </font>
    </dxf>
    <dxf>
      <font>
        <b/>
        <i val="0"/>
        <color rgb="FFFF0000"/>
      </font>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b/>
        <i val="0"/>
        <color rgb="FFFF0000"/>
      </font>
    </dxf>
    <dxf>
      <font>
        <b/>
        <i val="0"/>
        <color rgb="FFFF0000"/>
      </font>
    </dxf>
    <dxf>
      <font>
        <b/>
        <i val="0"/>
      </font>
    </dxf>
    <dxf>
      <font>
        <b/>
        <i val="0"/>
        <color rgb="FFFF0000"/>
      </font>
    </dxf>
    <dxf>
      <font>
        <b/>
        <i val="0"/>
      </font>
    </dxf>
    <dxf>
      <font>
        <b/>
        <i val="0"/>
        <color rgb="FFFF0000"/>
      </font>
    </dxf>
    <dxf>
      <font>
        <color theme="9" tint="-0.24994659260841701"/>
      </font>
      <fill>
        <patternFill>
          <bgColor theme="9" tint="0.59996337778862885"/>
        </patternFill>
      </fill>
    </dxf>
    <dxf>
      <font>
        <b/>
        <i val="0"/>
        <color rgb="FFFF0000"/>
      </font>
    </dxf>
    <dxf>
      <font>
        <b/>
        <i val="0"/>
      </font>
    </dxf>
    <dxf>
      <font>
        <b/>
        <i val="0"/>
        <color rgb="FFFF0000"/>
      </font>
    </dxf>
    <dxf>
      <font>
        <color theme="9" tint="-0.24994659260841701"/>
      </font>
      <fill>
        <patternFill>
          <bgColor theme="9" tint="0.59996337778862885"/>
        </patternFill>
      </fill>
    </dxf>
    <dxf>
      <font>
        <color theme="9" tint="-0.24994659260841701"/>
      </font>
      <fill>
        <patternFill>
          <bgColor theme="9" tint="0.59996337778862885"/>
        </patternFill>
      </fill>
    </dxf>
    <dxf>
      <font>
        <b/>
        <i val="0"/>
        <color rgb="FFFF0000"/>
      </font>
    </dxf>
    <dxf>
      <font>
        <b/>
        <i val="0"/>
      </font>
    </dxf>
    <dxf>
      <font>
        <b/>
        <i val="0"/>
        <color rgb="FFFF0000"/>
      </font>
    </dxf>
    <dxf>
      <font>
        <color rgb="FF006100"/>
      </font>
      <fill>
        <patternFill>
          <bgColor rgb="FFC6EFCE"/>
        </patternFill>
      </fill>
    </dxf>
    <dxf>
      <font>
        <color rgb="FF9C0006"/>
      </font>
      <fill>
        <patternFill>
          <bgColor rgb="FFFFC7CE"/>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color rgb="FF9C0006"/>
      </font>
      <fill>
        <patternFill>
          <bgColor rgb="FFFFC7CE"/>
        </patternFill>
      </fill>
    </dxf>
    <dxf>
      <font>
        <color rgb="FF006100"/>
      </font>
      <fill>
        <patternFill>
          <bgColor rgb="FFC6EFCE"/>
        </patternFill>
      </fill>
    </dxf>
    <dxf>
      <font>
        <b/>
        <i val="0"/>
        <color rgb="FFFF0000"/>
      </font>
    </dxf>
    <dxf>
      <font>
        <b/>
        <i val="0"/>
      </font>
    </dxf>
    <dxf>
      <font>
        <b/>
        <i val="0"/>
        <color rgb="FFFF0000"/>
      </font>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b/>
        <i val="0"/>
        <color rgb="FFFF0000"/>
      </font>
    </dxf>
    <dxf>
      <font>
        <b/>
        <i val="0"/>
        <color rgb="FFFF0000"/>
      </font>
    </dxf>
    <dxf>
      <font>
        <b/>
        <i val="0"/>
      </font>
    </dxf>
    <dxf>
      <font>
        <b/>
        <i val="0"/>
        <color rgb="FFFF0000"/>
      </font>
    </dxf>
    <dxf>
      <font>
        <b/>
        <i val="0"/>
      </font>
    </dxf>
    <dxf>
      <font>
        <b/>
        <i val="0"/>
        <color rgb="FFFF0000"/>
      </font>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b/>
        <i val="0"/>
        <color rgb="FFFF0000"/>
      </font>
    </dxf>
    <dxf>
      <font>
        <b/>
        <i val="0"/>
        <color rgb="FFFF0000"/>
      </font>
    </dxf>
    <dxf>
      <font>
        <b/>
        <i val="0"/>
      </font>
    </dxf>
    <dxf>
      <font>
        <b/>
        <i val="0"/>
        <color rgb="FFFF0000"/>
      </font>
    </dxf>
    <dxf>
      <font>
        <b/>
        <i val="0"/>
      </font>
    </dxf>
    <dxf>
      <font>
        <b/>
        <i val="0"/>
        <color rgb="FFFF0000"/>
      </font>
    </dxf>
    <dxf>
      <font>
        <color theme="9" tint="-0.24994659260841701"/>
      </font>
      <fill>
        <patternFill>
          <bgColor theme="9" tint="0.59996337778862885"/>
        </patternFill>
      </fill>
    </dxf>
    <dxf>
      <font>
        <b/>
        <i val="0"/>
        <color rgb="FFFF0000"/>
      </font>
    </dxf>
    <dxf>
      <font>
        <b/>
        <i val="0"/>
      </font>
    </dxf>
    <dxf>
      <font>
        <b/>
        <i val="0"/>
        <color rgb="FFFF0000"/>
      </font>
    </dxf>
    <dxf>
      <font>
        <color theme="9" tint="-0.24994659260841701"/>
      </font>
      <fill>
        <patternFill>
          <bgColor theme="9" tint="0.59996337778862885"/>
        </patternFill>
      </fill>
    </dxf>
    <dxf>
      <font>
        <color theme="9" tint="-0.24994659260841701"/>
      </font>
      <fill>
        <patternFill>
          <bgColor theme="9" tint="0.59996337778862885"/>
        </patternFill>
      </fill>
    </dxf>
    <dxf>
      <font>
        <b/>
        <i val="0"/>
        <color rgb="FFFF0000"/>
      </font>
    </dxf>
    <dxf>
      <font>
        <b/>
        <i val="0"/>
      </font>
    </dxf>
    <dxf>
      <font>
        <b/>
        <i val="0"/>
        <color rgb="FFFF0000"/>
      </font>
    </dxf>
    <dxf>
      <font>
        <color rgb="FF006100"/>
      </font>
      <fill>
        <patternFill>
          <bgColor rgb="FFC6EFCE"/>
        </patternFill>
      </fill>
    </dxf>
    <dxf>
      <font>
        <color rgb="FF9C0006"/>
      </font>
      <fill>
        <patternFill>
          <bgColor rgb="FFFFC7CE"/>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color rgb="FF9C0006"/>
      </font>
      <fill>
        <patternFill>
          <bgColor rgb="FFFFC7CE"/>
        </patternFill>
      </fill>
    </dxf>
    <dxf>
      <font>
        <color rgb="FF006100"/>
      </font>
      <fill>
        <patternFill>
          <bgColor rgb="FFC6EFCE"/>
        </patternFill>
      </fill>
    </dxf>
    <dxf>
      <font>
        <b/>
        <i val="0"/>
        <color rgb="FFFF0000"/>
      </font>
    </dxf>
    <dxf>
      <font>
        <b/>
        <i val="0"/>
      </font>
    </dxf>
    <dxf>
      <font>
        <b/>
        <i val="0"/>
        <color rgb="FFFF0000"/>
      </font>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b/>
        <i val="0"/>
        <color rgb="FFFF0000"/>
      </font>
    </dxf>
    <dxf>
      <font>
        <b/>
        <i val="0"/>
        <color rgb="FFFF0000"/>
      </font>
    </dxf>
    <dxf>
      <font>
        <b/>
        <i val="0"/>
      </font>
    </dxf>
    <dxf>
      <font>
        <b/>
        <i val="0"/>
        <color rgb="FFFF0000"/>
      </font>
    </dxf>
    <dxf>
      <font>
        <b/>
        <i val="0"/>
      </font>
    </dxf>
    <dxf>
      <font>
        <b/>
        <i val="0"/>
        <color rgb="FFFF0000"/>
      </font>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b/>
        <i val="0"/>
        <color rgb="FFFF0000"/>
      </font>
    </dxf>
    <dxf>
      <font>
        <b/>
        <i val="0"/>
        <color rgb="FFFF0000"/>
      </font>
    </dxf>
    <dxf>
      <font>
        <b/>
        <i val="0"/>
      </font>
    </dxf>
    <dxf>
      <font>
        <b/>
        <i val="0"/>
        <color rgb="FFFF0000"/>
      </font>
    </dxf>
    <dxf>
      <font>
        <b/>
        <i val="0"/>
      </font>
    </dxf>
    <dxf>
      <font>
        <b/>
        <i val="0"/>
        <color rgb="FFFF0000"/>
      </font>
    </dxf>
    <dxf>
      <font>
        <color theme="9" tint="-0.24994659260841701"/>
      </font>
      <fill>
        <patternFill>
          <bgColor theme="9" tint="0.59996337778862885"/>
        </patternFill>
      </fill>
    </dxf>
    <dxf>
      <font>
        <b/>
        <i val="0"/>
        <color rgb="FFFF0000"/>
      </font>
    </dxf>
    <dxf>
      <font>
        <b/>
        <i val="0"/>
      </font>
    </dxf>
    <dxf>
      <font>
        <b/>
        <i val="0"/>
        <color rgb="FFFF0000"/>
      </font>
    </dxf>
    <dxf>
      <font>
        <color theme="9" tint="-0.24994659260841701"/>
      </font>
      <fill>
        <patternFill>
          <bgColor theme="9" tint="0.59996337778862885"/>
        </patternFill>
      </fill>
    </dxf>
    <dxf>
      <font>
        <color theme="9" tint="-0.24994659260841701"/>
      </font>
      <fill>
        <patternFill>
          <bgColor theme="9" tint="0.59996337778862885"/>
        </patternFill>
      </fill>
    </dxf>
    <dxf>
      <font>
        <b/>
        <i val="0"/>
        <color rgb="FFFF0000"/>
      </font>
    </dxf>
    <dxf>
      <font>
        <b/>
        <i val="0"/>
      </font>
    </dxf>
    <dxf>
      <font>
        <b/>
        <i val="0"/>
        <color rgb="FFFF0000"/>
      </font>
    </dxf>
    <dxf>
      <font>
        <color rgb="FF006100"/>
      </font>
      <fill>
        <patternFill>
          <bgColor rgb="FFC6EFCE"/>
        </patternFill>
      </fill>
    </dxf>
    <dxf>
      <font>
        <color rgb="FF9C0006"/>
      </font>
      <fill>
        <patternFill>
          <bgColor rgb="FFFFC7CE"/>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color rgb="FF9C0006"/>
      </font>
      <fill>
        <patternFill>
          <bgColor rgb="FFFFC7CE"/>
        </patternFill>
      </fill>
    </dxf>
    <dxf>
      <font>
        <color rgb="FF006100"/>
      </font>
      <fill>
        <patternFill>
          <bgColor rgb="FFC6EFCE"/>
        </patternFill>
      </fill>
    </dxf>
    <dxf>
      <font>
        <b/>
        <i val="0"/>
        <color rgb="FFFF0000"/>
      </font>
    </dxf>
    <dxf>
      <font>
        <b/>
        <i val="0"/>
      </font>
    </dxf>
    <dxf>
      <font>
        <b/>
        <i val="0"/>
        <color rgb="FFFF0000"/>
      </font>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b/>
        <i val="0"/>
        <color rgb="FFFF0000"/>
      </font>
    </dxf>
    <dxf>
      <font>
        <b/>
        <i val="0"/>
        <color rgb="FFFF0000"/>
      </font>
    </dxf>
    <dxf>
      <font>
        <b/>
        <i val="0"/>
      </font>
    </dxf>
    <dxf>
      <font>
        <b/>
        <i val="0"/>
        <color rgb="FFFF0000"/>
      </font>
    </dxf>
    <dxf>
      <font>
        <b/>
        <i val="0"/>
      </font>
    </dxf>
    <dxf>
      <font>
        <b/>
        <i val="0"/>
        <color rgb="FFFF0000"/>
      </font>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b/>
        <i val="0"/>
        <color rgb="FFFF0000"/>
      </font>
    </dxf>
    <dxf>
      <font>
        <b/>
        <i val="0"/>
        <color rgb="FFFF0000"/>
      </font>
    </dxf>
    <dxf>
      <font>
        <b/>
        <i val="0"/>
      </font>
    </dxf>
    <dxf>
      <font>
        <b/>
        <i val="0"/>
        <color rgb="FFFF0000"/>
      </font>
    </dxf>
    <dxf>
      <font>
        <b/>
        <i val="0"/>
      </font>
    </dxf>
    <dxf>
      <font>
        <b/>
        <i val="0"/>
        <color rgb="FFFF0000"/>
      </font>
    </dxf>
    <dxf>
      <font>
        <color theme="9" tint="-0.24994659260841701"/>
      </font>
      <fill>
        <patternFill>
          <bgColor theme="9" tint="0.59996337778862885"/>
        </patternFill>
      </fill>
    </dxf>
    <dxf>
      <font>
        <b/>
        <i val="0"/>
        <color rgb="FFFF0000"/>
      </font>
    </dxf>
    <dxf>
      <font>
        <b/>
        <i val="0"/>
      </font>
    </dxf>
    <dxf>
      <font>
        <b/>
        <i val="0"/>
        <color rgb="FFFF0000"/>
      </font>
    </dxf>
    <dxf>
      <font>
        <color theme="9" tint="-0.24994659260841701"/>
      </font>
      <fill>
        <patternFill>
          <bgColor theme="9" tint="0.59996337778862885"/>
        </patternFill>
      </fill>
    </dxf>
    <dxf>
      <font>
        <color theme="9" tint="-0.24994659260841701"/>
      </font>
      <fill>
        <patternFill>
          <bgColor theme="9" tint="0.59996337778862885"/>
        </patternFill>
      </fill>
    </dxf>
    <dxf>
      <font>
        <b/>
        <i val="0"/>
        <color rgb="FFFF0000"/>
      </font>
    </dxf>
    <dxf>
      <font>
        <b/>
        <i val="0"/>
      </font>
    </dxf>
    <dxf>
      <font>
        <b/>
        <i val="0"/>
        <color rgb="FFFF0000"/>
      </font>
    </dxf>
    <dxf>
      <font>
        <color rgb="FF006100"/>
      </font>
      <fill>
        <patternFill>
          <bgColor rgb="FFC6EFCE"/>
        </patternFill>
      </fill>
    </dxf>
    <dxf>
      <font>
        <color rgb="FF9C0006"/>
      </font>
      <fill>
        <patternFill>
          <bgColor rgb="FFFFC7CE"/>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color rgb="FF9C0006"/>
      </font>
      <fill>
        <patternFill>
          <bgColor rgb="FFFFC7CE"/>
        </patternFill>
      </fill>
    </dxf>
    <dxf>
      <font>
        <color rgb="FF006100"/>
      </font>
      <fill>
        <patternFill>
          <bgColor rgb="FFC6EFCE"/>
        </patternFill>
      </fill>
    </dxf>
    <dxf>
      <font>
        <b/>
        <i val="0"/>
        <color rgb="FFFF0000"/>
      </font>
    </dxf>
    <dxf>
      <font>
        <b/>
        <i val="0"/>
      </font>
    </dxf>
    <dxf>
      <font>
        <b/>
        <i val="0"/>
        <color rgb="FFFF0000"/>
      </font>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b/>
        <i val="0"/>
        <color rgb="FFFF0000"/>
      </font>
    </dxf>
    <dxf>
      <font>
        <b/>
        <i val="0"/>
        <color rgb="FFFF0000"/>
      </font>
    </dxf>
    <dxf>
      <font>
        <b/>
        <i val="0"/>
      </font>
    </dxf>
    <dxf>
      <font>
        <b/>
        <i val="0"/>
        <color rgb="FFFF0000"/>
      </font>
    </dxf>
    <dxf>
      <font>
        <b/>
        <i val="0"/>
      </font>
    </dxf>
    <dxf>
      <font>
        <b/>
        <i val="0"/>
        <color rgb="FFFF0000"/>
      </font>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b/>
        <i val="0"/>
        <color rgb="FFFF0000"/>
      </font>
    </dxf>
    <dxf>
      <font>
        <b/>
        <i val="0"/>
        <color rgb="FFFF0000"/>
      </font>
    </dxf>
    <dxf>
      <font>
        <b/>
        <i val="0"/>
      </font>
    </dxf>
    <dxf>
      <font>
        <b/>
        <i val="0"/>
        <color rgb="FFFF0000"/>
      </font>
    </dxf>
    <dxf>
      <font>
        <b/>
        <i val="0"/>
      </font>
    </dxf>
    <dxf>
      <font>
        <b/>
        <i val="0"/>
        <color rgb="FFFF0000"/>
      </font>
    </dxf>
    <dxf>
      <font>
        <color theme="9" tint="-0.24994659260841701"/>
      </font>
      <fill>
        <patternFill>
          <bgColor theme="9" tint="0.59996337778862885"/>
        </patternFill>
      </fill>
    </dxf>
    <dxf>
      <font>
        <b/>
        <i val="0"/>
        <color rgb="FFFF0000"/>
      </font>
    </dxf>
    <dxf>
      <font>
        <b/>
        <i val="0"/>
      </font>
    </dxf>
    <dxf>
      <font>
        <b/>
        <i val="0"/>
        <color rgb="FFFF0000"/>
      </font>
    </dxf>
    <dxf>
      <font>
        <color theme="9" tint="-0.24994659260841701"/>
      </font>
      <fill>
        <patternFill>
          <bgColor theme="9" tint="0.59996337778862885"/>
        </patternFill>
      </fill>
    </dxf>
    <dxf>
      <font>
        <color theme="9" tint="-0.24994659260841701"/>
      </font>
      <fill>
        <patternFill>
          <bgColor theme="9" tint="0.59996337778862885"/>
        </patternFill>
      </fill>
    </dxf>
    <dxf>
      <font>
        <b/>
        <i val="0"/>
        <color rgb="FFFF0000"/>
      </font>
    </dxf>
    <dxf>
      <font>
        <b/>
        <i val="0"/>
      </font>
    </dxf>
    <dxf>
      <font>
        <b/>
        <i val="0"/>
        <color rgb="FFFF0000"/>
      </font>
    </dxf>
    <dxf>
      <font>
        <color rgb="FF006100"/>
      </font>
      <fill>
        <patternFill>
          <bgColor rgb="FFC6EFCE"/>
        </patternFill>
      </fill>
    </dxf>
    <dxf>
      <font>
        <color rgb="FF9C0006"/>
      </font>
      <fill>
        <patternFill>
          <bgColor rgb="FFFFC7CE"/>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color rgb="FF9C0006"/>
      </font>
      <fill>
        <patternFill>
          <bgColor rgb="FFFFC7CE"/>
        </patternFill>
      </fill>
    </dxf>
    <dxf>
      <font>
        <color rgb="FF006100"/>
      </font>
      <fill>
        <patternFill>
          <bgColor rgb="FFC6EFCE"/>
        </patternFill>
      </fill>
    </dxf>
    <dxf>
      <font>
        <b/>
        <i val="0"/>
        <color rgb="FFFF0000"/>
      </font>
    </dxf>
    <dxf>
      <font>
        <b/>
        <i val="0"/>
        <color rgb="FFFF0000"/>
      </font>
    </dxf>
    <dxf>
      <font>
        <b/>
        <i val="0"/>
      </font>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b/>
        <i val="0"/>
        <color rgb="FFFF0000"/>
      </font>
    </dxf>
    <dxf>
      <font>
        <b/>
        <i val="0"/>
        <color rgb="FFFF0000"/>
      </font>
    </dxf>
    <dxf>
      <font>
        <b/>
        <i val="0"/>
        <color rgb="FFFF0000"/>
      </font>
    </dxf>
    <dxf>
      <font>
        <b/>
        <i val="0"/>
      </font>
    </dxf>
    <dxf>
      <font>
        <b/>
        <i val="0"/>
        <color rgb="FFFF0000"/>
      </font>
    </dxf>
    <dxf>
      <font>
        <b/>
        <i val="0"/>
      </font>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b/>
        <i val="0"/>
        <color rgb="FFFF0000"/>
      </font>
    </dxf>
    <dxf>
      <font>
        <b/>
        <i val="0"/>
        <color rgb="FFFF0000"/>
      </font>
    </dxf>
    <dxf>
      <font>
        <b/>
        <i val="0"/>
        <color rgb="FFFF0000"/>
      </font>
    </dxf>
    <dxf>
      <font>
        <b/>
        <i val="0"/>
      </font>
    </dxf>
    <dxf>
      <font>
        <b/>
        <i val="0"/>
        <color rgb="FFFF0000"/>
      </font>
    </dxf>
    <dxf>
      <font>
        <b/>
        <i val="0"/>
      </font>
    </dxf>
    <dxf>
      <font>
        <color theme="9" tint="-0.24994659260841701"/>
      </font>
      <fill>
        <patternFill>
          <bgColor theme="9" tint="0.59996337778862885"/>
        </patternFill>
      </fill>
    </dxf>
    <dxf>
      <font>
        <b/>
        <i val="0"/>
        <color rgb="FFFF0000"/>
      </font>
    </dxf>
    <dxf>
      <font>
        <b/>
        <i val="0"/>
        <color rgb="FFFF0000"/>
      </font>
    </dxf>
    <dxf>
      <font>
        <b/>
        <i val="0"/>
      </font>
    </dxf>
    <dxf>
      <font>
        <color theme="9" tint="-0.24994659260841701"/>
      </font>
      <fill>
        <patternFill>
          <bgColor theme="9" tint="0.59996337778862885"/>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b/>
        <i val="0"/>
        <color rgb="FFFF0000"/>
      </font>
    </dxf>
    <dxf>
      <font>
        <b/>
        <i val="0"/>
      </font>
    </dxf>
    <dxf>
      <font>
        <b/>
        <i val="0"/>
        <color rgb="FFFF0000"/>
      </font>
    </dxf>
    <dxf>
      <font>
        <color rgb="FF006100"/>
      </font>
      <fill>
        <patternFill>
          <bgColor rgb="FFC6EFCE"/>
        </patternFill>
      </fill>
    </dxf>
    <dxf>
      <font>
        <color rgb="FF9C0006"/>
      </font>
      <fill>
        <patternFill>
          <bgColor rgb="FFFFC7CE"/>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color rgb="FF9C0006"/>
      </font>
      <fill>
        <patternFill>
          <bgColor rgb="FFFFC7CE"/>
        </patternFill>
      </fill>
    </dxf>
    <dxf>
      <font>
        <color rgb="FF006100"/>
      </font>
      <fill>
        <patternFill>
          <bgColor rgb="FFC6EFCE"/>
        </patternFill>
      </fill>
    </dxf>
    <dxf>
      <font>
        <b/>
        <i val="0"/>
        <color rgb="FFFF0000"/>
      </font>
    </dxf>
    <dxf>
      <font>
        <b/>
        <i val="0"/>
        <color rgb="FFFF0000"/>
      </font>
    </dxf>
    <dxf>
      <font>
        <b/>
        <i val="0"/>
      </font>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b/>
        <i val="0"/>
        <color rgb="FFFF0000"/>
      </font>
    </dxf>
    <dxf>
      <font>
        <b/>
        <i val="0"/>
        <color rgb="FFFF0000"/>
      </font>
    </dxf>
    <dxf>
      <font>
        <b/>
        <i val="0"/>
        <color rgb="FFFF0000"/>
      </font>
    </dxf>
    <dxf>
      <font>
        <b/>
        <i val="0"/>
      </font>
    </dxf>
    <dxf>
      <font>
        <b/>
        <i val="0"/>
        <color rgb="FFFF0000"/>
      </font>
    </dxf>
    <dxf>
      <font>
        <b/>
        <i val="0"/>
      </font>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b/>
        <i val="0"/>
        <color rgb="FFFF0000"/>
      </font>
    </dxf>
    <dxf>
      <font>
        <b/>
        <i val="0"/>
        <color rgb="FFFF0000"/>
      </font>
    </dxf>
    <dxf>
      <font>
        <b/>
        <i val="0"/>
        <color rgb="FFFF0000"/>
      </font>
    </dxf>
    <dxf>
      <font>
        <b/>
        <i val="0"/>
      </font>
    </dxf>
    <dxf>
      <font>
        <b/>
        <i val="0"/>
        <color rgb="FFFF0000"/>
      </font>
    </dxf>
    <dxf>
      <font>
        <b/>
        <i val="0"/>
      </font>
    </dxf>
    <dxf>
      <font>
        <color theme="9" tint="-0.24994659260841701"/>
      </font>
      <fill>
        <patternFill>
          <bgColor theme="9" tint="0.59996337778862885"/>
        </patternFill>
      </fill>
    </dxf>
    <dxf>
      <font>
        <b/>
        <i val="0"/>
        <color rgb="FFFF0000"/>
      </font>
    </dxf>
    <dxf>
      <font>
        <b/>
        <i val="0"/>
        <color rgb="FFFF0000"/>
      </font>
    </dxf>
    <dxf>
      <font>
        <b/>
        <i val="0"/>
      </font>
    </dxf>
    <dxf>
      <font>
        <color theme="9" tint="-0.24994659260841701"/>
      </font>
      <fill>
        <patternFill>
          <bgColor theme="9" tint="0.59996337778862885"/>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b/>
        <i val="0"/>
        <color rgb="FFFF0000"/>
      </font>
    </dxf>
    <dxf>
      <font>
        <b/>
        <i val="0"/>
      </font>
    </dxf>
    <dxf>
      <font>
        <b/>
        <i val="0"/>
        <color rgb="FFFF0000"/>
      </font>
    </dxf>
    <dxf>
      <font>
        <color rgb="FF006100"/>
      </font>
      <fill>
        <patternFill>
          <bgColor rgb="FFC6EFCE"/>
        </patternFill>
      </fill>
    </dxf>
    <dxf>
      <font>
        <color rgb="FF9C0006"/>
      </font>
      <fill>
        <patternFill>
          <bgColor rgb="FFFFC7CE"/>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color rgb="FF9C0006"/>
      </font>
      <fill>
        <patternFill>
          <bgColor rgb="FFFFC7CE"/>
        </patternFill>
      </fill>
    </dxf>
    <dxf>
      <font>
        <color rgb="FF006100"/>
      </font>
      <fill>
        <patternFill>
          <bgColor rgb="FFC6EFCE"/>
        </patternFill>
      </fill>
    </dxf>
    <dxf>
      <font>
        <b/>
        <i val="0"/>
        <color rgb="FFFF0000"/>
      </font>
    </dxf>
    <dxf>
      <font>
        <b/>
        <i val="0"/>
        <color rgb="FFFF0000"/>
      </font>
    </dxf>
    <dxf>
      <font>
        <b/>
        <i val="0"/>
      </font>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b/>
        <i val="0"/>
        <color rgb="FFFF0000"/>
      </font>
    </dxf>
    <dxf>
      <font>
        <b/>
        <i val="0"/>
        <color rgb="FFFF0000"/>
      </font>
    </dxf>
    <dxf>
      <font>
        <b/>
        <i val="0"/>
        <color rgb="FFFF0000"/>
      </font>
    </dxf>
    <dxf>
      <font>
        <b/>
        <i val="0"/>
      </font>
    </dxf>
    <dxf>
      <font>
        <b/>
        <i val="0"/>
        <color rgb="FFFF0000"/>
      </font>
    </dxf>
    <dxf>
      <font>
        <b/>
        <i val="0"/>
      </font>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b/>
        <i val="0"/>
        <color rgb="FFFF0000"/>
      </font>
    </dxf>
    <dxf>
      <font>
        <b/>
        <i val="0"/>
        <color rgb="FFFF0000"/>
      </font>
    </dxf>
    <dxf>
      <font>
        <b/>
        <i val="0"/>
        <color rgb="FFFF0000"/>
      </font>
    </dxf>
    <dxf>
      <font>
        <b/>
        <i val="0"/>
      </font>
    </dxf>
    <dxf>
      <font>
        <b/>
        <i val="0"/>
        <color rgb="FFFF0000"/>
      </font>
    </dxf>
    <dxf>
      <font>
        <b/>
        <i val="0"/>
      </font>
    </dxf>
    <dxf>
      <font>
        <color theme="9" tint="-0.24994659260841701"/>
      </font>
      <fill>
        <patternFill>
          <bgColor theme="9" tint="0.59996337778862885"/>
        </patternFill>
      </fill>
    </dxf>
    <dxf>
      <font>
        <b/>
        <i val="0"/>
        <color rgb="FFFF0000"/>
      </font>
    </dxf>
    <dxf>
      <font>
        <b/>
        <i val="0"/>
        <color rgb="FFFF0000"/>
      </font>
    </dxf>
    <dxf>
      <font>
        <b/>
        <i val="0"/>
      </font>
    </dxf>
    <dxf>
      <font>
        <color theme="9" tint="-0.24994659260841701"/>
      </font>
      <fill>
        <patternFill>
          <bgColor theme="9" tint="0.59996337778862885"/>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b/>
        <i val="0"/>
        <color rgb="FFFF0000"/>
      </font>
    </dxf>
    <dxf>
      <font>
        <b/>
        <i val="0"/>
      </font>
    </dxf>
    <dxf>
      <font>
        <b/>
        <i val="0"/>
        <color rgb="FFFF0000"/>
      </font>
    </dxf>
    <dxf>
      <font>
        <color rgb="FF006100"/>
      </font>
      <fill>
        <patternFill>
          <bgColor rgb="FFC6EFCE"/>
        </patternFill>
      </fill>
    </dxf>
    <dxf>
      <font>
        <color rgb="FF9C0006"/>
      </font>
      <fill>
        <patternFill>
          <bgColor rgb="FFFFC7CE"/>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b/>
        <i val="0"/>
      </font>
    </dxf>
    <dxf>
      <font>
        <b/>
        <i val="0"/>
        <color rgb="FFFF0000"/>
      </font>
    </dxf>
    <dxf>
      <font>
        <color theme="9" tint="-0.24994659260841701"/>
      </font>
      <fill>
        <patternFill>
          <bgColor theme="9" tint="0.59996337778862885"/>
        </patternFill>
      </fill>
    </dxf>
    <dxf>
      <font>
        <color rgb="FF9C0006"/>
      </font>
      <fill>
        <patternFill>
          <bgColor rgb="FFFFC7CE"/>
        </patternFill>
      </fill>
    </dxf>
    <dxf>
      <font>
        <color rgb="FF006100"/>
      </font>
      <fill>
        <patternFill>
          <bgColor rgb="FFC6EFCE"/>
        </patternFill>
      </fill>
    </dxf>
    <dxf>
      <font>
        <b/>
        <i val="0"/>
        <color rgb="FFFF0000"/>
      </font>
    </dxf>
    <dxf>
      <font>
        <b/>
        <i val="0"/>
        <color rgb="FFFF0000"/>
      </font>
    </dxf>
    <dxf>
      <font>
        <b/>
        <i val="0"/>
      </font>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b/>
        <i val="0"/>
        <color rgb="FFFF0000"/>
      </font>
    </dxf>
    <dxf>
      <font>
        <b/>
        <i val="0"/>
        <color rgb="FFFF0000"/>
      </font>
    </dxf>
    <dxf>
      <font>
        <b/>
        <i val="0"/>
        <color rgb="FFFF0000"/>
      </font>
    </dxf>
    <dxf>
      <font>
        <b/>
        <i val="0"/>
      </font>
    </dxf>
    <dxf>
      <font>
        <b/>
        <i val="0"/>
        <color rgb="FFFF0000"/>
      </font>
    </dxf>
    <dxf>
      <font>
        <b/>
        <i val="0"/>
      </font>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b/>
        <i val="0"/>
        <color rgb="FFFF0000"/>
      </font>
    </dxf>
    <dxf>
      <font>
        <b/>
        <i val="0"/>
        <color rgb="FFFF0000"/>
      </font>
    </dxf>
    <dxf>
      <font>
        <b/>
        <i val="0"/>
        <color rgb="FFFF0000"/>
      </font>
    </dxf>
    <dxf>
      <font>
        <b/>
        <i val="0"/>
      </font>
    </dxf>
    <dxf>
      <font>
        <b/>
        <i val="0"/>
        <color rgb="FFFF0000"/>
      </font>
    </dxf>
    <dxf>
      <font>
        <b/>
        <i val="0"/>
      </font>
    </dxf>
    <dxf>
      <font>
        <color theme="9" tint="-0.24994659260841701"/>
      </font>
      <fill>
        <patternFill>
          <bgColor theme="9" tint="0.59996337778862885"/>
        </patternFill>
      </fill>
    </dxf>
    <dxf>
      <font>
        <b/>
        <i val="0"/>
        <color rgb="FFFF0000"/>
      </font>
    </dxf>
    <dxf>
      <font>
        <b/>
        <i val="0"/>
        <color rgb="FFFF0000"/>
      </font>
    </dxf>
    <dxf>
      <font>
        <b/>
        <i val="0"/>
      </font>
    </dxf>
    <dxf>
      <font>
        <color theme="9" tint="-0.24994659260841701"/>
      </font>
      <fill>
        <patternFill>
          <bgColor theme="9" tint="0.59996337778862885"/>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b/>
        <i val="0"/>
        <color rgb="FFFF0000"/>
      </font>
    </dxf>
    <dxf>
      <font>
        <b/>
        <i val="0"/>
      </font>
    </dxf>
    <dxf>
      <font>
        <b/>
        <i val="0"/>
        <color rgb="FFFF0000"/>
      </font>
    </dxf>
    <dxf>
      <font>
        <color rgb="FF006100"/>
      </font>
      <fill>
        <patternFill>
          <bgColor rgb="FFC6EFCE"/>
        </patternFill>
      </fill>
    </dxf>
    <dxf>
      <font>
        <color rgb="FF9C0006"/>
      </font>
      <fill>
        <patternFill>
          <bgColor rgb="FFFFC7CE"/>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b/>
        <i val="0"/>
      </font>
    </dxf>
    <dxf>
      <font>
        <b/>
        <i val="0"/>
        <color rgb="FFFF0000"/>
      </font>
    </dxf>
    <dxf>
      <font>
        <color theme="9" tint="-0.24994659260841701"/>
      </font>
      <fill>
        <patternFill>
          <bgColor theme="9" tint="0.59996337778862885"/>
        </patternFill>
      </fill>
    </dxf>
    <dxf>
      <font>
        <color rgb="FF9C0006"/>
      </font>
      <fill>
        <patternFill>
          <bgColor rgb="FFFFC7CE"/>
        </patternFill>
      </fill>
    </dxf>
    <dxf>
      <font>
        <color rgb="FF006100"/>
      </font>
      <fill>
        <patternFill>
          <bgColor rgb="FFC6EFCE"/>
        </patternFill>
      </fill>
    </dxf>
    <dxf>
      <font>
        <b/>
        <i val="0"/>
        <color rgb="FFFF0000"/>
      </font>
    </dxf>
    <dxf>
      <font>
        <b/>
        <i val="0"/>
        <color rgb="FFFF0000"/>
      </font>
    </dxf>
    <dxf>
      <font>
        <b/>
        <i val="0"/>
      </font>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b/>
        <i val="0"/>
        <color rgb="FFFF0000"/>
      </font>
    </dxf>
    <dxf>
      <font>
        <b/>
        <i val="0"/>
        <color rgb="FFFF0000"/>
      </font>
    </dxf>
    <dxf>
      <font>
        <b/>
        <i val="0"/>
        <color rgb="FFFF0000"/>
      </font>
    </dxf>
    <dxf>
      <font>
        <b/>
        <i val="0"/>
      </font>
    </dxf>
    <dxf>
      <font>
        <b/>
        <i val="0"/>
        <color rgb="FFFF0000"/>
      </font>
    </dxf>
    <dxf>
      <font>
        <b/>
        <i val="0"/>
      </font>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b/>
        <i val="0"/>
        <color rgb="FFFF0000"/>
      </font>
    </dxf>
    <dxf>
      <font>
        <b/>
        <i val="0"/>
        <color rgb="FFFF0000"/>
      </font>
    </dxf>
    <dxf>
      <font>
        <b/>
        <i val="0"/>
        <color rgb="FFFF0000"/>
      </font>
    </dxf>
    <dxf>
      <font>
        <b/>
        <i val="0"/>
      </font>
    </dxf>
    <dxf>
      <font>
        <b/>
        <i val="0"/>
        <color rgb="FFFF0000"/>
      </font>
    </dxf>
    <dxf>
      <font>
        <b/>
        <i val="0"/>
      </font>
    </dxf>
    <dxf>
      <font>
        <color theme="9" tint="-0.24994659260841701"/>
      </font>
      <fill>
        <patternFill>
          <bgColor theme="9" tint="0.59996337778862885"/>
        </patternFill>
      </fill>
    </dxf>
    <dxf>
      <font>
        <b/>
        <i val="0"/>
        <color rgb="FFFF0000"/>
      </font>
    </dxf>
    <dxf>
      <font>
        <b/>
        <i val="0"/>
        <color rgb="FFFF0000"/>
      </font>
    </dxf>
    <dxf>
      <font>
        <b/>
        <i val="0"/>
      </font>
    </dxf>
    <dxf>
      <font>
        <color theme="9" tint="-0.24994659260841701"/>
      </font>
      <fill>
        <patternFill>
          <bgColor theme="9" tint="0.59996337778862885"/>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b/>
        <i val="0"/>
        <color rgb="FFFF0000"/>
      </font>
    </dxf>
    <dxf>
      <font>
        <b/>
        <i val="0"/>
      </font>
    </dxf>
    <dxf>
      <font>
        <b/>
        <i val="0"/>
        <color rgb="FFFF0000"/>
      </font>
    </dxf>
    <dxf>
      <font>
        <color rgb="FF006100"/>
      </font>
      <fill>
        <patternFill>
          <bgColor rgb="FFC6EFCE"/>
        </patternFill>
      </fill>
    </dxf>
    <dxf>
      <font>
        <color rgb="FF9C0006"/>
      </font>
      <fill>
        <patternFill>
          <bgColor rgb="FFFFC7CE"/>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b/>
        <i val="0"/>
      </font>
    </dxf>
    <dxf>
      <font>
        <b/>
        <i val="0"/>
        <color rgb="FFFF0000"/>
      </font>
    </dxf>
    <dxf>
      <font>
        <color theme="9" tint="-0.24994659260841701"/>
      </font>
      <fill>
        <patternFill>
          <bgColor theme="9" tint="0.59996337778862885"/>
        </patternFill>
      </fill>
    </dxf>
    <dxf>
      <font>
        <color rgb="FF9C0006"/>
      </font>
      <fill>
        <patternFill>
          <bgColor rgb="FFFFC7CE"/>
        </patternFill>
      </fill>
    </dxf>
    <dxf>
      <font>
        <color rgb="FF006100"/>
      </font>
      <fill>
        <patternFill>
          <bgColor rgb="FFC6EFCE"/>
        </patternFill>
      </fill>
    </dxf>
    <dxf>
      <font>
        <b/>
        <i val="0"/>
        <color rgb="FFFF0000"/>
      </font>
    </dxf>
    <dxf>
      <font>
        <b/>
        <i val="0"/>
        <color rgb="FFFF0000"/>
      </font>
    </dxf>
    <dxf>
      <font>
        <b/>
        <i val="0"/>
      </font>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b/>
        <i val="0"/>
        <color rgb="FFFF0000"/>
      </font>
    </dxf>
    <dxf>
      <font>
        <b/>
        <i val="0"/>
        <color rgb="FFFF0000"/>
      </font>
    </dxf>
    <dxf>
      <font>
        <b/>
        <i val="0"/>
        <color rgb="FFFF0000"/>
      </font>
    </dxf>
    <dxf>
      <font>
        <b/>
        <i val="0"/>
      </font>
    </dxf>
    <dxf>
      <font>
        <b/>
        <i val="0"/>
        <color rgb="FFFF0000"/>
      </font>
    </dxf>
    <dxf>
      <font>
        <b/>
        <i val="0"/>
      </font>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b/>
        <i val="0"/>
        <color rgb="FFFF0000"/>
      </font>
    </dxf>
    <dxf>
      <font>
        <b/>
        <i val="0"/>
        <color rgb="FFFF0000"/>
      </font>
    </dxf>
    <dxf>
      <font>
        <b/>
        <i val="0"/>
        <color rgb="FFFF0000"/>
      </font>
    </dxf>
    <dxf>
      <font>
        <b/>
        <i val="0"/>
      </font>
    </dxf>
    <dxf>
      <font>
        <b/>
        <i val="0"/>
        <color rgb="FFFF0000"/>
      </font>
    </dxf>
    <dxf>
      <font>
        <b/>
        <i val="0"/>
      </font>
    </dxf>
    <dxf>
      <font>
        <color theme="9" tint="-0.24994659260841701"/>
      </font>
      <fill>
        <patternFill>
          <bgColor theme="9" tint="0.59996337778862885"/>
        </patternFill>
      </fill>
    </dxf>
    <dxf>
      <font>
        <b/>
        <i val="0"/>
        <color rgb="FFFF0000"/>
      </font>
    </dxf>
    <dxf>
      <font>
        <b/>
        <i val="0"/>
        <color rgb="FFFF0000"/>
      </font>
    </dxf>
    <dxf>
      <font>
        <b/>
        <i val="0"/>
      </font>
    </dxf>
    <dxf>
      <font>
        <color theme="9" tint="-0.24994659260841701"/>
      </font>
      <fill>
        <patternFill>
          <bgColor theme="9" tint="0.59996337778862885"/>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b/>
        <i val="0"/>
        <color rgb="FFFF0000"/>
      </font>
    </dxf>
    <dxf>
      <font>
        <b/>
        <i val="0"/>
      </font>
    </dxf>
    <dxf>
      <font>
        <b/>
        <i val="0"/>
        <color rgb="FFFF0000"/>
      </font>
    </dxf>
    <dxf>
      <font>
        <color rgb="FF006100"/>
      </font>
      <fill>
        <patternFill>
          <bgColor rgb="FFC6EFCE"/>
        </patternFill>
      </fill>
    </dxf>
    <dxf>
      <font>
        <color rgb="FF9C0006"/>
      </font>
      <fill>
        <patternFill>
          <bgColor rgb="FFFFC7CE"/>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b/>
        <i val="0"/>
      </font>
    </dxf>
    <dxf>
      <font>
        <b/>
        <i val="0"/>
        <color rgb="FFFF0000"/>
      </font>
    </dxf>
    <dxf>
      <font>
        <color theme="9" tint="-0.24994659260841701"/>
      </font>
      <fill>
        <patternFill>
          <bgColor theme="9" tint="0.59996337778862885"/>
        </patternFill>
      </fill>
    </dxf>
    <dxf>
      <font>
        <color rgb="FF9C0006"/>
      </font>
      <fill>
        <patternFill>
          <bgColor rgb="FFFFC7CE"/>
        </patternFill>
      </fill>
    </dxf>
    <dxf>
      <font>
        <color rgb="FF006100"/>
      </font>
      <fill>
        <patternFill>
          <bgColor rgb="FFC6EFCE"/>
        </patternFill>
      </fill>
    </dxf>
    <dxf>
      <font>
        <b/>
        <i val="0"/>
        <color rgb="FFFF0000"/>
      </font>
    </dxf>
    <dxf>
      <font>
        <b/>
        <i val="0"/>
        <color rgb="FFFF0000"/>
      </font>
    </dxf>
    <dxf>
      <font>
        <b/>
        <i val="0"/>
      </font>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b/>
        <i val="0"/>
        <color rgb="FFFF0000"/>
      </font>
    </dxf>
    <dxf>
      <font>
        <b/>
        <i val="0"/>
        <color rgb="FFFF0000"/>
      </font>
    </dxf>
    <dxf>
      <font>
        <b/>
        <i val="0"/>
        <color rgb="FFFF0000"/>
      </font>
    </dxf>
    <dxf>
      <font>
        <b/>
        <i val="0"/>
      </font>
    </dxf>
    <dxf>
      <font>
        <b/>
        <i val="0"/>
        <color rgb="FFFF0000"/>
      </font>
    </dxf>
    <dxf>
      <font>
        <b/>
        <i val="0"/>
      </font>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b/>
        <i val="0"/>
        <color rgb="FFFF0000"/>
      </font>
    </dxf>
    <dxf>
      <font>
        <b/>
        <i val="0"/>
        <color rgb="FFFF0000"/>
      </font>
    </dxf>
    <dxf>
      <font>
        <b/>
        <i val="0"/>
        <color rgb="FFFF0000"/>
      </font>
    </dxf>
    <dxf>
      <font>
        <b/>
        <i val="0"/>
      </font>
    </dxf>
    <dxf>
      <font>
        <b/>
        <i val="0"/>
        <color rgb="FFFF0000"/>
      </font>
    </dxf>
    <dxf>
      <font>
        <b/>
        <i val="0"/>
      </font>
    </dxf>
    <dxf>
      <font>
        <color theme="9" tint="-0.24994659260841701"/>
      </font>
      <fill>
        <patternFill>
          <bgColor theme="9" tint="0.59996337778862885"/>
        </patternFill>
      </fill>
    </dxf>
    <dxf>
      <font>
        <b/>
        <i val="0"/>
        <color rgb="FFFF0000"/>
      </font>
    </dxf>
    <dxf>
      <font>
        <b/>
        <i val="0"/>
        <color rgb="FFFF0000"/>
      </font>
    </dxf>
    <dxf>
      <font>
        <b/>
        <i val="0"/>
      </font>
    </dxf>
    <dxf>
      <font>
        <color theme="9" tint="-0.24994659260841701"/>
      </font>
      <fill>
        <patternFill>
          <bgColor theme="9" tint="0.59996337778862885"/>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b/>
        <i val="0"/>
        <color rgb="FFFF0000"/>
      </font>
    </dxf>
    <dxf>
      <font>
        <b/>
        <i val="0"/>
      </font>
    </dxf>
    <dxf>
      <font>
        <b/>
        <i val="0"/>
        <color rgb="FFFF0000"/>
      </font>
    </dxf>
    <dxf>
      <font>
        <color rgb="FF006100"/>
      </font>
      <fill>
        <patternFill>
          <bgColor rgb="FFC6EFCE"/>
        </patternFill>
      </fill>
    </dxf>
    <dxf>
      <font>
        <color rgb="FF9C0006"/>
      </font>
      <fill>
        <patternFill>
          <bgColor rgb="FFFFC7CE"/>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b/>
        <i val="0"/>
      </font>
    </dxf>
    <dxf>
      <font>
        <b/>
        <i val="0"/>
        <color rgb="FFFF0000"/>
      </font>
    </dxf>
    <dxf>
      <font>
        <color theme="9" tint="-0.24994659260841701"/>
      </font>
      <fill>
        <patternFill>
          <bgColor theme="9" tint="0.59996337778862885"/>
        </patternFill>
      </fill>
    </dxf>
    <dxf>
      <font>
        <color rgb="FF9C0006"/>
      </font>
      <fill>
        <patternFill>
          <bgColor rgb="FFFFC7CE"/>
        </patternFill>
      </fill>
    </dxf>
    <dxf>
      <font>
        <color rgb="FF006100"/>
      </font>
      <fill>
        <patternFill>
          <bgColor rgb="FFC6EFCE"/>
        </patternFill>
      </fill>
    </dxf>
    <dxf>
      <font>
        <b/>
        <i val="0"/>
        <color rgb="FFFF0000"/>
      </font>
    </dxf>
    <dxf>
      <font>
        <b/>
        <i val="0"/>
        <color rgb="FFFF0000"/>
      </font>
    </dxf>
    <dxf>
      <font>
        <b/>
        <i val="0"/>
      </font>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b/>
        <i val="0"/>
        <color rgb="FFFF0000"/>
      </font>
    </dxf>
    <dxf>
      <font>
        <b/>
        <i val="0"/>
        <color rgb="FFFF0000"/>
      </font>
    </dxf>
    <dxf>
      <font>
        <b/>
        <i val="0"/>
        <color rgb="FFFF0000"/>
      </font>
    </dxf>
    <dxf>
      <font>
        <b/>
        <i val="0"/>
      </font>
    </dxf>
    <dxf>
      <font>
        <b/>
        <i val="0"/>
        <color rgb="FFFF0000"/>
      </font>
    </dxf>
    <dxf>
      <font>
        <b/>
        <i val="0"/>
      </font>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b/>
        <i val="0"/>
        <color rgb="FFFF0000"/>
      </font>
    </dxf>
    <dxf>
      <font>
        <b/>
        <i val="0"/>
        <color rgb="FFFF0000"/>
      </font>
    </dxf>
    <dxf>
      <font>
        <b/>
        <i val="0"/>
        <color rgb="FFFF0000"/>
      </font>
    </dxf>
    <dxf>
      <font>
        <b/>
        <i val="0"/>
      </font>
    </dxf>
    <dxf>
      <font>
        <b/>
        <i val="0"/>
        <color rgb="FFFF0000"/>
      </font>
    </dxf>
    <dxf>
      <font>
        <b/>
        <i val="0"/>
      </font>
    </dxf>
    <dxf>
      <font>
        <color theme="9" tint="-0.24994659260841701"/>
      </font>
      <fill>
        <patternFill>
          <bgColor theme="9" tint="0.59996337778862885"/>
        </patternFill>
      </fill>
    </dxf>
    <dxf>
      <font>
        <b/>
        <i val="0"/>
        <color rgb="FFFF0000"/>
      </font>
    </dxf>
    <dxf>
      <font>
        <b/>
        <i val="0"/>
        <color rgb="FFFF0000"/>
      </font>
    </dxf>
    <dxf>
      <font>
        <b/>
        <i val="0"/>
      </font>
    </dxf>
    <dxf>
      <font>
        <color theme="9" tint="-0.24994659260841701"/>
      </font>
      <fill>
        <patternFill>
          <bgColor theme="9" tint="0.59996337778862885"/>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b/>
        <i val="0"/>
        <color rgb="FFFF0000"/>
      </font>
    </dxf>
    <dxf>
      <font>
        <b/>
        <i val="0"/>
      </font>
    </dxf>
    <dxf>
      <font>
        <b/>
        <i val="0"/>
        <color rgb="FFFF0000"/>
      </font>
    </dxf>
    <dxf>
      <font>
        <color rgb="FF006100"/>
      </font>
      <fill>
        <patternFill>
          <bgColor rgb="FFC6EFCE"/>
        </patternFill>
      </fill>
    </dxf>
    <dxf>
      <font>
        <color rgb="FF9C0006"/>
      </font>
      <fill>
        <patternFill>
          <bgColor rgb="FFFFC7CE"/>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b/>
        <i val="0"/>
      </font>
    </dxf>
    <dxf>
      <font>
        <b/>
        <i val="0"/>
        <color rgb="FFFF0000"/>
      </font>
    </dxf>
    <dxf>
      <font>
        <color theme="9" tint="-0.24994659260841701"/>
      </font>
      <fill>
        <patternFill>
          <bgColor theme="9" tint="0.59996337778862885"/>
        </patternFill>
      </fill>
    </dxf>
    <dxf>
      <font>
        <color rgb="FF9C0006"/>
      </font>
      <fill>
        <patternFill>
          <bgColor rgb="FFFFC7CE"/>
        </patternFill>
      </fill>
    </dxf>
    <dxf>
      <font>
        <color rgb="FF006100"/>
      </font>
      <fill>
        <patternFill>
          <bgColor rgb="FFC6EFCE"/>
        </patternFill>
      </fill>
    </dxf>
    <dxf>
      <font>
        <b/>
        <i val="0"/>
        <color rgb="FFFF0000"/>
      </font>
    </dxf>
    <dxf>
      <font>
        <b/>
        <i val="0"/>
        <color rgb="FFFF0000"/>
      </font>
    </dxf>
    <dxf>
      <font>
        <b/>
        <i val="0"/>
      </font>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b/>
        <i val="0"/>
        <color rgb="FFFF0000"/>
      </font>
    </dxf>
    <dxf>
      <font>
        <b/>
        <i val="0"/>
        <color rgb="FFFF0000"/>
      </font>
    </dxf>
    <dxf>
      <font>
        <b/>
        <i val="0"/>
        <color rgb="FFFF0000"/>
      </font>
    </dxf>
    <dxf>
      <font>
        <b/>
        <i val="0"/>
      </font>
    </dxf>
    <dxf>
      <font>
        <b/>
        <i val="0"/>
        <color rgb="FFFF0000"/>
      </font>
    </dxf>
    <dxf>
      <font>
        <b/>
        <i val="0"/>
      </font>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b/>
        <i val="0"/>
        <color rgb="FFFF0000"/>
      </font>
    </dxf>
    <dxf>
      <font>
        <b/>
        <i val="0"/>
        <color rgb="FFFF0000"/>
      </font>
    </dxf>
    <dxf>
      <font>
        <b/>
        <i val="0"/>
        <color rgb="FFFF0000"/>
      </font>
    </dxf>
    <dxf>
      <font>
        <b/>
        <i val="0"/>
      </font>
    </dxf>
    <dxf>
      <font>
        <b/>
        <i val="0"/>
        <color rgb="FFFF0000"/>
      </font>
    </dxf>
    <dxf>
      <font>
        <b/>
        <i val="0"/>
      </font>
    </dxf>
    <dxf>
      <font>
        <color theme="9" tint="-0.24994659260841701"/>
      </font>
      <fill>
        <patternFill>
          <bgColor theme="9" tint="0.59996337778862885"/>
        </patternFill>
      </fill>
    </dxf>
    <dxf>
      <font>
        <b/>
        <i val="0"/>
        <color rgb="FFFF0000"/>
      </font>
    </dxf>
    <dxf>
      <font>
        <b/>
        <i val="0"/>
        <color rgb="FFFF0000"/>
      </font>
    </dxf>
    <dxf>
      <font>
        <b/>
        <i val="0"/>
      </font>
    </dxf>
    <dxf>
      <font>
        <color theme="9" tint="-0.24994659260841701"/>
      </font>
      <fill>
        <patternFill>
          <bgColor theme="9" tint="0.59996337778862885"/>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b/>
        <i val="0"/>
        <color rgb="FFFF0000"/>
      </font>
    </dxf>
    <dxf>
      <font>
        <b/>
        <i val="0"/>
      </font>
    </dxf>
    <dxf>
      <font>
        <b/>
        <i val="0"/>
        <color rgb="FFFF0000"/>
      </font>
    </dxf>
    <dxf>
      <font>
        <color rgb="FF006100"/>
      </font>
      <fill>
        <patternFill>
          <bgColor rgb="FFC6EFCE"/>
        </patternFill>
      </fill>
    </dxf>
    <dxf>
      <font>
        <color rgb="FF9C0006"/>
      </font>
      <fill>
        <patternFill>
          <bgColor rgb="FFFFC7CE"/>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b/>
        <i val="0"/>
      </font>
    </dxf>
    <dxf>
      <font>
        <b/>
        <i val="0"/>
        <color rgb="FFFF0000"/>
      </font>
    </dxf>
    <dxf>
      <font>
        <color theme="9" tint="-0.24994659260841701"/>
      </font>
      <fill>
        <patternFill>
          <bgColor theme="9" tint="0.59996337778862885"/>
        </patternFill>
      </fill>
    </dxf>
    <dxf>
      <font>
        <color rgb="FF9C0006"/>
      </font>
      <fill>
        <patternFill>
          <bgColor rgb="FFFFC7CE"/>
        </patternFill>
      </fill>
    </dxf>
    <dxf>
      <font>
        <color rgb="FF006100"/>
      </font>
      <fill>
        <patternFill>
          <bgColor rgb="FFC6EFCE"/>
        </patternFill>
      </fill>
    </dxf>
    <dxf>
      <font>
        <b/>
        <i val="0"/>
        <color rgb="FFFF0000"/>
      </font>
    </dxf>
    <dxf>
      <font>
        <b/>
        <i val="0"/>
        <color rgb="FFFF0000"/>
      </font>
    </dxf>
    <dxf>
      <font>
        <b/>
        <i val="0"/>
      </font>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b/>
        <i val="0"/>
        <color rgb="FFFF0000"/>
      </font>
    </dxf>
    <dxf>
      <font>
        <b/>
        <i val="0"/>
        <color rgb="FFFF0000"/>
      </font>
    </dxf>
    <dxf>
      <font>
        <b/>
        <i val="0"/>
        <color rgb="FFFF0000"/>
      </font>
    </dxf>
    <dxf>
      <font>
        <b/>
        <i val="0"/>
      </font>
    </dxf>
    <dxf>
      <font>
        <b/>
        <i val="0"/>
        <color rgb="FFFF0000"/>
      </font>
    </dxf>
    <dxf>
      <font>
        <b/>
        <i val="0"/>
      </font>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b/>
        <i val="0"/>
        <color rgb="FFFF0000"/>
      </font>
    </dxf>
    <dxf>
      <font>
        <b/>
        <i val="0"/>
        <color rgb="FFFF0000"/>
      </font>
    </dxf>
    <dxf>
      <font>
        <b/>
        <i val="0"/>
        <color rgb="FFFF0000"/>
      </font>
    </dxf>
    <dxf>
      <font>
        <b/>
        <i val="0"/>
      </font>
    </dxf>
    <dxf>
      <font>
        <b/>
        <i val="0"/>
        <color rgb="FFFF0000"/>
      </font>
    </dxf>
    <dxf>
      <font>
        <b/>
        <i val="0"/>
      </font>
    </dxf>
    <dxf>
      <font>
        <color theme="9" tint="-0.24994659260841701"/>
      </font>
      <fill>
        <patternFill>
          <bgColor theme="9" tint="0.59996337778862885"/>
        </patternFill>
      </fill>
    </dxf>
    <dxf>
      <font>
        <b/>
        <i val="0"/>
        <color rgb="FFFF0000"/>
      </font>
    </dxf>
    <dxf>
      <font>
        <b/>
        <i val="0"/>
        <color rgb="FFFF0000"/>
      </font>
    </dxf>
    <dxf>
      <font>
        <b/>
        <i val="0"/>
      </font>
    </dxf>
    <dxf>
      <font>
        <color theme="9" tint="-0.24994659260841701"/>
      </font>
      <fill>
        <patternFill>
          <bgColor theme="9" tint="0.59996337778862885"/>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b/>
        <i val="0"/>
        <color rgb="FFFF0000"/>
      </font>
    </dxf>
    <dxf>
      <font>
        <b/>
        <i val="0"/>
      </font>
    </dxf>
    <dxf>
      <font>
        <b/>
        <i val="0"/>
        <color rgb="FFFF0000"/>
      </font>
    </dxf>
    <dxf>
      <font>
        <color rgb="FF006100"/>
      </font>
      <fill>
        <patternFill>
          <bgColor rgb="FFC6EFCE"/>
        </patternFill>
      </fill>
    </dxf>
    <dxf>
      <font>
        <color rgb="FF9C0006"/>
      </font>
      <fill>
        <patternFill>
          <bgColor rgb="FFFFC7CE"/>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b/>
        <i val="0"/>
      </font>
    </dxf>
    <dxf>
      <font>
        <b/>
        <i val="0"/>
        <color rgb="FFFF0000"/>
      </font>
    </dxf>
    <dxf>
      <font>
        <color theme="9" tint="-0.24994659260841701"/>
      </font>
      <fill>
        <patternFill>
          <bgColor theme="9" tint="0.59996337778862885"/>
        </patternFill>
      </fill>
    </dxf>
    <dxf>
      <font>
        <color rgb="FF9C0006"/>
      </font>
      <fill>
        <patternFill>
          <bgColor rgb="FFFFC7CE"/>
        </patternFill>
      </fill>
    </dxf>
    <dxf>
      <font>
        <color rgb="FF006100"/>
      </font>
      <fill>
        <patternFill>
          <bgColor rgb="FFC6EFCE"/>
        </patternFill>
      </fill>
    </dxf>
    <dxf>
      <font>
        <b/>
        <i val="0"/>
        <color rgb="FFFF0000"/>
      </font>
    </dxf>
    <dxf>
      <font>
        <b/>
        <i val="0"/>
      </font>
    </dxf>
    <dxf>
      <font>
        <b/>
        <i val="0"/>
        <color rgb="FFFF0000"/>
      </font>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b/>
        <i val="0"/>
        <color rgb="FFFF0000"/>
      </font>
    </dxf>
    <dxf>
      <font>
        <b/>
        <i val="0"/>
      </font>
    </dxf>
    <dxf>
      <font>
        <b/>
        <i val="0"/>
        <color rgb="FFFF0000"/>
      </font>
    </dxf>
    <dxf>
      <font>
        <b/>
        <i val="0"/>
      </font>
    </dxf>
    <dxf>
      <font>
        <b/>
        <i val="0"/>
        <color rgb="FFFF0000"/>
      </font>
    </dxf>
    <dxf>
      <font>
        <b/>
        <i val="0"/>
        <color rgb="FFFF0000"/>
      </font>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b/>
        <i val="0"/>
        <color rgb="FFFF0000"/>
      </font>
    </dxf>
    <dxf>
      <font>
        <b/>
        <i val="0"/>
      </font>
    </dxf>
    <dxf>
      <font>
        <b/>
        <i val="0"/>
        <color rgb="FFFF0000"/>
      </font>
    </dxf>
    <dxf>
      <font>
        <b/>
        <i val="0"/>
      </font>
    </dxf>
    <dxf>
      <font>
        <b/>
        <i val="0"/>
        <color rgb="FFFF0000"/>
      </font>
    </dxf>
    <dxf>
      <font>
        <b/>
        <i val="0"/>
        <color rgb="FFFF0000"/>
      </font>
    </dxf>
    <dxf>
      <font>
        <color theme="9" tint="-0.24994659260841701"/>
      </font>
      <fill>
        <patternFill>
          <bgColor theme="9" tint="0.59996337778862885"/>
        </patternFill>
      </fill>
    </dxf>
    <dxf>
      <font>
        <b/>
        <i val="0"/>
        <color rgb="FFFF0000"/>
      </font>
    </dxf>
    <dxf>
      <font>
        <b/>
        <i val="0"/>
      </font>
    </dxf>
    <dxf>
      <font>
        <b/>
        <i val="0"/>
        <color rgb="FFFF0000"/>
      </font>
    </dxf>
    <dxf>
      <font>
        <color theme="9" tint="-0.24994659260841701"/>
      </font>
      <fill>
        <patternFill>
          <bgColor theme="9" tint="0.59996337778862885"/>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b/>
        <i val="0"/>
        <color rgb="FFFF0000"/>
      </font>
    </dxf>
    <dxf>
      <font>
        <b/>
        <i val="0"/>
      </font>
    </dxf>
    <dxf>
      <font>
        <b/>
        <i val="0"/>
        <color rgb="FFFF0000"/>
      </font>
    </dxf>
    <dxf>
      <font>
        <color rgb="FF006100"/>
      </font>
      <fill>
        <patternFill>
          <bgColor rgb="FFC6EFCE"/>
        </patternFill>
      </fill>
    </dxf>
    <dxf>
      <font>
        <color rgb="FF9C0006"/>
      </font>
      <fill>
        <patternFill>
          <bgColor rgb="FFFFC7CE"/>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b/>
        <i val="0"/>
      </font>
    </dxf>
    <dxf>
      <font>
        <b/>
        <i val="0"/>
        <color rgb="FFFF0000"/>
      </font>
    </dxf>
    <dxf>
      <font>
        <color theme="9" tint="-0.24994659260841701"/>
      </font>
      <fill>
        <patternFill>
          <bgColor theme="9" tint="0.59996337778862885"/>
        </patternFill>
      </fill>
    </dxf>
    <dxf>
      <font>
        <color rgb="FF9C0006"/>
      </font>
      <fill>
        <patternFill>
          <bgColor rgb="FFFFC7CE"/>
        </patternFill>
      </fill>
    </dxf>
    <dxf>
      <font>
        <color rgb="FF006100"/>
      </font>
      <fill>
        <patternFill>
          <bgColor rgb="FFC6EFCE"/>
        </patternFill>
      </fill>
    </dxf>
    <dxf>
      <font>
        <b/>
        <i val="0"/>
        <color rgb="FFFF0000"/>
      </font>
    </dxf>
    <dxf>
      <font>
        <b/>
        <i val="0"/>
      </font>
    </dxf>
    <dxf>
      <font>
        <b/>
        <i val="0"/>
        <color rgb="FFFF0000"/>
      </font>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b/>
        <i val="0"/>
        <color rgb="FFFF0000"/>
      </font>
    </dxf>
    <dxf>
      <font>
        <b/>
        <i val="0"/>
      </font>
    </dxf>
    <dxf>
      <font>
        <b/>
        <i val="0"/>
        <color rgb="FFFF0000"/>
      </font>
    </dxf>
    <dxf>
      <font>
        <b/>
        <i val="0"/>
      </font>
    </dxf>
    <dxf>
      <font>
        <b/>
        <i val="0"/>
        <color rgb="FFFF0000"/>
      </font>
    </dxf>
    <dxf>
      <font>
        <b/>
        <i val="0"/>
        <color rgb="FFFF0000"/>
      </font>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b/>
        <i val="0"/>
        <color rgb="FFFF0000"/>
      </font>
    </dxf>
    <dxf>
      <font>
        <b/>
        <i val="0"/>
      </font>
    </dxf>
    <dxf>
      <font>
        <b/>
        <i val="0"/>
        <color rgb="FFFF0000"/>
      </font>
    </dxf>
    <dxf>
      <font>
        <b/>
        <i val="0"/>
      </font>
    </dxf>
    <dxf>
      <font>
        <b/>
        <i val="0"/>
        <color rgb="FFFF0000"/>
      </font>
    </dxf>
    <dxf>
      <font>
        <b/>
        <i val="0"/>
        <color rgb="FFFF0000"/>
      </font>
    </dxf>
    <dxf>
      <font>
        <color theme="9" tint="-0.24994659260841701"/>
      </font>
      <fill>
        <patternFill>
          <bgColor theme="9" tint="0.59996337778862885"/>
        </patternFill>
      </fill>
    </dxf>
    <dxf>
      <font>
        <b/>
        <i val="0"/>
        <color rgb="FFFF0000"/>
      </font>
    </dxf>
    <dxf>
      <font>
        <b/>
        <i val="0"/>
      </font>
    </dxf>
    <dxf>
      <font>
        <b/>
        <i val="0"/>
        <color rgb="FFFF0000"/>
      </font>
    </dxf>
    <dxf>
      <font>
        <color theme="9" tint="-0.24994659260841701"/>
      </font>
      <fill>
        <patternFill>
          <bgColor theme="9" tint="0.59996337778862885"/>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b/>
        <i val="0"/>
        <color rgb="FFFF0000"/>
      </font>
    </dxf>
    <dxf>
      <font>
        <b/>
        <i val="0"/>
      </font>
    </dxf>
    <dxf>
      <font>
        <b/>
        <i val="0"/>
        <color rgb="FFFF0000"/>
      </font>
    </dxf>
    <dxf>
      <font>
        <color rgb="FF006100"/>
      </font>
      <fill>
        <patternFill>
          <bgColor rgb="FFC6EFCE"/>
        </patternFill>
      </fill>
    </dxf>
    <dxf>
      <font>
        <color rgb="FF9C0006"/>
      </font>
      <fill>
        <patternFill>
          <bgColor rgb="FFFFC7CE"/>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b/>
        <i val="0"/>
      </font>
    </dxf>
    <dxf>
      <font>
        <b/>
        <i val="0"/>
        <color rgb="FFFF0000"/>
      </font>
    </dxf>
    <dxf>
      <font>
        <color theme="9" tint="-0.24994659260841701"/>
      </font>
      <fill>
        <patternFill>
          <bgColor theme="9" tint="0.59996337778862885"/>
        </patternFill>
      </fill>
    </dxf>
    <dxf>
      <font>
        <color rgb="FF9C0006"/>
      </font>
      <fill>
        <patternFill>
          <bgColor rgb="FFFFC7CE"/>
        </patternFill>
      </fill>
    </dxf>
    <dxf>
      <font>
        <color rgb="FF006100"/>
      </font>
      <fill>
        <patternFill>
          <bgColor rgb="FFC6EFCE"/>
        </patternFill>
      </fill>
    </dxf>
    <dxf>
      <font>
        <b/>
        <i val="0"/>
        <color rgb="FFFF0000"/>
      </font>
    </dxf>
    <dxf>
      <font>
        <b/>
        <i val="0"/>
      </font>
    </dxf>
    <dxf>
      <font>
        <b/>
        <i val="0"/>
        <color rgb="FFFF0000"/>
      </font>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b/>
        <i val="0"/>
        <color rgb="FFFF0000"/>
      </font>
    </dxf>
    <dxf>
      <font>
        <b/>
        <i val="0"/>
      </font>
    </dxf>
    <dxf>
      <font>
        <b/>
        <i val="0"/>
        <color rgb="FFFF0000"/>
      </font>
    </dxf>
    <dxf>
      <font>
        <b/>
        <i val="0"/>
      </font>
    </dxf>
    <dxf>
      <font>
        <b/>
        <i val="0"/>
        <color rgb="FFFF0000"/>
      </font>
    </dxf>
    <dxf>
      <font>
        <b/>
        <i val="0"/>
        <color rgb="FFFF0000"/>
      </font>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b/>
        <i val="0"/>
        <color rgb="FFFF0000"/>
      </font>
    </dxf>
    <dxf>
      <font>
        <b/>
        <i val="0"/>
      </font>
    </dxf>
    <dxf>
      <font>
        <b/>
        <i val="0"/>
        <color rgb="FFFF0000"/>
      </font>
    </dxf>
    <dxf>
      <font>
        <b/>
        <i val="0"/>
      </font>
    </dxf>
    <dxf>
      <font>
        <b/>
        <i val="0"/>
        <color rgb="FFFF0000"/>
      </font>
    </dxf>
    <dxf>
      <font>
        <b/>
        <i val="0"/>
        <color rgb="FFFF0000"/>
      </font>
    </dxf>
    <dxf>
      <font>
        <color theme="9" tint="-0.24994659260841701"/>
      </font>
      <fill>
        <patternFill>
          <bgColor theme="9" tint="0.59996337778862885"/>
        </patternFill>
      </fill>
    </dxf>
    <dxf>
      <font>
        <b/>
        <i val="0"/>
        <color rgb="FFFF0000"/>
      </font>
    </dxf>
    <dxf>
      <font>
        <b/>
        <i val="0"/>
      </font>
    </dxf>
    <dxf>
      <font>
        <b/>
        <i val="0"/>
        <color rgb="FFFF0000"/>
      </font>
    </dxf>
    <dxf>
      <font>
        <color theme="9" tint="-0.24994659260841701"/>
      </font>
      <fill>
        <patternFill>
          <bgColor theme="9" tint="0.59996337778862885"/>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b/>
        <i val="0"/>
        <color rgb="FFFF0000"/>
      </font>
    </dxf>
    <dxf>
      <font>
        <b/>
        <i val="0"/>
      </font>
    </dxf>
    <dxf>
      <font>
        <b/>
        <i val="0"/>
        <color rgb="FFFF0000"/>
      </font>
    </dxf>
    <dxf>
      <font>
        <color rgb="FF006100"/>
      </font>
      <fill>
        <patternFill>
          <bgColor rgb="FFC6EFCE"/>
        </patternFill>
      </fill>
    </dxf>
    <dxf>
      <font>
        <color rgb="FF9C0006"/>
      </font>
      <fill>
        <patternFill>
          <bgColor rgb="FFFFC7CE"/>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b/>
        <i val="0"/>
      </font>
    </dxf>
    <dxf>
      <font>
        <b/>
        <i val="0"/>
        <color rgb="FFFF0000"/>
      </font>
    </dxf>
    <dxf>
      <font>
        <color theme="9" tint="-0.24994659260841701"/>
      </font>
      <fill>
        <patternFill>
          <bgColor theme="9" tint="0.59996337778862885"/>
        </patternFill>
      </fill>
    </dxf>
    <dxf>
      <font>
        <color rgb="FF9C0006"/>
      </font>
      <fill>
        <patternFill>
          <bgColor rgb="FFFFC7CE"/>
        </patternFill>
      </fill>
    </dxf>
    <dxf>
      <font>
        <color rgb="FF006100"/>
      </font>
      <fill>
        <patternFill>
          <bgColor rgb="FFC6EFCE"/>
        </patternFill>
      </fill>
    </dxf>
    <dxf>
      <font>
        <b/>
        <i val="0"/>
        <color rgb="FFFF0000"/>
      </font>
    </dxf>
    <dxf>
      <font>
        <b/>
        <i val="0"/>
      </font>
    </dxf>
    <dxf>
      <font>
        <b/>
        <i val="0"/>
        <color rgb="FFFF0000"/>
      </font>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b/>
        <i val="0"/>
        <color rgb="FFFF0000"/>
      </font>
    </dxf>
    <dxf>
      <font>
        <b/>
        <i val="0"/>
      </font>
    </dxf>
    <dxf>
      <font>
        <b/>
        <i val="0"/>
        <color rgb="FFFF0000"/>
      </font>
    </dxf>
    <dxf>
      <font>
        <b/>
        <i val="0"/>
      </font>
    </dxf>
    <dxf>
      <font>
        <b/>
        <i val="0"/>
        <color rgb="FFFF0000"/>
      </font>
    </dxf>
    <dxf>
      <font>
        <b/>
        <i val="0"/>
        <color rgb="FFFF0000"/>
      </font>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b/>
        <i val="0"/>
        <color rgb="FFFF0000"/>
      </font>
    </dxf>
    <dxf>
      <font>
        <b/>
        <i val="0"/>
      </font>
    </dxf>
    <dxf>
      <font>
        <b/>
        <i val="0"/>
        <color rgb="FFFF0000"/>
      </font>
    </dxf>
    <dxf>
      <font>
        <b/>
        <i val="0"/>
      </font>
    </dxf>
    <dxf>
      <font>
        <b/>
        <i val="0"/>
        <color rgb="FFFF0000"/>
      </font>
    </dxf>
    <dxf>
      <font>
        <b/>
        <i val="0"/>
        <color rgb="FFFF0000"/>
      </font>
    </dxf>
    <dxf>
      <font>
        <color theme="9" tint="-0.24994659260841701"/>
      </font>
      <fill>
        <patternFill>
          <bgColor theme="9" tint="0.59996337778862885"/>
        </patternFill>
      </fill>
    </dxf>
    <dxf>
      <font>
        <b/>
        <i val="0"/>
        <color rgb="FFFF0000"/>
      </font>
    </dxf>
    <dxf>
      <font>
        <b/>
        <i val="0"/>
      </font>
    </dxf>
    <dxf>
      <font>
        <b/>
        <i val="0"/>
        <color rgb="FFFF0000"/>
      </font>
    </dxf>
    <dxf>
      <font>
        <color theme="9" tint="-0.24994659260841701"/>
      </font>
      <fill>
        <patternFill>
          <bgColor theme="9" tint="0.59996337778862885"/>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b/>
        <i val="0"/>
        <color rgb="FFFF0000"/>
      </font>
    </dxf>
    <dxf>
      <font>
        <b/>
        <i val="0"/>
      </font>
    </dxf>
    <dxf>
      <font>
        <b/>
        <i val="0"/>
        <color rgb="FFFF0000"/>
      </font>
    </dxf>
    <dxf>
      <font>
        <color rgb="FF006100"/>
      </font>
      <fill>
        <patternFill>
          <bgColor rgb="FFC6EFCE"/>
        </patternFill>
      </fill>
    </dxf>
    <dxf>
      <font>
        <color rgb="FF9C0006"/>
      </font>
      <fill>
        <patternFill>
          <bgColor rgb="FFFFC7CE"/>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b/>
        <i val="0"/>
      </font>
    </dxf>
    <dxf>
      <font>
        <b/>
        <i val="0"/>
        <color rgb="FFFF0000"/>
      </font>
    </dxf>
    <dxf>
      <font>
        <color theme="9" tint="-0.24994659260841701"/>
      </font>
      <fill>
        <patternFill>
          <bgColor theme="9" tint="0.59996337778862885"/>
        </patternFill>
      </fill>
    </dxf>
    <dxf>
      <font>
        <color rgb="FF9C0006"/>
      </font>
      <fill>
        <patternFill>
          <bgColor rgb="FFFFC7CE"/>
        </patternFill>
      </fill>
    </dxf>
    <dxf>
      <font>
        <color rgb="FF006100"/>
      </font>
      <fill>
        <patternFill>
          <bgColor rgb="FFC6EFCE"/>
        </patternFill>
      </fill>
    </dxf>
    <dxf>
      <font>
        <b/>
        <i val="0"/>
        <color rgb="FFFF0000"/>
      </font>
    </dxf>
    <dxf>
      <font>
        <b/>
        <i val="0"/>
      </font>
    </dxf>
    <dxf>
      <font>
        <b/>
        <i val="0"/>
        <color rgb="FFFF0000"/>
      </font>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b/>
        <i val="0"/>
        <color rgb="FFFF0000"/>
      </font>
    </dxf>
    <dxf>
      <font>
        <b/>
        <i val="0"/>
      </font>
    </dxf>
    <dxf>
      <font>
        <b/>
        <i val="0"/>
        <color rgb="FFFF0000"/>
      </font>
    </dxf>
    <dxf>
      <font>
        <b/>
        <i val="0"/>
      </font>
    </dxf>
    <dxf>
      <font>
        <b/>
        <i val="0"/>
        <color rgb="FFFF0000"/>
      </font>
    </dxf>
    <dxf>
      <font>
        <b/>
        <i val="0"/>
        <color rgb="FFFF0000"/>
      </font>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b/>
        <i val="0"/>
        <color rgb="FFFF0000"/>
      </font>
    </dxf>
    <dxf>
      <font>
        <b/>
        <i val="0"/>
      </font>
    </dxf>
    <dxf>
      <font>
        <b/>
        <i val="0"/>
        <color rgb="FFFF0000"/>
      </font>
    </dxf>
    <dxf>
      <font>
        <b/>
        <i val="0"/>
      </font>
    </dxf>
    <dxf>
      <font>
        <b/>
        <i val="0"/>
        <color rgb="FFFF0000"/>
      </font>
    </dxf>
    <dxf>
      <font>
        <b/>
        <i val="0"/>
        <color rgb="FFFF0000"/>
      </font>
    </dxf>
    <dxf>
      <font>
        <color theme="9" tint="-0.24994659260841701"/>
      </font>
      <fill>
        <patternFill>
          <bgColor theme="9" tint="0.59996337778862885"/>
        </patternFill>
      </fill>
    </dxf>
    <dxf>
      <font>
        <b/>
        <i val="0"/>
        <color rgb="FFFF0000"/>
      </font>
    </dxf>
    <dxf>
      <font>
        <b/>
        <i val="0"/>
      </font>
    </dxf>
    <dxf>
      <font>
        <b/>
        <i val="0"/>
        <color rgb="FFFF0000"/>
      </font>
    </dxf>
    <dxf>
      <font>
        <color theme="9" tint="-0.24994659260841701"/>
      </font>
      <fill>
        <patternFill>
          <bgColor theme="9" tint="0.59996337778862885"/>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b/>
        <i val="0"/>
        <color rgb="FFFF0000"/>
      </font>
    </dxf>
    <dxf>
      <font>
        <b/>
        <i val="0"/>
      </font>
    </dxf>
    <dxf>
      <font>
        <b/>
        <i val="0"/>
        <color rgb="FFFF0000"/>
      </font>
    </dxf>
    <dxf>
      <font>
        <color rgb="FF006100"/>
      </font>
      <fill>
        <patternFill>
          <bgColor rgb="FFC6EFCE"/>
        </patternFill>
      </fill>
    </dxf>
    <dxf>
      <font>
        <color rgb="FF9C0006"/>
      </font>
      <fill>
        <patternFill>
          <bgColor rgb="FFFFC7CE"/>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b/>
        <i val="0"/>
      </font>
    </dxf>
    <dxf>
      <font>
        <b/>
        <i val="0"/>
        <color rgb="FFFF0000"/>
      </font>
    </dxf>
    <dxf>
      <font>
        <color theme="9" tint="-0.24994659260841701"/>
      </font>
      <fill>
        <patternFill>
          <bgColor theme="9" tint="0.59996337778862885"/>
        </patternFill>
      </fill>
    </dxf>
    <dxf>
      <font>
        <color rgb="FF9C0006"/>
      </font>
      <fill>
        <patternFill>
          <bgColor rgb="FFFFC7CE"/>
        </patternFill>
      </fill>
    </dxf>
    <dxf>
      <font>
        <color rgb="FF006100"/>
      </font>
      <fill>
        <patternFill>
          <bgColor rgb="FFC6EFCE"/>
        </patternFill>
      </fill>
    </dxf>
    <dxf>
      <font>
        <b/>
        <i val="0"/>
        <color rgb="FFFF0000"/>
      </font>
    </dxf>
    <dxf>
      <font>
        <b/>
        <i val="0"/>
      </font>
    </dxf>
    <dxf>
      <font>
        <b/>
        <i val="0"/>
        <color rgb="FFFF0000"/>
      </font>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b/>
        <i val="0"/>
        <color rgb="FFFF0000"/>
      </font>
    </dxf>
    <dxf>
      <font>
        <b/>
        <i val="0"/>
      </font>
    </dxf>
    <dxf>
      <font>
        <b/>
        <i val="0"/>
        <color rgb="FFFF0000"/>
      </font>
    </dxf>
    <dxf>
      <font>
        <b/>
        <i val="0"/>
      </font>
    </dxf>
    <dxf>
      <font>
        <b/>
        <i val="0"/>
        <color rgb="FFFF0000"/>
      </font>
    </dxf>
    <dxf>
      <font>
        <b/>
        <i val="0"/>
        <color rgb="FFFF0000"/>
      </font>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b/>
        <i val="0"/>
        <color rgb="FFFF0000"/>
      </font>
    </dxf>
    <dxf>
      <font>
        <b/>
        <i val="0"/>
      </font>
    </dxf>
    <dxf>
      <font>
        <b/>
        <i val="0"/>
        <color rgb="FFFF0000"/>
      </font>
    </dxf>
    <dxf>
      <font>
        <b/>
        <i val="0"/>
      </font>
    </dxf>
    <dxf>
      <font>
        <b/>
        <i val="0"/>
        <color rgb="FFFF0000"/>
      </font>
    </dxf>
    <dxf>
      <font>
        <b/>
        <i val="0"/>
        <color rgb="FFFF0000"/>
      </font>
    </dxf>
    <dxf>
      <font>
        <color theme="9" tint="-0.24994659260841701"/>
      </font>
      <fill>
        <patternFill>
          <bgColor theme="9" tint="0.59996337778862885"/>
        </patternFill>
      </fill>
    </dxf>
    <dxf>
      <font>
        <b/>
        <i val="0"/>
        <color rgb="FFFF0000"/>
      </font>
    </dxf>
    <dxf>
      <font>
        <b/>
        <i val="0"/>
      </font>
    </dxf>
    <dxf>
      <font>
        <b/>
        <i val="0"/>
        <color rgb="FFFF0000"/>
      </font>
    </dxf>
    <dxf>
      <font>
        <color theme="9" tint="-0.24994659260841701"/>
      </font>
      <fill>
        <patternFill>
          <bgColor theme="9" tint="0.59996337778862885"/>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b/>
        <i val="0"/>
        <color rgb="FFFF0000"/>
      </font>
    </dxf>
    <dxf>
      <font>
        <b/>
        <i val="0"/>
      </font>
    </dxf>
    <dxf>
      <font>
        <b/>
        <i val="0"/>
        <color rgb="FFFF0000"/>
      </font>
    </dxf>
    <dxf>
      <font>
        <color rgb="FF006100"/>
      </font>
      <fill>
        <patternFill>
          <bgColor rgb="FFC6EFCE"/>
        </patternFill>
      </fill>
    </dxf>
    <dxf>
      <font>
        <color rgb="FF9C0006"/>
      </font>
      <fill>
        <patternFill>
          <bgColor rgb="FFFFC7CE"/>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b/>
        <i val="0"/>
      </font>
    </dxf>
    <dxf>
      <font>
        <b/>
        <i val="0"/>
        <color rgb="FFFF0000"/>
      </font>
    </dxf>
    <dxf>
      <font>
        <color theme="9" tint="-0.24994659260841701"/>
      </font>
      <fill>
        <patternFill>
          <bgColor theme="9" tint="0.59996337778862885"/>
        </patternFill>
      </fill>
    </dxf>
    <dxf>
      <font>
        <color rgb="FF9C0006"/>
      </font>
      <fill>
        <patternFill>
          <bgColor rgb="FFFFC7CE"/>
        </patternFill>
      </fill>
    </dxf>
    <dxf>
      <font>
        <color rgb="FF006100"/>
      </font>
      <fill>
        <patternFill>
          <bgColor rgb="FFC6EFCE"/>
        </patternFill>
      </fill>
    </dxf>
    <dxf>
      <font>
        <b/>
        <i val="0"/>
        <color rgb="FFFF0000"/>
      </font>
    </dxf>
    <dxf>
      <font>
        <b/>
        <i val="0"/>
      </font>
    </dxf>
    <dxf>
      <font>
        <b/>
        <i val="0"/>
        <color rgb="FFFF0000"/>
      </font>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b/>
        <i val="0"/>
        <color rgb="FFFF0000"/>
      </font>
    </dxf>
    <dxf>
      <font>
        <b/>
        <i val="0"/>
      </font>
    </dxf>
    <dxf>
      <font>
        <b/>
        <i val="0"/>
        <color rgb="FFFF0000"/>
      </font>
    </dxf>
    <dxf>
      <font>
        <b/>
        <i val="0"/>
      </font>
    </dxf>
    <dxf>
      <font>
        <b/>
        <i val="0"/>
        <color rgb="FFFF0000"/>
      </font>
    </dxf>
    <dxf>
      <font>
        <b/>
        <i val="0"/>
        <color rgb="FFFF0000"/>
      </font>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b/>
        <i val="0"/>
        <color rgb="FFFF0000"/>
      </font>
    </dxf>
    <dxf>
      <font>
        <b/>
        <i val="0"/>
      </font>
    </dxf>
    <dxf>
      <font>
        <b/>
        <i val="0"/>
        <color rgb="FFFF0000"/>
      </font>
    </dxf>
    <dxf>
      <font>
        <b/>
        <i val="0"/>
      </font>
    </dxf>
    <dxf>
      <font>
        <b/>
        <i val="0"/>
        <color rgb="FFFF0000"/>
      </font>
    </dxf>
    <dxf>
      <font>
        <b/>
        <i val="0"/>
        <color rgb="FFFF0000"/>
      </font>
    </dxf>
    <dxf>
      <font>
        <color theme="9" tint="-0.24994659260841701"/>
      </font>
      <fill>
        <patternFill>
          <bgColor theme="9" tint="0.59996337778862885"/>
        </patternFill>
      </fill>
    </dxf>
    <dxf>
      <font>
        <b/>
        <i val="0"/>
        <color rgb="FFFF0000"/>
      </font>
    </dxf>
    <dxf>
      <font>
        <b/>
        <i val="0"/>
      </font>
    </dxf>
    <dxf>
      <font>
        <b/>
        <i val="0"/>
        <color rgb="FFFF0000"/>
      </font>
    </dxf>
    <dxf>
      <font>
        <color theme="9" tint="-0.24994659260841701"/>
      </font>
      <fill>
        <patternFill>
          <bgColor theme="9" tint="0.59996337778862885"/>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b/>
        <i val="0"/>
        <color rgb="FFFF0000"/>
      </font>
    </dxf>
    <dxf>
      <font>
        <b/>
        <i val="0"/>
      </font>
    </dxf>
    <dxf>
      <font>
        <b/>
        <i val="0"/>
        <color rgb="FFFF0000"/>
      </font>
    </dxf>
    <dxf>
      <font>
        <color rgb="FF006100"/>
      </font>
      <fill>
        <patternFill>
          <bgColor rgb="FFC6EFCE"/>
        </patternFill>
      </fill>
    </dxf>
    <dxf>
      <font>
        <color rgb="FF9C0006"/>
      </font>
      <fill>
        <patternFill>
          <bgColor rgb="FFFFC7CE"/>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b/>
        <i val="0"/>
      </font>
    </dxf>
    <dxf>
      <font>
        <b/>
        <i val="0"/>
        <color rgb="FFFF0000"/>
      </font>
    </dxf>
    <dxf>
      <font>
        <color theme="9" tint="-0.24994659260841701"/>
      </font>
      <fill>
        <patternFill>
          <bgColor theme="9" tint="0.59996337778862885"/>
        </patternFill>
      </fill>
    </dxf>
    <dxf>
      <font>
        <color rgb="FF9C0006"/>
      </font>
      <fill>
        <patternFill>
          <bgColor rgb="FFFFC7CE"/>
        </patternFill>
      </fill>
    </dxf>
    <dxf>
      <font>
        <color rgb="FF006100"/>
      </font>
      <fill>
        <patternFill>
          <bgColor rgb="FFC6EFCE"/>
        </patternFill>
      </fill>
    </dxf>
    <dxf>
      <font>
        <b/>
        <i val="0"/>
        <color rgb="FFFF0000"/>
      </font>
    </dxf>
    <dxf>
      <font>
        <b/>
        <i val="0"/>
      </font>
    </dxf>
    <dxf>
      <font>
        <b/>
        <i val="0"/>
        <color rgb="FFFF0000"/>
      </font>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b/>
        <i val="0"/>
        <color rgb="FFFF0000"/>
      </font>
    </dxf>
    <dxf>
      <font>
        <b/>
        <i val="0"/>
      </font>
    </dxf>
    <dxf>
      <font>
        <b/>
        <i val="0"/>
        <color rgb="FFFF0000"/>
      </font>
    </dxf>
    <dxf>
      <font>
        <b/>
        <i val="0"/>
      </font>
    </dxf>
    <dxf>
      <font>
        <b/>
        <i val="0"/>
        <color rgb="FFFF0000"/>
      </font>
    </dxf>
    <dxf>
      <font>
        <b/>
        <i val="0"/>
        <color rgb="FFFF0000"/>
      </font>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b/>
        <i val="0"/>
        <color rgb="FFFF0000"/>
      </font>
    </dxf>
    <dxf>
      <font>
        <b/>
        <i val="0"/>
      </font>
    </dxf>
    <dxf>
      <font>
        <b/>
        <i val="0"/>
        <color rgb="FFFF0000"/>
      </font>
    </dxf>
    <dxf>
      <font>
        <b/>
        <i val="0"/>
      </font>
    </dxf>
    <dxf>
      <font>
        <b/>
        <i val="0"/>
        <color rgb="FFFF0000"/>
      </font>
    </dxf>
    <dxf>
      <font>
        <b/>
        <i val="0"/>
        <color rgb="FFFF0000"/>
      </font>
    </dxf>
    <dxf>
      <font>
        <color theme="9" tint="-0.24994659260841701"/>
      </font>
      <fill>
        <patternFill>
          <bgColor theme="9" tint="0.59996337778862885"/>
        </patternFill>
      </fill>
    </dxf>
    <dxf>
      <font>
        <b/>
        <i val="0"/>
        <color rgb="FFFF0000"/>
      </font>
    </dxf>
    <dxf>
      <font>
        <b/>
        <i val="0"/>
      </font>
    </dxf>
    <dxf>
      <font>
        <b/>
        <i val="0"/>
        <color rgb="FFFF0000"/>
      </font>
    </dxf>
    <dxf>
      <font>
        <color theme="9" tint="-0.24994659260841701"/>
      </font>
      <fill>
        <patternFill>
          <bgColor theme="9" tint="0.59996337778862885"/>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b/>
        <i val="0"/>
        <color rgb="FFFF0000"/>
      </font>
    </dxf>
    <dxf>
      <font>
        <b/>
        <i val="0"/>
      </font>
    </dxf>
    <dxf>
      <font>
        <b/>
        <i val="0"/>
        <color rgb="FFFF0000"/>
      </font>
    </dxf>
    <dxf>
      <font>
        <color rgb="FF006100"/>
      </font>
      <fill>
        <patternFill>
          <bgColor rgb="FFC6EFCE"/>
        </patternFill>
      </fill>
    </dxf>
    <dxf>
      <font>
        <color rgb="FF9C0006"/>
      </font>
      <fill>
        <patternFill>
          <bgColor rgb="FFFFC7CE"/>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b/>
        <i val="0"/>
      </font>
    </dxf>
    <dxf>
      <font>
        <b/>
        <i val="0"/>
        <color rgb="FFFF0000"/>
      </font>
    </dxf>
    <dxf>
      <font>
        <color theme="9" tint="-0.24994659260841701"/>
      </font>
      <fill>
        <patternFill>
          <bgColor theme="9" tint="0.59996337778862885"/>
        </patternFill>
      </fill>
    </dxf>
    <dxf>
      <font>
        <color rgb="FF9C0006"/>
      </font>
      <fill>
        <patternFill>
          <bgColor rgb="FFFFC7CE"/>
        </patternFill>
      </fill>
    </dxf>
    <dxf>
      <font>
        <color rgb="FF006100"/>
      </font>
      <fill>
        <patternFill>
          <bgColor rgb="FFC6EFCE"/>
        </patternFill>
      </fill>
    </dxf>
    <dxf>
      <font>
        <b/>
        <i val="0"/>
        <color rgb="FFFF0000"/>
      </font>
    </dxf>
    <dxf>
      <font>
        <b/>
        <i val="0"/>
      </font>
    </dxf>
    <dxf>
      <font>
        <b/>
        <i val="0"/>
        <color rgb="FFFF0000"/>
      </font>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b/>
        <i val="0"/>
        <color rgb="FFFF0000"/>
      </font>
    </dxf>
    <dxf>
      <font>
        <b/>
        <i val="0"/>
      </font>
    </dxf>
    <dxf>
      <font>
        <b/>
        <i val="0"/>
        <color rgb="FFFF0000"/>
      </font>
    </dxf>
    <dxf>
      <font>
        <b/>
        <i val="0"/>
      </font>
    </dxf>
    <dxf>
      <font>
        <b/>
        <i val="0"/>
        <color rgb="FFFF0000"/>
      </font>
    </dxf>
    <dxf>
      <font>
        <b/>
        <i val="0"/>
        <color rgb="FFFF0000"/>
      </font>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b/>
        <i val="0"/>
        <color rgb="FFFF0000"/>
      </font>
    </dxf>
    <dxf>
      <font>
        <b/>
        <i val="0"/>
      </font>
    </dxf>
    <dxf>
      <font>
        <b/>
        <i val="0"/>
        <color rgb="FFFF0000"/>
      </font>
    </dxf>
    <dxf>
      <font>
        <b/>
        <i val="0"/>
      </font>
    </dxf>
    <dxf>
      <font>
        <b/>
        <i val="0"/>
        <color rgb="FFFF0000"/>
      </font>
    </dxf>
    <dxf>
      <font>
        <b/>
        <i val="0"/>
        <color rgb="FFFF0000"/>
      </font>
    </dxf>
    <dxf>
      <font>
        <color theme="9" tint="-0.24994659260841701"/>
      </font>
      <fill>
        <patternFill>
          <bgColor theme="9" tint="0.59996337778862885"/>
        </patternFill>
      </fill>
    </dxf>
    <dxf>
      <font>
        <b/>
        <i val="0"/>
        <color rgb="FFFF0000"/>
      </font>
    </dxf>
    <dxf>
      <font>
        <b/>
        <i val="0"/>
      </font>
    </dxf>
    <dxf>
      <font>
        <b/>
        <i val="0"/>
        <color rgb="FFFF0000"/>
      </font>
    </dxf>
    <dxf>
      <font>
        <color theme="9" tint="-0.24994659260841701"/>
      </font>
      <fill>
        <patternFill>
          <bgColor theme="9" tint="0.59996337778862885"/>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b/>
        <i val="0"/>
        <color rgb="FFFF0000"/>
      </font>
    </dxf>
    <dxf>
      <font>
        <b/>
        <i val="0"/>
      </font>
    </dxf>
    <dxf>
      <font>
        <b/>
        <i val="0"/>
        <color rgb="FFFF0000"/>
      </font>
    </dxf>
    <dxf>
      <font>
        <color rgb="FF006100"/>
      </font>
      <fill>
        <patternFill>
          <bgColor rgb="FFC6EFCE"/>
        </patternFill>
      </fill>
    </dxf>
    <dxf>
      <font>
        <color rgb="FF9C0006"/>
      </font>
      <fill>
        <patternFill>
          <bgColor rgb="FFFFC7CE"/>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b/>
        <i val="0"/>
      </font>
    </dxf>
    <dxf>
      <font>
        <b/>
        <i val="0"/>
        <color rgb="FFFF0000"/>
      </font>
    </dxf>
    <dxf>
      <font>
        <color theme="9" tint="-0.24994659260841701"/>
      </font>
      <fill>
        <patternFill>
          <bgColor theme="9" tint="0.59996337778862885"/>
        </patternFill>
      </fill>
    </dxf>
    <dxf>
      <font>
        <color rgb="FF9C0006"/>
      </font>
      <fill>
        <patternFill>
          <bgColor rgb="FFFFC7CE"/>
        </patternFill>
      </fill>
    </dxf>
    <dxf>
      <font>
        <color rgb="FF006100"/>
      </font>
      <fill>
        <patternFill>
          <bgColor rgb="FFC6EFCE"/>
        </patternFill>
      </fill>
    </dxf>
    <dxf>
      <font>
        <b/>
        <i val="0"/>
        <color rgb="FFFF0000"/>
      </font>
    </dxf>
    <dxf>
      <font>
        <b/>
        <i val="0"/>
      </font>
    </dxf>
    <dxf>
      <font>
        <b/>
        <i val="0"/>
        <color rgb="FFFF0000"/>
      </font>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b/>
        <i val="0"/>
        <color rgb="FFFF0000"/>
      </font>
    </dxf>
    <dxf>
      <font>
        <b/>
        <i val="0"/>
      </font>
    </dxf>
    <dxf>
      <font>
        <b/>
        <i val="0"/>
        <color rgb="FFFF0000"/>
      </font>
    </dxf>
    <dxf>
      <font>
        <b/>
        <i val="0"/>
      </font>
    </dxf>
    <dxf>
      <font>
        <b/>
        <i val="0"/>
        <color rgb="FFFF0000"/>
      </font>
    </dxf>
    <dxf>
      <font>
        <b/>
        <i val="0"/>
        <color rgb="FFFF0000"/>
      </font>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b/>
        <i val="0"/>
        <color rgb="FFFF0000"/>
      </font>
    </dxf>
    <dxf>
      <font>
        <b/>
        <i val="0"/>
      </font>
    </dxf>
    <dxf>
      <font>
        <b/>
        <i val="0"/>
        <color rgb="FFFF0000"/>
      </font>
    </dxf>
    <dxf>
      <font>
        <b/>
        <i val="0"/>
      </font>
    </dxf>
    <dxf>
      <font>
        <b/>
        <i val="0"/>
        <color rgb="FFFF0000"/>
      </font>
    </dxf>
    <dxf>
      <font>
        <b/>
        <i val="0"/>
        <color rgb="FFFF0000"/>
      </font>
    </dxf>
    <dxf>
      <font>
        <color theme="9" tint="-0.24994659260841701"/>
      </font>
      <fill>
        <patternFill>
          <bgColor theme="9" tint="0.59996337778862885"/>
        </patternFill>
      </fill>
    </dxf>
    <dxf>
      <font>
        <b/>
        <i val="0"/>
        <color rgb="FFFF0000"/>
      </font>
    </dxf>
    <dxf>
      <font>
        <b/>
        <i val="0"/>
      </font>
    </dxf>
    <dxf>
      <font>
        <b/>
        <i val="0"/>
        <color rgb="FFFF0000"/>
      </font>
    </dxf>
    <dxf>
      <font>
        <color theme="9" tint="-0.24994659260841701"/>
      </font>
      <fill>
        <patternFill>
          <bgColor theme="9" tint="0.59996337778862885"/>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b/>
        <i val="0"/>
        <color rgb="FFFF0000"/>
      </font>
    </dxf>
    <dxf>
      <font>
        <b/>
        <i val="0"/>
      </font>
    </dxf>
    <dxf>
      <font>
        <b/>
        <i val="0"/>
        <color rgb="FFFF0000"/>
      </font>
    </dxf>
    <dxf>
      <font>
        <color rgb="FF006100"/>
      </font>
      <fill>
        <patternFill>
          <bgColor rgb="FFC6EFCE"/>
        </patternFill>
      </fill>
    </dxf>
    <dxf>
      <font>
        <color rgb="FF9C0006"/>
      </font>
      <fill>
        <patternFill>
          <bgColor rgb="FFFFC7CE"/>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b/>
        <i val="0"/>
      </font>
    </dxf>
    <dxf>
      <font>
        <b/>
        <i val="0"/>
        <color rgb="FFFF0000"/>
      </font>
    </dxf>
    <dxf>
      <font>
        <color theme="9" tint="-0.24994659260841701"/>
      </font>
      <fill>
        <patternFill>
          <bgColor theme="9" tint="0.59996337778862885"/>
        </patternFill>
      </fill>
    </dxf>
    <dxf>
      <font>
        <color rgb="FF9C0006"/>
      </font>
      <fill>
        <patternFill>
          <bgColor rgb="FFFFC7CE"/>
        </patternFill>
      </fill>
    </dxf>
    <dxf>
      <font>
        <color rgb="FF006100"/>
      </font>
      <fill>
        <patternFill>
          <bgColor rgb="FFC6EFCE"/>
        </patternFill>
      </fill>
    </dxf>
    <dxf>
      <font>
        <b/>
        <i val="0"/>
        <color rgb="FFFF0000"/>
      </font>
    </dxf>
    <dxf>
      <font>
        <b/>
        <i val="0"/>
      </font>
    </dxf>
    <dxf>
      <font>
        <b/>
        <i val="0"/>
        <color rgb="FFFF0000"/>
      </font>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b/>
        <i val="0"/>
        <color rgb="FFFF0000"/>
      </font>
    </dxf>
    <dxf>
      <font>
        <b/>
        <i val="0"/>
      </font>
    </dxf>
    <dxf>
      <font>
        <b/>
        <i val="0"/>
        <color rgb="FFFF0000"/>
      </font>
    </dxf>
    <dxf>
      <font>
        <b/>
        <i val="0"/>
      </font>
    </dxf>
    <dxf>
      <font>
        <b/>
        <i val="0"/>
        <color rgb="FFFF0000"/>
      </font>
    </dxf>
    <dxf>
      <font>
        <b/>
        <i val="0"/>
        <color rgb="FFFF0000"/>
      </font>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b/>
        <i val="0"/>
        <color rgb="FFFF0000"/>
      </font>
    </dxf>
    <dxf>
      <font>
        <b/>
        <i val="0"/>
      </font>
    </dxf>
    <dxf>
      <font>
        <b/>
        <i val="0"/>
        <color rgb="FFFF0000"/>
      </font>
    </dxf>
    <dxf>
      <font>
        <b/>
        <i val="0"/>
      </font>
    </dxf>
    <dxf>
      <font>
        <b/>
        <i val="0"/>
        <color rgb="FFFF0000"/>
      </font>
    </dxf>
    <dxf>
      <font>
        <b/>
        <i val="0"/>
        <color rgb="FFFF0000"/>
      </font>
    </dxf>
    <dxf>
      <font>
        <color theme="9" tint="-0.24994659260841701"/>
      </font>
      <fill>
        <patternFill>
          <bgColor theme="9" tint="0.59996337778862885"/>
        </patternFill>
      </fill>
    </dxf>
    <dxf>
      <font>
        <b/>
        <i val="0"/>
        <color rgb="FFFF0000"/>
      </font>
    </dxf>
    <dxf>
      <font>
        <b/>
        <i val="0"/>
      </font>
    </dxf>
    <dxf>
      <font>
        <b/>
        <i val="0"/>
        <color rgb="FFFF0000"/>
      </font>
    </dxf>
    <dxf>
      <font>
        <color theme="9" tint="-0.24994659260841701"/>
      </font>
      <fill>
        <patternFill>
          <bgColor theme="9" tint="0.59996337778862885"/>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b/>
        <i val="0"/>
        <color rgb="FFFF0000"/>
      </font>
    </dxf>
    <dxf>
      <font>
        <b/>
        <i val="0"/>
      </font>
    </dxf>
    <dxf>
      <font>
        <b/>
        <i val="0"/>
        <color rgb="FFFF0000"/>
      </font>
    </dxf>
    <dxf>
      <font>
        <color rgb="FF006100"/>
      </font>
      <fill>
        <patternFill>
          <bgColor rgb="FFC6EFCE"/>
        </patternFill>
      </fill>
    </dxf>
    <dxf>
      <font>
        <color rgb="FF9C0006"/>
      </font>
      <fill>
        <patternFill>
          <bgColor rgb="FFFFC7CE"/>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color rgb="FF9C0006"/>
      </font>
      <fill>
        <patternFill>
          <bgColor rgb="FFFFC7CE"/>
        </patternFill>
      </fill>
    </dxf>
    <dxf>
      <font>
        <color rgb="FF006100"/>
      </font>
      <fill>
        <patternFill>
          <bgColor rgb="FFC6EFCE"/>
        </patternFill>
      </fill>
    </dxf>
    <dxf>
      <font>
        <b/>
        <i val="0"/>
        <color rgb="FFFF0000"/>
      </font>
    </dxf>
    <dxf>
      <font>
        <b/>
        <i val="0"/>
      </font>
    </dxf>
    <dxf>
      <font>
        <b/>
        <i val="0"/>
        <color rgb="FFFF0000"/>
      </font>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b/>
        <i val="0"/>
        <color rgb="FFFF0000"/>
      </font>
    </dxf>
    <dxf>
      <font>
        <b/>
        <i val="0"/>
      </font>
    </dxf>
    <dxf>
      <font>
        <b/>
        <i val="0"/>
        <color rgb="FFFF0000"/>
      </font>
    </dxf>
    <dxf>
      <font>
        <b/>
        <i val="0"/>
      </font>
    </dxf>
    <dxf>
      <font>
        <b/>
        <i val="0"/>
        <color rgb="FFFF0000"/>
      </font>
    </dxf>
    <dxf>
      <font>
        <b/>
        <i val="0"/>
        <color rgb="FFFF0000"/>
      </font>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b/>
        <i val="0"/>
        <color rgb="FFFF0000"/>
      </font>
    </dxf>
    <dxf>
      <font>
        <b/>
        <i val="0"/>
      </font>
    </dxf>
    <dxf>
      <font>
        <b/>
        <i val="0"/>
        <color rgb="FFFF0000"/>
      </font>
    </dxf>
    <dxf>
      <font>
        <b/>
        <i val="0"/>
      </font>
    </dxf>
    <dxf>
      <font>
        <b/>
        <i val="0"/>
        <color rgb="FFFF0000"/>
      </font>
    </dxf>
    <dxf>
      <font>
        <b/>
        <i val="0"/>
        <color rgb="FFFF0000"/>
      </font>
    </dxf>
    <dxf>
      <font>
        <color theme="9" tint="-0.24994659260841701"/>
      </font>
      <fill>
        <patternFill>
          <bgColor theme="9" tint="0.59996337778862885"/>
        </patternFill>
      </fill>
    </dxf>
    <dxf>
      <font>
        <b/>
        <i val="0"/>
        <color rgb="FFFF0000"/>
      </font>
    </dxf>
    <dxf>
      <font>
        <b/>
        <i val="0"/>
      </font>
    </dxf>
    <dxf>
      <font>
        <b/>
        <i val="0"/>
        <color rgb="FFFF0000"/>
      </font>
    </dxf>
    <dxf>
      <font>
        <b/>
        <i val="0"/>
      </font>
    </dxf>
    <dxf>
      <font>
        <color theme="9" tint="-0.24994659260841701"/>
      </font>
      <fill>
        <patternFill>
          <bgColor theme="9" tint="0.59996337778862885"/>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color rgb="FF006100"/>
      </font>
      <fill>
        <patternFill>
          <bgColor rgb="FFC6EFCE"/>
        </patternFill>
      </fill>
    </dxf>
    <dxf>
      <font>
        <color rgb="FF9C0006"/>
      </font>
      <fill>
        <patternFill>
          <bgColor rgb="FFFFC7CE"/>
        </patternFill>
      </fill>
    </dxf>
    <dxf>
      <font>
        <b/>
        <i val="0"/>
      </font>
    </dxf>
    <dxf>
      <font>
        <b/>
        <i val="0"/>
        <color rgb="FFFF0000"/>
      </font>
    </dxf>
    <dxf>
      <font>
        <color theme="9" tint="-0.24994659260841701"/>
      </font>
      <fill>
        <patternFill>
          <bgColor theme="9" tint="0.59996337778862885"/>
        </patternFill>
      </fill>
    </dxf>
    <dxf>
      <font>
        <color rgb="FF9C0006"/>
      </font>
      <fill>
        <patternFill>
          <bgColor rgb="FFFFC7CE"/>
        </patternFill>
      </fill>
    </dxf>
    <dxf>
      <font>
        <color rgb="FF006100"/>
      </font>
      <fill>
        <patternFill>
          <bgColor rgb="FFC6EFCE"/>
        </patternFill>
      </fill>
    </dxf>
    <dxf>
      <font>
        <b/>
        <i val="0"/>
        <color rgb="FFFF0000"/>
      </font>
    </dxf>
    <dxf>
      <font>
        <b/>
        <i val="0"/>
      </font>
    </dxf>
    <dxf>
      <font>
        <b/>
        <i val="0"/>
        <color rgb="FFFF0000"/>
      </font>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b/>
        <i val="0"/>
        <color rgb="FFFF0000"/>
      </font>
    </dxf>
    <dxf>
      <font>
        <b/>
        <i val="0"/>
      </font>
    </dxf>
    <dxf>
      <font>
        <b/>
        <i val="0"/>
        <color rgb="FFFF0000"/>
      </font>
    </dxf>
    <dxf>
      <font>
        <b/>
        <i val="0"/>
      </font>
    </dxf>
    <dxf>
      <font>
        <b/>
        <i val="0"/>
        <color rgb="FFFF0000"/>
      </font>
    </dxf>
    <dxf>
      <font>
        <b/>
        <i val="0"/>
        <color rgb="FFFF0000"/>
      </font>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b/>
        <i val="0"/>
        <color rgb="FFFF0000"/>
      </font>
    </dxf>
    <dxf>
      <font>
        <b/>
        <i val="0"/>
      </font>
    </dxf>
    <dxf>
      <font>
        <b/>
        <i val="0"/>
        <color rgb="FFFF0000"/>
      </font>
    </dxf>
    <dxf>
      <font>
        <b/>
        <i val="0"/>
      </font>
    </dxf>
    <dxf>
      <font>
        <b/>
        <i val="0"/>
        <color rgb="FFFF0000"/>
      </font>
    </dxf>
    <dxf>
      <font>
        <b/>
        <i val="0"/>
        <color rgb="FFFF0000"/>
      </font>
    </dxf>
    <dxf>
      <font>
        <color theme="9" tint="-0.24994659260841701"/>
      </font>
      <fill>
        <patternFill>
          <bgColor theme="9" tint="0.59996337778862885"/>
        </patternFill>
      </fill>
    </dxf>
    <dxf>
      <font>
        <b/>
        <i val="0"/>
        <color rgb="FFFF0000"/>
      </font>
    </dxf>
    <dxf>
      <font>
        <b/>
        <i val="0"/>
      </font>
    </dxf>
    <dxf>
      <font>
        <b/>
        <i val="0"/>
        <color rgb="FFFF0000"/>
      </font>
    </dxf>
    <dxf>
      <font>
        <b/>
        <i val="0"/>
      </font>
    </dxf>
    <dxf>
      <font>
        <color theme="9" tint="-0.24994659260841701"/>
      </font>
      <fill>
        <patternFill>
          <bgColor theme="9" tint="0.59996337778862885"/>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color rgb="FF006100"/>
      </font>
      <fill>
        <patternFill>
          <bgColor rgb="FFC6EFCE"/>
        </patternFill>
      </fill>
    </dxf>
    <dxf>
      <font>
        <color rgb="FF9C0006"/>
      </font>
      <fill>
        <patternFill>
          <bgColor rgb="FFFFC7CE"/>
        </patternFill>
      </fill>
    </dxf>
    <dxf>
      <font>
        <b/>
        <i val="0"/>
      </font>
    </dxf>
    <dxf>
      <font>
        <b/>
        <i val="0"/>
        <color rgb="FFFF0000"/>
      </font>
    </dxf>
    <dxf>
      <font>
        <color theme="9" tint="-0.24994659260841701"/>
      </font>
      <fill>
        <patternFill>
          <bgColor theme="9" tint="0.59996337778862885"/>
        </patternFill>
      </fill>
    </dxf>
    <dxf>
      <font>
        <color rgb="FF9C0006"/>
      </font>
      <fill>
        <patternFill>
          <bgColor rgb="FFFFC7CE"/>
        </patternFill>
      </fill>
    </dxf>
    <dxf>
      <font>
        <color rgb="FF006100"/>
      </font>
      <fill>
        <patternFill>
          <bgColor rgb="FFC6EFCE"/>
        </patternFill>
      </fill>
    </dxf>
    <dxf>
      <font>
        <b/>
        <i val="0"/>
        <color rgb="FFFF0000"/>
      </font>
    </dxf>
    <dxf>
      <font>
        <b/>
        <i val="0"/>
        <color rgb="FFFF0000"/>
      </font>
    </dxf>
    <dxf>
      <font>
        <b/>
        <i val="0"/>
      </font>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b/>
        <i val="0"/>
        <color rgb="FFFF0000"/>
      </font>
    </dxf>
    <dxf>
      <font>
        <b/>
        <i val="0"/>
        <color rgb="FFFF0000"/>
      </font>
    </dxf>
    <dxf>
      <font>
        <b/>
        <i val="0"/>
        <color rgb="FFFF0000"/>
      </font>
    </dxf>
    <dxf>
      <font>
        <b/>
        <i val="0"/>
      </font>
    </dxf>
    <dxf>
      <font>
        <b/>
        <i val="0"/>
        <color rgb="FFFF0000"/>
      </font>
    </dxf>
    <dxf>
      <font>
        <b/>
        <i val="0"/>
      </font>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b/>
        <i val="0"/>
        <color rgb="FFFF0000"/>
      </font>
    </dxf>
    <dxf>
      <font>
        <b/>
        <i val="0"/>
        <color rgb="FFFF0000"/>
      </font>
    </dxf>
    <dxf>
      <font>
        <b/>
        <i val="0"/>
        <color rgb="FFFF0000"/>
      </font>
    </dxf>
    <dxf>
      <font>
        <b/>
        <i val="0"/>
      </font>
    </dxf>
    <dxf>
      <font>
        <b/>
        <i val="0"/>
        <color rgb="FFFF0000"/>
      </font>
    </dxf>
    <dxf>
      <font>
        <b/>
        <i val="0"/>
      </font>
    </dxf>
    <dxf>
      <font>
        <color theme="9" tint="-0.24994659260841701"/>
      </font>
      <fill>
        <patternFill>
          <bgColor theme="9" tint="0.59996337778862885"/>
        </patternFill>
      </fill>
    </dxf>
    <dxf>
      <font>
        <b/>
        <i val="0"/>
        <color rgb="FFFF0000"/>
      </font>
    </dxf>
    <dxf>
      <font>
        <b/>
        <i val="0"/>
        <color rgb="FFFF0000"/>
      </font>
    </dxf>
    <dxf>
      <font>
        <b/>
        <i val="0"/>
      </font>
    </dxf>
    <dxf>
      <font>
        <color theme="9" tint="-0.24994659260841701"/>
      </font>
      <fill>
        <patternFill>
          <bgColor theme="9" tint="0.59996337778862885"/>
        </patternFill>
      </fill>
    </dxf>
    <dxf>
      <font>
        <b/>
        <i val="0"/>
      </font>
    </dxf>
    <dxf>
      <font>
        <color rgb="FF006100"/>
      </font>
      <fill>
        <patternFill>
          <bgColor rgb="FFC6EFCE"/>
        </patternFill>
      </fill>
    </dxf>
    <dxf>
      <font>
        <color rgb="FF9C0006"/>
      </font>
      <fill>
        <patternFill>
          <bgColor rgb="FFFFC7CE"/>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b/>
        <i val="0"/>
      </font>
    </dxf>
    <dxf>
      <font>
        <b/>
        <i val="0"/>
        <color rgb="FFFF0000"/>
      </font>
    </dxf>
    <dxf>
      <font>
        <color theme="9" tint="-0.24994659260841701"/>
      </font>
      <fill>
        <patternFill>
          <bgColor theme="9" tint="0.59996337778862885"/>
        </patternFill>
      </fill>
    </dxf>
    <dxf>
      <font>
        <color rgb="FF9C0006"/>
      </font>
      <fill>
        <patternFill>
          <bgColor rgb="FFFFC7CE"/>
        </patternFill>
      </fill>
    </dxf>
    <dxf>
      <font>
        <color rgb="FF006100"/>
      </font>
      <fill>
        <patternFill>
          <bgColor rgb="FFC6EFCE"/>
        </patternFill>
      </fill>
    </dxf>
    <dxf>
      <font>
        <b/>
        <i val="0"/>
        <color rgb="FFFF0000"/>
      </font>
    </dxf>
    <dxf>
      <font>
        <b/>
        <i val="0"/>
        <color rgb="FFFF0000"/>
      </font>
    </dxf>
    <dxf>
      <font>
        <b/>
        <i val="0"/>
      </font>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b/>
        <i val="0"/>
        <color rgb="FFFF0000"/>
      </font>
    </dxf>
    <dxf>
      <font>
        <b/>
        <i val="0"/>
        <color rgb="FFFF0000"/>
      </font>
    </dxf>
    <dxf>
      <font>
        <b/>
        <i val="0"/>
        <color rgb="FFFF0000"/>
      </font>
    </dxf>
    <dxf>
      <font>
        <b/>
        <i val="0"/>
      </font>
    </dxf>
    <dxf>
      <font>
        <b/>
        <i val="0"/>
        <color rgb="FFFF0000"/>
      </font>
    </dxf>
    <dxf>
      <font>
        <b/>
        <i val="0"/>
      </font>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b/>
        <i val="0"/>
        <color rgb="FFFF0000"/>
      </font>
    </dxf>
    <dxf>
      <font>
        <b/>
        <i val="0"/>
        <color rgb="FFFF0000"/>
      </font>
    </dxf>
    <dxf>
      <font>
        <b/>
        <i val="0"/>
        <color rgb="FFFF0000"/>
      </font>
    </dxf>
    <dxf>
      <font>
        <b/>
        <i val="0"/>
      </font>
    </dxf>
    <dxf>
      <font>
        <b/>
        <i val="0"/>
        <color rgb="FFFF0000"/>
      </font>
    </dxf>
    <dxf>
      <font>
        <b/>
        <i val="0"/>
      </font>
    </dxf>
    <dxf>
      <font>
        <color theme="9" tint="-0.24994659260841701"/>
      </font>
      <fill>
        <patternFill>
          <bgColor theme="9" tint="0.59996337778862885"/>
        </patternFill>
      </fill>
    </dxf>
    <dxf>
      <font>
        <b/>
        <i val="0"/>
        <color rgb="FFFF0000"/>
      </font>
    </dxf>
    <dxf>
      <font>
        <b/>
        <i val="0"/>
        <color rgb="FFFF0000"/>
      </font>
    </dxf>
    <dxf>
      <font>
        <b/>
        <i val="0"/>
      </font>
    </dxf>
    <dxf>
      <font>
        <color theme="9" tint="-0.24994659260841701"/>
      </font>
      <fill>
        <patternFill>
          <bgColor theme="9" tint="0.59996337778862885"/>
        </patternFill>
      </fill>
    </dxf>
    <dxf>
      <font>
        <b/>
        <i val="0"/>
        <color rgb="FFFF0000"/>
      </font>
    </dxf>
    <dxf>
      <font>
        <b/>
        <i val="0"/>
        <color rgb="FFFF0000"/>
      </font>
    </dxf>
    <dxf>
      <font>
        <b/>
        <i val="0"/>
      </font>
    </dxf>
    <dxf>
      <font>
        <color rgb="FF006100"/>
      </font>
      <fill>
        <patternFill>
          <bgColor rgb="FFC6EFCE"/>
        </patternFill>
      </fill>
    </dxf>
    <dxf>
      <font>
        <color rgb="FF9C0006"/>
      </font>
      <fill>
        <patternFill>
          <bgColor rgb="FFFFC7CE"/>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b/>
        <i val="0"/>
      </font>
    </dxf>
    <dxf>
      <font>
        <b/>
        <i val="0"/>
        <color rgb="FFFF0000"/>
      </font>
    </dxf>
    <dxf>
      <font>
        <color theme="9" tint="-0.24994659260841701"/>
      </font>
      <fill>
        <patternFill>
          <bgColor theme="9" tint="0.59996337778862885"/>
        </patternFill>
      </fill>
    </dxf>
    <dxf>
      <font>
        <color rgb="FF9C0006"/>
      </font>
      <fill>
        <patternFill>
          <bgColor rgb="FFFFC7CE"/>
        </patternFill>
      </fill>
    </dxf>
    <dxf>
      <font>
        <color rgb="FF006100"/>
      </font>
      <fill>
        <patternFill>
          <bgColor rgb="FFC6EFCE"/>
        </patternFill>
      </fill>
    </dxf>
    <dxf>
      <font>
        <b/>
        <i val="0"/>
        <color rgb="FFFF0000"/>
      </font>
    </dxf>
    <dxf>
      <font>
        <b/>
        <i val="0"/>
        <color rgb="FFFF0000"/>
      </font>
    </dxf>
    <dxf>
      <font>
        <b/>
        <i val="0"/>
      </font>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b/>
        <i val="0"/>
        <color rgb="FFFF0000"/>
      </font>
    </dxf>
    <dxf>
      <font>
        <b/>
        <i val="0"/>
        <color rgb="FFFF0000"/>
      </font>
    </dxf>
    <dxf>
      <font>
        <b/>
        <i val="0"/>
        <color rgb="FFFF0000"/>
      </font>
    </dxf>
    <dxf>
      <font>
        <b/>
        <i val="0"/>
      </font>
    </dxf>
    <dxf>
      <font>
        <b/>
        <i val="0"/>
        <color rgb="FFFF0000"/>
      </font>
    </dxf>
    <dxf>
      <font>
        <b/>
        <i val="0"/>
      </font>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b/>
        <i val="0"/>
        <color rgb="FFFF0000"/>
      </font>
    </dxf>
    <dxf>
      <font>
        <b/>
        <i val="0"/>
        <color rgb="FFFF0000"/>
      </font>
    </dxf>
    <dxf>
      <font>
        <b/>
        <i val="0"/>
        <color rgb="FFFF0000"/>
      </font>
    </dxf>
    <dxf>
      <font>
        <b/>
        <i val="0"/>
      </font>
    </dxf>
    <dxf>
      <font>
        <b/>
        <i val="0"/>
        <color rgb="FFFF0000"/>
      </font>
    </dxf>
    <dxf>
      <font>
        <b/>
        <i val="0"/>
      </font>
    </dxf>
    <dxf>
      <font>
        <color theme="9" tint="-0.24994659260841701"/>
      </font>
      <fill>
        <patternFill>
          <bgColor theme="9" tint="0.59996337778862885"/>
        </patternFill>
      </fill>
    </dxf>
    <dxf>
      <font>
        <b/>
        <i val="0"/>
        <color rgb="FFFF0000"/>
      </font>
    </dxf>
    <dxf>
      <font>
        <b/>
        <i val="0"/>
        <color rgb="FFFF0000"/>
      </font>
    </dxf>
    <dxf>
      <font>
        <b/>
        <i val="0"/>
      </font>
    </dxf>
    <dxf>
      <font>
        <color theme="9" tint="-0.24994659260841701"/>
      </font>
      <fill>
        <patternFill>
          <bgColor theme="9" tint="0.59996337778862885"/>
        </patternFill>
      </fill>
    </dxf>
    <dxf>
      <font>
        <b/>
        <i val="0"/>
      </font>
    </dxf>
    <dxf>
      <font>
        <color rgb="FF006100"/>
      </font>
      <fill>
        <patternFill>
          <bgColor rgb="FFC6EFCE"/>
        </patternFill>
      </fill>
    </dxf>
    <dxf>
      <font>
        <color rgb="FF9C0006"/>
      </font>
      <fill>
        <patternFill>
          <bgColor rgb="FFFFC7CE"/>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b/>
        <i val="0"/>
      </font>
    </dxf>
    <dxf>
      <font>
        <b/>
        <i val="0"/>
        <color rgb="FFFF0000"/>
      </font>
    </dxf>
    <dxf>
      <font>
        <color theme="9" tint="-0.24994659260841701"/>
      </font>
      <fill>
        <patternFill>
          <bgColor theme="9" tint="0.59996337778862885"/>
        </patternFill>
      </fill>
    </dxf>
    <dxf>
      <font>
        <color rgb="FF9C0006"/>
      </font>
      <fill>
        <patternFill>
          <bgColor rgb="FFFFC7CE"/>
        </patternFill>
      </fill>
    </dxf>
    <dxf>
      <font>
        <color rgb="FF006100"/>
      </font>
      <fill>
        <patternFill>
          <bgColor rgb="FFC6EFCE"/>
        </patternFill>
      </fill>
    </dxf>
    <dxf>
      <font>
        <b/>
        <i val="0"/>
        <color rgb="FFFF0000"/>
      </font>
    </dxf>
    <dxf>
      <font>
        <b/>
        <i val="0"/>
        <color rgb="FFFF0000"/>
      </font>
    </dxf>
    <dxf>
      <font>
        <b/>
        <i val="0"/>
      </font>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b/>
        <i val="0"/>
        <color rgb="FFFF0000"/>
      </font>
    </dxf>
    <dxf>
      <font>
        <b/>
        <i val="0"/>
        <color rgb="FFFF0000"/>
      </font>
    </dxf>
    <dxf>
      <font>
        <b/>
        <i val="0"/>
        <color rgb="FFFF0000"/>
      </font>
    </dxf>
    <dxf>
      <font>
        <b/>
        <i val="0"/>
      </font>
    </dxf>
    <dxf>
      <font>
        <b/>
        <i val="0"/>
        <color rgb="FFFF0000"/>
      </font>
    </dxf>
    <dxf>
      <font>
        <b/>
        <i val="0"/>
      </font>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b/>
        <i val="0"/>
        <color rgb="FFFF0000"/>
      </font>
    </dxf>
    <dxf>
      <font>
        <b/>
        <i val="0"/>
        <color rgb="FFFF0000"/>
      </font>
    </dxf>
    <dxf>
      <font>
        <b/>
        <i val="0"/>
        <color rgb="FFFF0000"/>
      </font>
    </dxf>
    <dxf>
      <font>
        <b/>
        <i val="0"/>
      </font>
    </dxf>
    <dxf>
      <font>
        <b/>
        <i val="0"/>
        <color rgb="FFFF0000"/>
      </font>
    </dxf>
    <dxf>
      <font>
        <b/>
        <i val="0"/>
      </font>
    </dxf>
    <dxf>
      <font>
        <color theme="9" tint="-0.24994659260841701"/>
      </font>
      <fill>
        <patternFill>
          <bgColor theme="9" tint="0.59996337778862885"/>
        </patternFill>
      </fill>
    </dxf>
    <dxf>
      <font>
        <b/>
        <i val="0"/>
        <color rgb="FFFF0000"/>
      </font>
    </dxf>
    <dxf>
      <font>
        <b/>
        <i val="0"/>
        <color rgb="FFFF0000"/>
      </font>
    </dxf>
    <dxf>
      <font>
        <b/>
        <i val="0"/>
      </font>
    </dxf>
    <dxf>
      <font>
        <color theme="9" tint="-0.24994659260841701"/>
      </font>
      <fill>
        <patternFill>
          <bgColor theme="9" tint="0.59996337778862885"/>
        </patternFill>
      </fill>
    </dxf>
    <dxf>
      <font>
        <b/>
        <i val="0"/>
      </font>
    </dxf>
    <dxf>
      <font>
        <color rgb="FF006100"/>
      </font>
      <fill>
        <patternFill>
          <bgColor rgb="FFC6EFCE"/>
        </patternFill>
      </fill>
    </dxf>
    <dxf>
      <font>
        <color rgb="FF9C0006"/>
      </font>
      <fill>
        <patternFill>
          <bgColor rgb="FFFFC7CE"/>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color rgb="FF9C0006"/>
      </font>
      <fill>
        <patternFill>
          <bgColor rgb="FFFFC7CE"/>
        </patternFill>
      </fill>
    </dxf>
    <dxf>
      <font>
        <color rgb="FF006100"/>
      </font>
      <fill>
        <patternFill>
          <bgColor rgb="FFC6EFCE"/>
        </patternFill>
      </fill>
    </dxf>
    <dxf>
      <font>
        <b/>
        <i val="0"/>
        <color rgb="FFFF0000"/>
      </font>
    </dxf>
    <dxf>
      <font>
        <b/>
        <i val="0"/>
        <color rgb="FFFF0000"/>
      </font>
    </dxf>
    <dxf>
      <font>
        <b/>
        <i val="0"/>
      </font>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b/>
        <i val="0"/>
        <color rgb="FFFF0000"/>
      </font>
    </dxf>
    <dxf>
      <font>
        <b/>
        <i val="0"/>
        <color rgb="FFFF0000"/>
      </font>
    </dxf>
    <dxf>
      <font>
        <b/>
        <i val="0"/>
        <color rgb="FFFF0000"/>
      </font>
    </dxf>
    <dxf>
      <font>
        <b/>
        <i val="0"/>
      </font>
    </dxf>
    <dxf>
      <font>
        <b/>
        <i val="0"/>
        <color rgb="FFFF0000"/>
      </font>
    </dxf>
    <dxf>
      <font>
        <b/>
        <i val="0"/>
      </font>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b/>
        <i val="0"/>
        <color rgb="FFFF0000"/>
      </font>
    </dxf>
    <dxf>
      <font>
        <b/>
        <i val="0"/>
        <color rgb="FFFF0000"/>
      </font>
    </dxf>
    <dxf>
      <font>
        <b/>
        <i val="0"/>
        <color rgb="FFFF0000"/>
      </font>
    </dxf>
    <dxf>
      <font>
        <b/>
        <i val="0"/>
      </font>
    </dxf>
    <dxf>
      <font>
        <b/>
        <i val="0"/>
        <color rgb="FFFF0000"/>
      </font>
    </dxf>
    <dxf>
      <font>
        <b/>
        <i val="0"/>
      </font>
    </dxf>
    <dxf>
      <font>
        <color theme="9" tint="-0.24994659260841701"/>
      </font>
      <fill>
        <patternFill>
          <bgColor theme="9" tint="0.59996337778862885"/>
        </patternFill>
      </fill>
    </dxf>
    <dxf>
      <font>
        <b/>
        <i val="0"/>
        <color rgb="FFFF0000"/>
      </font>
    </dxf>
    <dxf>
      <font>
        <b/>
        <i val="0"/>
        <color rgb="FFFF0000"/>
      </font>
    </dxf>
    <dxf>
      <font>
        <b/>
        <i val="0"/>
      </font>
    </dxf>
    <dxf>
      <font>
        <color theme="9" tint="-0.24994659260841701"/>
      </font>
      <fill>
        <patternFill>
          <bgColor theme="9" tint="0.59996337778862885"/>
        </patternFill>
      </fill>
    </dxf>
    <dxf>
      <font>
        <b/>
        <i val="0"/>
      </font>
    </dxf>
    <dxf>
      <font>
        <color rgb="FF006100"/>
      </font>
      <fill>
        <patternFill>
          <bgColor rgb="FFC6EFCE"/>
        </patternFill>
      </fill>
    </dxf>
    <dxf>
      <font>
        <color rgb="FF9C0006"/>
      </font>
      <fill>
        <patternFill>
          <bgColor rgb="FFFFC7CE"/>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color rgb="FF9C0006"/>
      </font>
      <fill>
        <patternFill>
          <bgColor rgb="FFFFC7CE"/>
        </patternFill>
      </fill>
    </dxf>
    <dxf>
      <font>
        <color rgb="FF006100"/>
      </font>
      <fill>
        <patternFill>
          <bgColor rgb="FFC6EFCE"/>
        </patternFill>
      </fill>
    </dxf>
    <dxf>
      <font>
        <b/>
        <i val="0"/>
        <color rgb="FFFF0000"/>
      </font>
    </dxf>
    <dxf>
      <font>
        <b/>
        <i val="0"/>
        <color rgb="FFFF0000"/>
      </font>
    </dxf>
    <dxf>
      <font>
        <b/>
        <i val="0"/>
      </font>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b/>
        <i val="0"/>
        <color rgb="FFFF0000"/>
      </font>
    </dxf>
    <dxf>
      <font>
        <b/>
        <i val="0"/>
        <color rgb="FFFF0000"/>
      </font>
    </dxf>
    <dxf>
      <font>
        <b/>
        <i val="0"/>
        <color rgb="FFFF0000"/>
      </font>
    </dxf>
    <dxf>
      <font>
        <b/>
        <i val="0"/>
      </font>
    </dxf>
    <dxf>
      <font>
        <b/>
        <i val="0"/>
        <color rgb="FFFF0000"/>
      </font>
    </dxf>
    <dxf>
      <font>
        <b/>
        <i val="0"/>
      </font>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b/>
        <i val="0"/>
        <color rgb="FFFF0000"/>
      </font>
    </dxf>
    <dxf>
      <font>
        <b/>
        <i val="0"/>
        <color rgb="FFFF0000"/>
      </font>
    </dxf>
    <dxf>
      <font>
        <b/>
        <i val="0"/>
        <color rgb="FFFF0000"/>
      </font>
    </dxf>
    <dxf>
      <font>
        <b/>
        <i val="0"/>
      </font>
    </dxf>
    <dxf>
      <font>
        <b/>
        <i val="0"/>
        <color rgb="FFFF0000"/>
      </font>
    </dxf>
    <dxf>
      <font>
        <b/>
        <i val="0"/>
      </font>
    </dxf>
    <dxf>
      <font>
        <color theme="9" tint="-0.24994659260841701"/>
      </font>
      <fill>
        <patternFill>
          <bgColor theme="9" tint="0.59996337778862885"/>
        </patternFill>
      </fill>
    </dxf>
    <dxf>
      <font>
        <b/>
        <i val="0"/>
        <color rgb="FFFF0000"/>
      </font>
    </dxf>
    <dxf>
      <font>
        <b/>
        <i val="0"/>
        <color rgb="FFFF0000"/>
      </font>
    </dxf>
    <dxf>
      <font>
        <b/>
        <i val="0"/>
      </font>
    </dxf>
    <dxf>
      <font>
        <color theme="9" tint="-0.24994659260841701"/>
      </font>
      <fill>
        <patternFill>
          <bgColor theme="9" tint="0.59996337778862885"/>
        </patternFill>
      </fill>
    </dxf>
    <dxf>
      <font>
        <b/>
        <i val="0"/>
      </font>
    </dxf>
    <dxf>
      <font>
        <color rgb="FF006100"/>
      </font>
      <fill>
        <patternFill>
          <bgColor rgb="FFC6EFCE"/>
        </patternFill>
      </fill>
    </dxf>
    <dxf>
      <font>
        <color rgb="FF9C0006"/>
      </font>
      <fill>
        <patternFill>
          <bgColor rgb="FFFFC7CE"/>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color rgb="FF9C0006"/>
      </font>
      <fill>
        <patternFill>
          <bgColor rgb="FFFFC7CE"/>
        </patternFill>
      </fill>
    </dxf>
    <dxf>
      <font>
        <color rgb="FF006100"/>
      </font>
      <fill>
        <patternFill>
          <bgColor rgb="FFC6EFCE"/>
        </patternFill>
      </fill>
    </dxf>
    <dxf>
      <font>
        <b/>
        <i val="0"/>
        <color rgb="FFFF0000"/>
      </font>
    </dxf>
    <dxf>
      <font>
        <b/>
        <i val="0"/>
        <color rgb="FFFF0000"/>
      </font>
    </dxf>
    <dxf>
      <font>
        <b/>
        <i val="0"/>
      </font>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b/>
        <i val="0"/>
        <color rgb="FFFF0000"/>
      </font>
    </dxf>
    <dxf>
      <font>
        <b/>
        <i val="0"/>
        <color rgb="FFFF0000"/>
      </font>
    </dxf>
    <dxf>
      <font>
        <b/>
        <i val="0"/>
        <color rgb="FFFF0000"/>
      </font>
    </dxf>
    <dxf>
      <font>
        <b/>
        <i val="0"/>
      </font>
    </dxf>
    <dxf>
      <font>
        <b/>
        <i val="0"/>
        <color rgb="FFFF0000"/>
      </font>
    </dxf>
    <dxf>
      <font>
        <b/>
        <i val="0"/>
      </font>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b/>
        <i val="0"/>
        <color rgb="FFFF0000"/>
      </font>
    </dxf>
    <dxf>
      <font>
        <b/>
        <i val="0"/>
        <color rgb="FFFF0000"/>
      </font>
    </dxf>
    <dxf>
      <font>
        <b/>
        <i val="0"/>
        <color rgb="FFFF0000"/>
      </font>
    </dxf>
    <dxf>
      <font>
        <b/>
        <i val="0"/>
      </font>
    </dxf>
    <dxf>
      <font>
        <b/>
        <i val="0"/>
        <color rgb="FFFF0000"/>
      </font>
    </dxf>
    <dxf>
      <font>
        <b/>
        <i val="0"/>
      </font>
    </dxf>
    <dxf>
      <font>
        <color theme="9" tint="-0.24994659260841701"/>
      </font>
      <fill>
        <patternFill>
          <bgColor theme="9" tint="0.59996337778862885"/>
        </patternFill>
      </fill>
    </dxf>
    <dxf>
      <font>
        <b/>
        <i val="0"/>
        <color rgb="FFFF0000"/>
      </font>
    </dxf>
    <dxf>
      <font>
        <b/>
        <i val="0"/>
        <color rgb="FFFF0000"/>
      </font>
    </dxf>
    <dxf>
      <font>
        <b/>
        <i val="0"/>
      </font>
    </dxf>
    <dxf>
      <font>
        <color theme="9" tint="-0.24994659260841701"/>
      </font>
      <fill>
        <patternFill>
          <bgColor theme="9" tint="0.59996337778862885"/>
        </patternFill>
      </fill>
    </dxf>
    <dxf>
      <font>
        <b/>
        <i val="0"/>
      </font>
    </dxf>
    <dxf>
      <font>
        <color rgb="FF006100"/>
      </font>
      <fill>
        <patternFill>
          <bgColor rgb="FFC6EFCE"/>
        </patternFill>
      </fill>
    </dxf>
    <dxf>
      <font>
        <color rgb="FF9C0006"/>
      </font>
      <fill>
        <patternFill>
          <bgColor rgb="FFFFC7CE"/>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color rgb="FF9C0006"/>
      </font>
      <fill>
        <patternFill>
          <bgColor rgb="FFFFC7CE"/>
        </patternFill>
      </fill>
    </dxf>
    <dxf>
      <font>
        <color rgb="FF006100"/>
      </font>
      <fill>
        <patternFill>
          <bgColor rgb="FFC6EFCE"/>
        </patternFill>
      </fill>
    </dxf>
    <dxf>
      <font>
        <b/>
        <i val="0"/>
        <color rgb="FFFF0000"/>
      </font>
    </dxf>
    <dxf>
      <font>
        <b/>
        <i val="0"/>
        <color rgb="FFFF0000"/>
      </font>
    </dxf>
    <dxf>
      <font>
        <b/>
        <i val="0"/>
      </font>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b/>
        <i val="0"/>
        <color rgb="FFFF0000"/>
      </font>
    </dxf>
    <dxf>
      <font>
        <b/>
        <i val="0"/>
        <color rgb="FFFF0000"/>
      </font>
    </dxf>
    <dxf>
      <font>
        <b/>
        <i val="0"/>
        <color rgb="FFFF0000"/>
      </font>
    </dxf>
    <dxf>
      <font>
        <b/>
        <i val="0"/>
      </font>
    </dxf>
    <dxf>
      <font>
        <b/>
        <i val="0"/>
        <color rgb="FFFF0000"/>
      </font>
    </dxf>
    <dxf>
      <font>
        <b/>
        <i val="0"/>
      </font>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b/>
        <i val="0"/>
        <color rgb="FFFF0000"/>
      </font>
    </dxf>
    <dxf>
      <font>
        <b/>
        <i val="0"/>
        <color rgb="FFFF0000"/>
      </font>
    </dxf>
    <dxf>
      <font>
        <b/>
        <i val="0"/>
        <color rgb="FFFF0000"/>
      </font>
    </dxf>
    <dxf>
      <font>
        <b/>
        <i val="0"/>
      </font>
    </dxf>
    <dxf>
      <font>
        <b/>
        <i val="0"/>
        <color rgb="FFFF0000"/>
      </font>
    </dxf>
    <dxf>
      <font>
        <b/>
        <i val="0"/>
      </font>
    </dxf>
    <dxf>
      <font>
        <color theme="9" tint="-0.24994659260841701"/>
      </font>
      <fill>
        <patternFill>
          <bgColor theme="9" tint="0.59996337778862885"/>
        </patternFill>
      </fill>
    </dxf>
    <dxf>
      <font>
        <b/>
        <i val="0"/>
        <color rgb="FFFF0000"/>
      </font>
    </dxf>
    <dxf>
      <font>
        <b/>
        <i val="0"/>
        <color rgb="FFFF0000"/>
      </font>
    </dxf>
    <dxf>
      <font>
        <b/>
        <i val="0"/>
      </font>
    </dxf>
    <dxf>
      <font>
        <color theme="9" tint="-0.24994659260841701"/>
      </font>
      <fill>
        <patternFill>
          <bgColor theme="9" tint="0.59996337778862885"/>
        </patternFill>
      </fill>
    </dxf>
    <dxf>
      <font>
        <b/>
        <i val="0"/>
      </font>
    </dxf>
    <dxf>
      <font>
        <color rgb="FF006100"/>
      </font>
      <fill>
        <patternFill>
          <bgColor rgb="FFC6EFCE"/>
        </patternFill>
      </fill>
    </dxf>
    <dxf>
      <font>
        <color rgb="FF9C0006"/>
      </font>
      <fill>
        <patternFill>
          <bgColor rgb="FFFFC7CE"/>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b/>
        <i val="0"/>
        <color rgb="FFFF0000"/>
      </font>
    </dxf>
    <dxf>
      <font>
        <b/>
        <i val="0"/>
      </font>
    </dxf>
    <dxf>
      <font>
        <b/>
        <i val="0"/>
        <color rgb="FFFF0000"/>
      </font>
    </dxf>
    <dxf>
      <font>
        <color theme="9" tint="-0.24994659260841701"/>
      </font>
      <fill>
        <patternFill>
          <bgColor theme="9" tint="0.59996337778862885"/>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b/>
        <i val="0"/>
        <color rgb="FFFF0000"/>
      </font>
    </dxf>
    <dxf>
      <font>
        <b/>
        <i val="0"/>
      </font>
    </dxf>
    <dxf>
      <font>
        <b/>
        <i val="0"/>
        <color rgb="FFFF0000"/>
      </font>
    </dxf>
    <dxf>
      <font>
        <color theme="9" tint="-0.24994659260841701"/>
      </font>
      <fill>
        <patternFill>
          <bgColor theme="9" tint="0.59996337778862885"/>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b/>
        <i val="0"/>
        <color rgb="FFFF0000"/>
      </font>
    </dxf>
    <dxf>
      <font>
        <b/>
        <i val="0"/>
        <color rgb="FFFF0000"/>
      </font>
    </dxf>
    <dxf>
      <font>
        <b/>
        <i val="0"/>
      </font>
    </dxf>
    <dxf>
      <font>
        <b/>
        <i val="0"/>
        <color rgb="FFFF0000"/>
      </font>
    </dxf>
    <dxf>
      <font>
        <b/>
        <i val="0"/>
      </font>
    </dxf>
    <dxf>
      <font>
        <b/>
        <i val="0"/>
        <color rgb="FFFF0000"/>
      </font>
    </dxf>
    <dxf>
      <font>
        <color theme="9" tint="-0.24994659260841701"/>
      </font>
      <fill>
        <patternFill>
          <bgColor theme="9" tint="0.59996337778862885"/>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b/>
        <i val="0"/>
        <color rgb="FFFF0000"/>
      </font>
    </dxf>
    <dxf>
      <font>
        <b/>
        <i val="0"/>
        <color rgb="FFFF0000"/>
      </font>
    </dxf>
    <dxf>
      <font>
        <b/>
        <i val="0"/>
      </font>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theme="9" tint="-0.24994659260841701"/>
      </font>
      <fill>
        <patternFill>
          <bgColor theme="9" tint="0.59996337778862885"/>
        </patternFill>
      </fill>
    </dxf>
    <dxf>
      <font>
        <b/>
        <i val="0"/>
        <color rgb="FFFF0000"/>
      </font>
    </dxf>
    <dxf>
      <font>
        <b/>
        <i val="0"/>
        <color rgb="FFFF0000"/>
      </font>
    </dxf>
    <dxf>
      <font>
        <b/>
        <i val="0"/>
      </font>
    </dxf>
    <dxf>
      <font>
        <b/>
        <i val="0"/>
        <color rgb="FFFF0000"/>
      </font>
    </dxf>
    <dxf>
      <font>
        <b/>
        <i val="0"/>
      </font>
    </dxf>
    <dxf>
      <font>
        <b/>
        <i val="0"/>
        <color rgb="FFFF0000"/>
      </font>
    </dxf>
    <dxf>
      <font>
        <color theme="9" tint="-0.24994659260841701"/>
      </font>
      <fill>
        <patternFill>
          <bgColor theme="9" tint="0.59996337778862885"/>
        </patternFill>
      </fill>
    </dxf>
    <dxf>
      <font>
        <color rgb="FF006100"/>
      </font>
      <fill>
        <patternFill>
          <bgColor rgb="FFC6EFCE"/>
        </patternFill>
      </fill>
    </dxf>
    <dxf>
      <font>
        <color rgb="FF9C0006"/>
      </font>
      <fill>
        <patternFill>
          <bgColor rgb="FFFFC7CE"/>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color rgb="FF9C0006"/>
      </font>
      <fill>
        <patternFill>
          <bgColor rgb="FFFFC7CE"/>
        </patternFill>
      </fill>
    </dxf>
    <dxf>
      <font>
        <color rgb="FF006100"/>
      </font>
      <fill>
        <patternFill>
          <bgColor rgb="FFC6EFCE"/>
        </patternFill>
      </fill>
    </dxf>
    <dxf>
      <font>
        <b/>
        <i val="0"/>
        <color rgb="FFFF0000"/>
      </font>
    </dxf>
    <dxf>
      <font>
        <b/>
        <i val="0"/>
        <color rgb="FFFF0000"/>
      </font>
    </dxf>
    <dxf>
      <font>
        <b/>
        <i val="0"/>
      </font>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b/>
        <i val="0"/>
        <color rgb="FFFF0000"/>
      </font>
    </dxf>
    <dxf>
      <font>
        <b/>
        <i val="0"/>
        <color rgb="FFFF0000"/>
      </font>
    </dxf>
    <dxf>
      <font>
        <b/>
        <i val="0"/>
        <color rgb="FFFF0000"/>
      </font>
    </dxf>
    <dxf>
      <font>
        <b/>
        <i val="0"/>
      </font>
    </dxf>
    <dxf>
      <font>
        <b/>
        <i val="0"/>
        <color rgb="FFFF0000"/>
      </font>
    </dxf>
    <dxf>
      <font>
        <b/>
        <i val="0"/>
      </font>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b/>
        <i val="0"/>
        <color rgb="FFFF0000"/>
      </font>
    </dxf>
    <dxf>
      <font>
        <b/>
        <i val="0"/>
        <color rgb="FFFF0000"/>
      </font>
    </dxf>
    <dxf>
      <font>
        <b/>
        <i val="0"/>
        <color rgb="FFFF0000"/>
      </font>
    </dxf>
    <dxf>
      <font>
        <b/>
        <i val="0"/>
      </font>
    </dxf>
    <dxf>
      <font>
        <b/>
        <i val="0"/>
        <color rgb="FFFF0000"/>
      </font>
    </dxf>
    <dxf>
      <font>
        <b/>
        <i val="0"/>
      </font>
    </dxf>
    <dxf>
      <font>
        <color theme="9" tint="-0.24994659260841701"/>
      </font>
      <fill>
        <patternFill>
          <bgColor theme="9" tint="0.59996337778862885"/>
        </patternFill>
      </fill>
    </dxf>
    <dxf>
      <font>
        <b/>
        <i val="0"/>
        <color rgb="FFFF0000"/>
      </font>
    </dxf>
    <dxf>
      <font>
        <b/>
        <i val="0"/>
        <color rgb="FFFF0000"/>
      </font>
    </dxf>
    <dxf>
      <font>
        <b/>
        <i val="0"/>
      </font>
    </dxf>
    <dxf>
      <font>
        <color theme="9" tint="-0.24994659260841701"/>
      </font>
      <fill>
        <patternFill>
          <bgColor theme="9" tint="0.59996337778862885"/>
        </patternFill>
      </fill>
    </dxf>
    <dxf>
      <font>
        <color theme="9" tint="-0.24994659260841701"/>
      </font>
      <fill>
        <patternFill>
          <bgColor theme="9" tint="0.59996337778862885"/>
        </patternFill>
      </fill>
    </dxf>
    <dxf>
      <font>
        <b/>
        <i val="0"/>
      </font>
    </dxf>
    <dxf>
      <font>
        <color rgb="FF006100"/>
      </font>
      <fill>
        <patternFill>
          <bgColor rgb="FFC6EFCE"/>
        </patternFill>
      </fill>
    </dxf>
    <dxf>
      <font>
        <color rgb="FF9C0006"/>
      </font>
      <fill>
        <patternFill>
          <bgColor rgb="FFFFC7CE"/>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color rgb="FF9C0006"/>
      </font>
      <fill>
        <patternFill>
          <bgColor rgb="FFFFC7CE"/>
        </patternFill>
      </fill>
    </dxf>
    <dxf>
      <font>
        <color rgb="FF006100"/>
      </font>
      <fill>
        <patternFill>
          <bgColor rgb="FFC6EFCE"/>
        </patternFill>
      </fill>
    </dxf>
    <dxf>
      <font>
        <b/>
        <i val="0"/>
        <color rgb="FFFF0000"/>
      </font>
    </dxf>
    <dxf>
      <font>
        <b/>
        <i val="0"/>
        <color rgb="FFFF0000"/>
      </font>
    </dxf>
    <dxf>
      <font>
        <b/>
        <i val="0"/>
      </font>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b/>
        <i val="0"/>
        <color rgb="FFFF0000"/>
      </font>
    </dxf>
    <dxf>
      <font>
        <b/>
        <i val="0"/>
        <color rgb="FFFF0000"/>
      </font>
    </dxf>
    <dxf>
      <font>
        <b/>
        <i val="0"/>
        <color rgb="FFFF0000"/>
      </font>
    </dxf>
    <dxf>
      <font>
        <b/>
        <i val="0"/>
      </font>
    </dxf>
    <dxf>
      <font>
        <b/>
        <i val="0"/>
        <color rgb="FFFF0000"/>
      </font>
    </dxf>
    <dxf>
      <font>
        <b/>
        <i val="0"/>
      </font>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b/>
        <i val="0"/>
        <color rgb="FFFF0000"/>
      </font>
    </dxf>
    <dxf>
      <font>
        <b/>
        <i val="0"/>
        <color rgb="FFFF0000"/>
      </font>
    </dxf>
    <dxf>
      <font>
        <b/>
        <i val="0"/>
        <color rgb="FFFF0000"/>
      </font>
    </dxf>
    <dxf>
      <font>
        <b/>
        <i val="0"/>
      </font>
    </dxf>
    <dxf>
      <font>
        <b/>
        <i val="0"/>
        <color rgb="FFFF0000"/>
      </font>
    </dxf>
    <dxf>
      <font>
        <b/>
        <i val="0"/>
      </font>
    </dxf>
    <dxf>
      <font>
        <color theme="9" tint="-0.24994659260841701"/>
      </font>
      <fill>
        <patternFill>
          <bgColor theme="9" tint="0.59996337778862885"/>
        </patternFill>
      </fill>
    </dxf>
    <dxf>
      <font>
        <b/>
        <i val="0"/>
        <color rgb="FFFF0000"/>
      </font>
    </dxf>
    <dxf>
      <font>
        <b/>
        <i val="0"/>
        <color rgb="FFFF0000"/>
      </font>
    </dxf>
    <dxf>
      <font>
        <b/>
        <i val="0"/>
      </font>
    </dxf>
    <dxf>
      <font>
        <color theme="9" tint="-0.24994659260841701"/>
      </font>
      <fill>
        <patternFill>
          <bgColor theme="9" tint="0.59996337778862885"/>
        </patternFill>
      </fill>
    </dxf>
    <dxf>
      <font>
        <b/>
        <i val="0"/>
        <color rgb="FFFF0000"/>
      </font>
    </dxf>
    <dxf>
      <font>
        <b/>
        <i val="0"/>
      </font>
    </dxf>
    <dxf>
      <font>
        <b/>
        <i val="0"/>
        <color rgb="FFFF0000"/>
      </font>
    </dxf>
    <dxf>
      <font>
        <color rgb="FF006100"/>
      </font>
      <fill>
        <patternFill>
          <bgColor rgb="FFC6EFCE"/>
        </patternFill>
      </fill>
    </dxf>
    <dxf>
      <font>
        <color rgb="FF9C0006"/>
      </font>
      <fill>
        <patternFill>
          <bgColor rgb="FFFFC7CE"/>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color rgb="FF9C0006"/>
      </font>
      <fill>
        <patternFill>
          <bgColor rgb="FFFFC7CE"/>
        </patternFill>
      </fill>
    </dxf>
    <dxf>
      <font>
        <color rgb="FF006100"/>
      </font>
      <fill>
        <patternFill>
          <bgColor rgb="FFC6EFCE"/>
        </patternFill>
      </fill>
    </dxf>
    <dxf>
      <font>
        <b/>
        <i val="0"/>
        <color rgb="FFFF0000"/>
      </font>
    </dxf>
    <dxf>
      <font>
        <b/>
        <i val="0"/>
        <color rgb="FFFF0000"/>
      </font>
    </dxf>
    <dxf>
      <font>
        <b/>
        <i val="0"/>
      </font>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b/>
        <i val="0"/>
        <color rgb="FFFF0000"/>
      </font>
    </dxf>
    <dxf>
      <font>
        <b/>
        <i val="0"/>
        <color rgb="FFFF0000"/>
      </font>
    </dxf>
    <dxf>
      <font>
        <b/>
        <i val="0"/>
        <color rgb="FFFF0000"/>
      </font>
    </dxf>
    <dxf>
      <font>
        <b/>
        <i val="0"/>
      </font>
    </dxf>
    <dxf>
      <font>
        <b/>
        <i val="0"/>
        <color rgb="FFFF0000"/>
      </font>
    </dxf>
    <dxf>
      <font>
        <b/>
        <i val="0"/>
      </font>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b/>
        <i val="0"/>
        <color rgb="FFFF0000"/>
      </font>
    </dxf>
    <dxf>
      <font>
        <b/>
        <i val="0"/>
        <color rgb="FFFF0000"/>
      </font>
    </dxf>
    <dxf>
      <font>
        <b/>
        <i val="0"/>
        <color rgb="FFFF0000"/>
      </font>
    </dxf>
    <dxf>
      <font>
        <b/>
        <i val="0"/>
      </font>
    </dxf>
    <dxf>
      <font>
        <b/>
        <i val="0"/>
        <color rgb="FFFF0000"/>
      </font>
    </dxf>
    <dxf>
      <font>
        <b/>
        <i val="0"/>
      </font>
    </dxf>
    <dxf>
      <font>
        <color theme="9" tint="-0.24994659260841701"/>
      </font>
      <fill>
        <patternFill>
          <bgColor theme="9" tint="0.59996337778862885"/>
        </patternFill>
      </fill>
    </dxf>
    <dxf>
      <font>
        <b/>
        <i val="0"/>
        <color rgb="FFFF0000"/>
      </font>
    </dxf>
    <dxf>
      <font>
        <b/>
        <i val="0"/>
        <color rgb="FFFF0000"/>
      </font>
    </dxf>
    <dxf>
      <font>
        <b/>
        <i val="0"/>
      </font>
    </dxf>
    <dxf>
      <font>
        <color theme="9" tint="-0.24994659260841701"/>
      </font>
      <fill>
        <patternFill>
          <bgColor theme="9" tint="0.59996337778862885"/>
        </patternFill>
      </fill>
    </dxf>
    <dxf>
      <font>
        <b/>
        <i val="0"/>
      </font>
    </dxf>
    <dxf>
      <font>
        <color rgb="FF006100"/>
      </font>
      <fill>
        <patternFill>
          <bgColor rgb="FFC6EFCE"/>
        </patternFill>
      </fill>
    </dxf>
    <dxf>
      <font>
        <color rgb="FF9C0006"/>
      </font>
      <fill>
        <patternFill>
          <bgColor rgb="FFFFC7CE"/>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color rgb="FF9C0006"/>
      </font>
      <fill>
        <patternFill>
          <bgColor rgb="FFFFC7CE"/>
        </patternFill>
      </fill>
    </dxf>
    <dxf>
      <font>
        <color rgb="FF006100"/>
      </font>
      <fill>
        <patternFill>
          <bgColor rgb="FFC6EFCE"/>
        </patternFill>
      </fill>
    </dxf>
    <dxf>
      <font>
        <b/>
        <i val="0"/>
        <color rgb="FFFF0000"/>
      </font>
    </dxf>
    <dxf>
      <font>
        <b/>
        <i val="0"/>
        <color rgb="FFFF0000"/>
      </font>
    </dxf>
    <dxf>
      <font>
        <b/>
        <i val="0"/>
      </font>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b/>
        <i val="0"/>
        <color rgb="FFFF0000"/>
      </font>
    </dxf>
    <dxf>
      <font>
        <b/>
        <i val="0"/>
        <color rgb="FFFF0000"/>
      </font>
    </dxf>
    <dxf>
      <font>
        <b/>
        <i val="0"/>
        <color rgb="FFFF0000"/>
      </font>
    </dxf>
    <dxf>
      <font>
        <b/>
        <i val="0"/>
      </font>
    </dxf>
    <dxf>
      <font>
        <b/>
        <i val="0"/>
        <color rgb="FFFF0000"/>
      </font>
    </dxf>
    <dxf>
      <font>
        <b/>
        <i val="0"/>
      </font>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b/>
        <i val="0"/>
        <color rgb="FFFF0000"/>
      </font>
    </dxf>
    <dxf>
      <font>
        <b/>
        <i val="0"/>
        <color rgb="FFFF0000"/>
      </font>
    </dxf>
    <dxf>
      <font>
        <b/>
        <i val="0"/>
        <color rgb="FFFF0000"/>
      </font>
    </dxf>
    <dxf>
      <font>
        <b/>
        <i val="0"/>
      </font>
    </dxf>
    <dxf>
      <font>
        <b/>
        <i val="0"/>
        <color rgb="FFFF0000"/>
      </font>
    </dxf>
    <dxf>
      <font>
        <b/>
        <i val="0"/>
      </font>
    </dxf>
    <dxf>
      <font>
        <color theme="9" tint="-0.24994659260841701"/>
      </font>
      <fill>
        <patternFill>
          <bgColor theme="9" tint="0.59996337778862885"/>
        </patternFill>
      </fill>
    </dxf>
    <dxf>
      <font>
        <b/>
        <i val="0"/>
        <color rgb="FFFF0000"/>
      </font>
    </dxf>
    <dxf>
      <font>
        <b/>
        <i val="0"/>
        <color rgb="FFFF0000"/>
      </font>
    </dxf>
    <dxf>
      <font>
        <b/>
        <i val="0"/>
      </font>
    </dxf>
    <dxf>
      <font>
        <color theme="9" tint="-0.24994659260841701"/>
      </font>
      <fill>
        <patternFill>
          <bgColor theme="9" tint="0.59996337778862885"/>
        </patternFill>
      </fill>
    </dxf>
    <dxf>
      <font>
        <b/>
        <i val="0"/>
        <color rgb="FFFF0000"/>
      </font>
    </dxf>
    <dxf>
      <font>
        <b/>
        <i val="0"/>
      </font>
    </dxf>
    <dxf>
      <font>
        <b/>
        <i val="0"/>
        <color rgb="FFFF0000"/>
      </font>
    </dxf>
    <dxf>
      <font>
        <color rgb="FF006100"/>
      </font>
      <fill>
        <patternFill>
          <bgColor rgb="FFC6EFCE"/>
        </patternFill>
      </fill>
    </dxf>
    <dxf>
      <font>
        <color rgb="FF9C0006"/>
      </font>
      <fill>
        <patternFill>
          <bgColor rgb="FFFFC7CE"/>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color rgb="FF9C0006"/>
      </font>
      <fill>
        <patternFill>
          <bgColor rgb="FFFFC7CE"/>
        </patternFill>
      </fill>
    </dxf>
    <dxf>
      <font>
        <color rgb="FF006100"/>
      </font>
      <fill>
        <patternFill>
          <bgColor rgb="FFC6EFCE"/>
        </patternFill>
      </fill>
    </dxf>
    <dxf>
      <font>
        <b/>
        <i val="0"/>
        <color rgb="FFFF0000"/>
      </font>
    </dxf>
    <dxf>
      <font>
        <b/>
        <i val="0"/>
        <color rgb="FFFF0000"/>
      </font>
    </dxf>
    <dxf>
      <font>
        <b/>
        <i val="0"/>
      </font>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b/>
        <i val="0"/>
        <color rgb="FFFF0000"/>
      </font>
    </dxf>
    <dxf>
      <font>
        <b/>
        <i val="0"/>
        <color rgb="FFFF0000"/>
      </font>
    </dxf>
    <dxf>
      <font>
        <b/>
        <i val="0"/>
        <color rgb="FFFF0000"/>
      </font>
    </dxf>
    <dxf>
      <font>
        <b/>
        <i val="0"/>
      </font>
    </dxf>
    <dxf>
      <font>
        <b/>
        <i val="0"/>
        <color rgb="FFFF0000"/>
      </font>
    </dxf>
    <dxf>
      <font>
        <b/>
        <i val="0"/>
      </font>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b/>
        <i val="0"/>
        <color rgb="FFFF0000"/>
      </font>
    </dxf>
    <dxf>
      <font>
        <b/>
        <i val="0"/>
        <color rgb="FFFF0000"/>
      </font>
    </dxf>
    <dxf>
      <font>
        <b/>
        <i val="0"/>
        <color rgb="FFFF0000"/>
      </font>
    </dxf>
    <dxf>
      <font>
        <b/>
        <i val="0"/>
      </font>
    </dxf>
    <dxf>
      <font>
        <b/>
        <i val="0"/>
        <color rgb="FFFF0000"/>
      </font>
    </dxf>
    <dxf>
      <font>
        <b/>
        <i val="0"/>
      </font>
    </dxf>
    <dxf>
      <font>
        <color theme="9" tint="-0.24994659260841701"/>
      </font>
      <fill>
        <patternFill>
          <bgColor theme="9" tint="0.59996337778862885"/>
        </patternFill>
      </fill>
    </dxf>
    <dxf>
      <font>
        <b/>
        <i val="0"/>
        <color rgb="FFFF0000"/>
      </font>
    </dxf>
    <dxf>
      <font>
        <b/>
        <i val="0"/>
        <color rgb="FFFF0000"/>
      </font>
    </dxf>
    <dxf>
      <font>
        <b/>
        <i val="0"/>
      </font>
    </dxf>
    <dxf>
      <font>
        <color theme="9" tint="-0.24994659260841701"/>
      </font>
      <fill>
        <patternFill>
          <bgColor theme="9" tint="0.59996337778862885"/>
        </patternFill>
      </fill>
    </dxf>
    <dxf>
      <font>
        <b/>
        <i val="0"/>
      </font>
    </dxf>
    <dxf>
      <font>
        <color rgb="FF006100"/>
      </font>
      <fill>
        <patternFill>
          <bgColor rgb="FFC6EFCE"/>
        </patternFill>
      </fill>
    </dxf>
    <dxf>
      <font>
        <color rgb="FF9C0006"/>
      </font>
      <fill>
        <patternFill>
          <bgColor rgb="FFFFC7CE"/>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color rgb="FF9C0006"/>
      </font>
      <fill>
        <patternFill>
          <bgColor rgb="FFFFC7CE"/>
        </patternFill>
      </fill>
    </dxf>
    <dxf>
      <font>
        <color rgb="FF006100"/>
      </font>
      <fill>
        <patternFill>
          <bgColor rgb="FFC6EFCE"/>
        </patternFill>
      </fill>
    </dxf>
    <dxf>
      <font>
        <b/>
        <i val="0"/>
        <color rgb="FFFF0000"/>
      </font>
    </dxf>
    <dxf>
      <font>
        <b/>
        <i val="0"/>
        <color rgb="FFFF0000"/>
      </font>
    </dxf>
    <dxf>
      <font>
        <b/>
        <i val="0"/>
      </font>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b/>
        <i val="0"/>
        <color rgb="FFFF0000"/>
      </font>
    </dxf>
    <dxf>
      <font>
        <b/>
        <i val="0"/>
        <color rgb="FFFF0000"/>
      </font>
    </dxf>
    <dxf>
      <font>
        <b/>
        <i val="0"/>
        <color rgb="FFFF0000"/>
      </font>
    </dxf>
    <dxf>
      <font>
        <b/>
        <i val="0"/>
      </font>
    </dxf>
    <dxf>
      <font>
        <b/>
        <i val="0"/>
        <color rgb="FFFF0000"/>
      </font>
    </dxf>
    <dxf>
      <font>
        <b/>
        <i val="0"/>
      </font>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b/>
        <i val="0"/>
        <color rgb="FFFF0000"/>
      </font>
    </dxf>
    <dxf>
      <font>
        <b/>
        <i val="0"/>
        <color rgb="FFFF0000"/>
      </font>
    </dxf>
    <dxf>
      <font>
        <b/>
        <i val="0"/>
        <color rgb="FFFF0000"/>
      </font>
    </dxf>
    <dxf>
      <font>
        <b/>
        <i val="0"/>
      </font>
    </dxf>
    <dxf>
      <font>
        <b/>
        <i val="0"/>
        <color rgb="FFFF0000"/>
      </font>
    </dxf>
    <dxf>
      <font>
        <b/>
        <i val="0"/>
      </font>
    </dxf>
    <dxf>
      <font>
        <color theme="9" tint="-0.24994659260841701"/>
      </font>
      <fill>
        <patternFill>
          <bgColor theme="9" tint="0.59996337778862885"/>
        </patternFill>
      </fill>
    </dxf>
    <dxf>
      <font>
        <b/>
        <i val="0"/>
        <color rgb="FFFF0000"/>
      </font>
    </dxf>
    <dxf>
      <font>
        <b/>
        <i val="0"/>
        <color rgb="FFFF0000"/>
      </font>
    </dxf>
    <dxf>
      <font>
        <b/>
        <i val="0"/>
      </font>
    </dxf>
    <dxf>
      <font>
        <color theme="9" tint="-0.24994659260841701"/>
      </font>
      <fill>
        <patternFill>
          <bgColor theme="9" tint="0.59996337778862885"/>
        </patternFill>
      </fill>
    </dxf>
    <dxf>
      <font>
        <b/>
        <i val="0"/>
        <color rgb="FFFF0000"/>
      </font>
    </dxf>
    <dxf>
      <font>
        <b/>
        <i val="0"/>
      </font>
    </dxf>
    <dxf>
      <font>
        <b/>
        <i val="0"/>
        <color rgb="FFFF0000"/>
      </font>
    </dxf>
    <dxf>
      <font>
        <color rgb="FF006100"/>
      </font>
      <fill>
        <patternFill>
          <bgColor rgb="FFC6EFCE"/>
        </patternFill>
      </fill>
    </dxf>
    <dxf>
      <font>
        <color rgb="FF9C0006"/>
      </font>
      <fill>
        <patternFill>
          <bgColor rgb="FFFFC7CE"/>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color rgb="FF9C0006"/>
      </font>
      <fill>
        <patternFill>
          <bgColor rgb="FFFFC7CE"/>
        </patternFill>
      </fill>
    </dxf>
    <dxf>
      <font>
        <color rgb="FF006100"/>
      </font>
      <fill>
        <patternFill>
          <bgColor rgb="FFC6EFCE"/>
        </patternFill>
      </fill>
    </dxf>
    <dxf>
      <font>
        <b/>
        <i val="0"/>
        <color rgb="FFFF0000"/>
      </font>
    </dxf>
    <dxf>
      <font>
        <b/>
        <i val="0"/>
        <color rgb="FFFF0000"/>
      </font>
    </dxf>
    <dxf>
      <font>
        <b/>
        <i val="0"/>
      </font>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b/>
        <i val="0"/>
        <color rgb="FFFF0000"/>
      </font>
    </dxf>
    <dxf>
      <font>
        <b/>
        <i val="0"/>
        <color rgb="FFFF0000"/>
      </font>
    </dxf>
    <dxf>
      <font>
        <b/>
        <i val="0"/>
        <color rgb="FFFF0000"/>
      </font>
    </dxf>
    <dxf>
      <font>
        <b/>
        <i val="0"/>
      </font>
    </dxf>
    <dxf>
      <font>
        <b/>
        <i val="0"/>
        <color rgb="FFFF0000"/>
      </font>
    </dxf>
    <dxf>
      <font>
        <b/>
        <i val="0"/>
      </font>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b/>
        <i val="0"/>
        <color rgb="FFFF0000"/>
      </font>
    </dxf>
    <dxf>
      <font>
        <b/>
        <i val="0"/>
        <color rgb="FFFF0000"/>
      </font>
    </dxf>
    <dxf>
      <font>
        <b/>
        <i val="0"/>
        <color rgb="FFFF0000"/>
      </font>
    </dxf>
    <dxf>
      <font>
        <b/>
        <i val="0"/>
      </font>
    </dxf>
    <dxf>
      <font>
        <b/>
        <i val="0"/>
        <color rgb="FFFF0000"/>
      </font>
    </dxf>
    <dxf>
      <font>
        <b/>
        <i val="0"/>
      </font>
    </dxf>
    <dxf>
      <font>
        <color theme="9" tint="-0.24994659260841701"/>
      </font>
      <fill>
        <patternFill>
          <bgColor theme="9" tint="0.59996337778862885"/>
        </patternFill>
      </fill>
    </dxf>
    <dxf>
      <font>
        <b/>
        <i val="0"/>
        <color rgb="FFFF0000"/>
      </font>
    </dxf>
    <dxf>
      <font>
        <b/>
        <i val="0"/>
        <color rgb="FFFF0000"/>
      </font>
    </dxf>
    <dxf>
      <font>
        <b/>
        <i val="0"/>
      </font>
    </dxf>
    <dxf>
      <font>
        <color theme="9" tint="-0.24994659260841701"/>
      </font>
      <fill>
        <patternFill>
          <bgColor theme="9" tint="0.59996337778862885"/>
        </patternFill>
      </fill>
    </dxf>
    <dxf>
      <font>
        <b/>
        <i val="0"/>
        <color rgb="FFFF0000"/>
      </font>
    </dxf>
    <dxf>
      <font>
        <b/>
        <i val="0"/>
      </font>
    </dxf>
    <dxf>
      <font>
        <b/>
        <i val="0"/>
        <color rgb="FFFF0000"/>
      </font>
    </dxf>
    <dxf>
      <font>
        <color rgb="FF006100"/>
      </font>
      <fill>
        <patternFill>
          <bgColor rgb="FFC6EFCE"/>
        </patternFill>
      </fill>
    </dxf>
    <dxf>
      <font>
        <color rgb="FF9C0006"/>
      </font>
      <fill>
        <patternFill>
          <bgColor rgb="FFFFC7CE"/>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color rgb="FF9C0006"/>
      </font>
      <fill>
        <patternFill>
          <bgColor rgb="FFFFC7CE"/>
        </patternFill>
      </fill>
    </dxf>
    <dxf>
      <font>
        <color rgb="FF006100"/>
      </font>
      <fill>
        <patternFill>
          <bgColor rgb="FFC6EFCE"/>
        </patternFill>
      </fill>
    </dxf>
    <dxf>
      <font>
        <b/>
        <i val="0"/>
        <color rgb="FFFF0000"/>
      </font>
    </dxf>
    <dxf>
      <font>
        <b/>
        <i val="0"/>
        <color rgb="FFFF0000"/>
      </font>
    </dxf>
    <dxf>
      <font>
        <b/>
        <i val="0"/>
      </font>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b/>
        <i val="0"/>
        <color rgb="FFFF0000"/>
      </font>
    </dxf>
    <dxf>
      <font>
        <b/>
        <i val="0"/>
        <color rgb="FFFF0000"/>
      </font>
    </dxf>
    <dxf>
      <font>
        <b/>
        <i val="0"/>
        <color rgb="FFFF0000"/>
      </font>
    </dxf>
    <dxf>
      <font>
        <b/>
        <i val="0"/>
      </font>
    </dxf>
    <dxf>
      <font>
        <b/>
        <i val="0"/>
        <color rgb="FFFF0000"/>
      </font>
    </dxf>
    <dxf>
      <font>
        <b/>
        <i val="0"/>
      </font>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b/>
        <i val="0"/>
        <color rgb="FFFF0000"/>
      </font>
    </dxf>
    <dxf>
      <font>
        <b/>
        <i val="0"/>
        <color rgb="FFFF0000"/>
      </font>
    </dxf>
    <dxf>
      <font>
        <b/>
        <i val="0"/>
        <color rgb="FFFF0000"/>
      </font>
    </dxf>
    <dxf>
      <font>
        <b/>
        <i val="0"/>
      </font>
    </dxf>
    <dxf>
      <font>
        <b/>
        <i val="0"/>
        <color rgb="FFFF0000"/>
      </font>
    </dxf>
    <dxf>
      <font>
        <b/>
        <i val="0"/>
      </font>
    </dxf>
    <dxf>
      <font>
        <color theme="9" tint="-0.24994659260841701"/>
      </font>
      <fill>
        <patternFill>
          <bgColor theme="9" tint="0.59996337778862885"/>
        </patternFill>
      </fill>
    </dxf>
    <dxf>
      <font>
        <b/>
        <i val="0"/>
        <color rgb="FFFF0000"/>
      </font>
    </dxf>
    <dxf>
      <font>
        <b/>
        <i val="0"/>
        <color rgb="FFFF0000"/>
      </font>
    </dxf>
    <dxf>
      <font>
        <b/>
        <i val="0"/>
      </font>
    </dxf>
    <dxf>
      <font>
        <color theme="9" tint="-0.24994659260841701"/>
      </font>
      <fill>
        <patternFill>
          <bgColor theme="9" tint="0.59996337778862885"/>
        </patternFill>
      </fill>
    </dxf>
    <dxf>
      <font>
        <b/>
        <i val="0"/>
      </font>
    </dxf>
    <dxf>
      <font>
        <color rgb="FF006100"/>
      </font>
      <fill>
        <patternFill>
          <bgColor rgb="FFC6EFCE"/>
        </patternFill>
      </fill>
    </dxf>
    <dxf>
      <font>
        <color rgb="FF9C0006"/>
      </font>
      <fill>
        <patternFill>
          <bgColor rgb="FFFFC7CE"/>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color rgb="FF9C0006"/>
      </font>
      <fill>
        <patternFill>
          <bgColor rgb="FFFFC7CE"/>
        </patternFill>
      </fill>
    </dxf>
    <dxf>
      <font>
        <color rgb="FF006100"/>
      </font>
      <fill>
        <patternFill>
          <bgColor rgb="FFC6EFCE"/>
        </patternFill>
      </fill>
    </dxf>
    <dxf>
      <font>
        <b/>
        <i val="0"/>
        <color rgb="FFFF0000"/>
      </font>
    </dxf>
    <dxf>
      <font>
        <b/>
        <i val="0"/>
        <color rgb="FFFF0000"/>
      </font>
    </dxf>
    <dxf>
      <font>
        <b/>
        <i val="0"/>
      </font>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b/>
        <i val="0"/>
        <color rgb="FFFF0000"/>
      </font>
    </dxf>
    <dxf>
      <font>
        <b/>
        <i val="0"/>
        <color rgb="FFFF0000"/>
      </font>
    </dxf>
    <dxf>
      <font>
        <b/>
        <i val="0"/>
        <color rgb="FFFF0000"/>
      </font>
    </dxf>
    <dxf>
      <font>
        <b/>
        <i val="0"/>
      </font>
    </dxf>
    <dxf>
      <font>
        <b/>
        <i val="0"/>
        <color rgb="FFFF0000"/>
      </font>
    </dxf>
    <dxf>
      <font>
        <b/>
        <i val="0"/>
      </font>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b/>
        <i val="0"/>
        <color rgb="FFFF0000"/>
      </font>
    </dxf>
    <dxf>
      <font>
        <b/>
        <i val="0"/>
        <color rgb="FFFF0000"/>
      </font>
    </dxf>
    <dxf>
      <font>
        <b/>
        <i val="0"/>
        <color rgb="FFFF0000"/>
      </font>
    </dxf>
    <dxf>
      <font>
        <b/>
        <i val="0"/>
      </font>
    </dxf>
    <dxf>
      <font>
        <b/>
        <i val="0"/>
        <color rgb="FFFF0000"/>
      </font>
    </dxf>
    <dxf>
      <font>
        <b/>
        <i val="0"/>
      </font>
    </dxf>
    <dxf>
      <font>
        <color theme="9" tint="-0.24994659260841701"/>
      </font>
      <fill>
        <patternFill>
          <bgColor theme="9" tint="0.59996337778862885"/>
        </patternFill>
      </fill>
    </dxf>
    <dxf>
      <font>
        <b/>
        <i val="0"/>
        <color rgb="FFFF0000"/>
      </font>
    </dxf>
    <dxf>
      <font>
        <b/>
        <i val="0"/>
        <color rgb="FFFF0000"/>
      </font>
    </dxf>
    <dxf>
      <font>
        <b/>
        <i val="0"/>
      </font>
    </dxf>
    <dxf>
      <font>
        <color theme="9" tint="-0.24994659260841701"/>
      </font>
      <fill>
        <patternFill>
          <bgColor theme="9" tint="0.59996337778862885"/>
        </patternFill>
      </fill>
    </dxf>
    <dxf>
      <font>
        <b/>
        <i val="0"/>
      </font>
    </dxf>
    <dxf>
      <font>
        <color rgb="FF006100"/>
      </font>
      <fill>
        <patternFill>
          <bgColor rgb="FFC6EFCE"/>
        </patternFill>
      </fill>
    </dxf>
    <dxf>
      <font>
        <color rgb="FF9C0006"/>
      </font>
      <fill>
        <patternFill>
          <bgColor rgb="FFFFC7CE"/>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b/>
        <i val="0"/>
        <color rgb="FFFF0000"/>
      </font>
    </dxf>
    <dxf>
      <font>
        <b/>
        <i val="0"/>
        <color rgb="FFFF0000"/>
      </font>
    </dxf>
    <dxf>
      <font>
        <b/>
        <i val="0"/>
      </font>
    </dxf>
    <dxf>
      <font>
        <b/>
        <i val="0"/>
        <color rgb="FFFF0000"/>
      </font>
    </dxf>
    <dxf>
      <font>
        <b/>
        <i val="0"/>
      </font>
    </dxf>
    <dxf>
      <font>
        <b/>
        <i val="0"/>
        <color rgb="FFFF0000"/>
      </font>
    </dxf>
    <dxf>
      <font>
        <color theme="9" tint="-0.24994659260841701"/>
      </font>
      <fill>
        <patternFill>
          <bgColor theme="9" tint="0.59996337778862885"/>
        </patternFill>
      </fill>
    </dxf>
    <dxf>
      <font>
        <color theme="9" tint="-0.24994659260841701"/>
      </font>
      <fill>
        <patternFill>
          <bgColor theme="9" tint="0.59996337778862885"/>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b/>
        <i val="0"/>
        <color rgb="FFFF0000"/>
      </font>
    </dxf>
    <dxf>
      <font>
        <b/>
        <i val="0"/>
        <color rgb="FFFF0000"/>
      </font>
    </dxf>
    <dxf>
      <font>
        <b/>
        <i val="0"/>
      </font>
    </dxf>
    <dxf>
      <font>
        <color theme="9" tint="-0.24994659260841701"/>
      </font>
      <fill>
        <patternFill>
          <bgColor theme="9" tint="0.59996337778862885"/>
        </patternFill>
      </fill>
    </dxf>
    <dxf>
      <font>
        <b/>
        <i val="0"/>
        <color rgb="FFFF0000"/>
      </font>
    </dxf>
    <dxf>
      <font>
        <b/>
        <i val="0"/>
      </font>
    </dxf>
    <dxf>
      <font>
        <b/>
        <i val="0"/>
        <color rgb="FFFF0000"/>
      </font>
    </dxf>
    <dxf>
      <font>
        <color theme="9" tint="-0.24994659260841701"/>
      </font>
      <fill>
        <patternFill>
          <bgColor theme="9" tint="0.59996337778862885"/>
        </patternFill>
      </fill>
    </dxf>
    <dxf>
      <font>
        <color theme="9" tint="-0.24994659260841701"/>
      </font>
      <fill>
        <patternFill>
          <bgColor theme="9" tint="0.59996337778862885"/>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b/>
        <i val="0"/>
        <color rgb="FFFF0000"/>
      </font>
    </dxf>
    <dxf>
      <font>
        <b/>
        <i val="0"/>
        <color rgb="FFFF0000"/>
      </font>
    </dxf>
    <dxf>
      <font>
        <b/>
        <i val="0"/>
      </font>
    </dxf>
    <dxf>
      <font>
        <b/>
        <i val="0"/>
      </font>
    </dxf>
    <dxf>
      <font>
        <b/>
        <i val="0"/>
        <color rgb="FFFF0000"/>
      </font>
    </dxf>
    <dxf>
      <font>
        <b/>
        <i val="0"/>
        <color rgb="FFFF0000"/>
      </font>
    </dxf>
    <dxf>
      <font>
        <color theme="9" tint="-0.24994659260841701"/>
      </font>
      <fill>
        <patternFill>
          <bgColor theme="9" tint="0.59996337778862885"/>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b/>
        <i val="0"/>
        <color rgb="FFFF0000"/>
      </font>
    </dxf>
    <dxf>
      <font>
        <b/>
        <i val="0"/>
        <color rgb="FFFF0000"/>
      </font>
    </dxf>
    <dxf>
      <font>
        <b/>
        <i val="0"/>
      </font>
    </dxf>
    <dxf>
      <font>
        <color theme="9" tint="-0.24994659260841701"/>
      </font>
      <fill>
        <patternFill>
          <bgColor theme="9" tint="0.59996337778862885"/>
        </patternFill>
      </fill>
    </dxf>
    <dxf>
      <font>
        <color theme="9" tint="-0.24994659260841701"/>
      </font>
      <fill>
        <patternFill>
          <bgColor theme="9" tint="0.59996337778862885"/>
        </patternFill>
      </fill>
    </dxf>
    <dxf>
      <font>
        <b/>
        <i val="0"/>
        <color rgb="FFFF0000"/>
      </font>
    </dxf>
    <dxf>
      <font>
        <color theme="9" tint="-0.24994659260841701"/>
      </font>
      <fill>
        <patternFill>
          <bgColor theme="9" tint="0.59996337778862885"/>
        </patternFill>
      </fill>
    </dxf>
    <dxf>
      <font>
        <color theme="9" tint="-0.24994659260841701"/>
      </font>
      <fill>
        <patternFill>
          <bgColor theme="9" tint="0.59996337778862885"/>
        </patternFill>
      </fill>
    </dxf>
    <dxf>
      <font>
        <b/>
        <i val="0"/>
      </font>
    </dxf>
    <dxf>
      <font>
        <b/>
        <i val="0"/>
        <color rgb="FFFF0000"/>
      </font>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b/>
        <i val="0"/>
        <color rgb="FFFF0000"/>
      </font>
    </dxf>
    <dxf>
      <font>
        <b/>
        <i val="0"/>
        <color rgb="FFFF0000"/>
      </font>
    </dxf>
    <dxf>
      <font>
        <b/>
        <i val="0"/>
      </font>
    </dxf>
    <dxf>
      <font>
        <color rgb="FF9C0006"/>
      </font>
      <fill>
        <patternFill>
          <bgColor rgb="FFFFC7CE"/>
        </patternFill>
      </fill>
    </dxf>
    <dxf>
      <font>
        <color rgb="FF006100"/>
      </font>
      <fill>
        <patternFill>
          <bgColor rgb="FFC6EFCE"/>
        </patternFill>
      </fill>
    </dxf>
    <dxf>
      <font>
        <b/>
        <i val="0"/>
        <color rgb="FFFF0000"/>
      </font>
    </dxf>
    <dxf>
      <font>
        <b/>
        <i val="0"/>
        <color rgb="FFFF0000"/>
      </font>
    </dxf>
    <dxf>
      <font>
        <b/>
        <i val="0"/>
      </font>
    </dxf>
    <dxf>
      <font>
        <b/>
        <i val="0"/>
        <color rgb="FFFF0000"/>
      </font>
    </dxf>
    <dxf>
      <font>
        <color theme="9" tint="-0.24994659260841701"/>
      </font>
      <fill>
        <patternFill>
          <bgColor theme="9" tint="0.59996337778862885"/>
        </patternFill>
      </fill>
    </dxf>
    <dxf>
      <font>
        <b/>
        <i val="0"/>
      </font>
    </dxf>
    <dxf>
      <font>
        <b/>
        <i val="0"/>
        <color rgb="FFFF0000"/>
      </font>
    </dxf>
    <dxf>
      <font>
        <b/>
        <i val="0"/>
        <color rgb="FFFF0000"/>
      </font>
    </dxf>
    <dxf>
      <font>
        <color theme="9" tint="-0.24994659260841701"/>
      </font>
      <fill>
        <patternFill>
          <bgColor theme="9" tint="0.59996337778862885"/>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b/>
        <i val="0"/>
      </font>
    </dxf>
    <dxf>
      <font>
        <b/>
        <i val="0"/>
        <color rgb="FFFF0000"/>
      </font>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b/>
        <i val="0"/>
        <color rgb="FFFF0000"/>
      </font>
    </dxf>
    <dxf>
      <font>
        <b/>
        <i val="0"/>
        <color rgb="FFFF0000"/>
      </font>
    </dxf>
    <dxf>
      <font>
        <b/>
        <i val="0"/>
      </font>
    </dxf>
    <dxf>
      <font>
        <color rgb="FF9C0006"/>
      </font>
      <fill>
        <patternFill>
          <bgColor rgb="FFFFC7CE"/>
        </patternFill>
      </fill>
    </dxf>
    <dxf>
      <font>
        <color rgb="FF006100"/>
      </font>
      <fill>
        <patternFill>
          <bgColor rgb="FFC6EFCE"/>
        </patternFill>
      </fill>
    </dxf>
    <dxf>
      <font>
        <b/>
        <i val="0"/>
        <color rgb="FFFF0000"/>
      </font>
    </dxf>
    <dxf>
      <font>
        <b/>
        <i val="0"/>
        <color rgb="FFFF0000"/>
      </font>
    </dxf>
    <dxf>
      <font>
        <b/>
        <i val="0"/>
      </font>
    </dxf>
    <dxf>
      <font>
        <b/>
        <i val="0"/>
        <color rgb="FFFF0000"/>
      </font>
    </dxf>
    <dxf>
      <font>
        <b/>
        <i val="0"/>
      </font>
    </dxf>
    <dxf>
      <font>
        <b/>
        <i val="0"/>
        <color rgb="FFFF0000"/>
      </font>
    </dxf>
    <dxf>
      <font>
        <color theme="9" tint="-0.24994659260841701"/>
      </font>
      <fill>
        <patternFill>
          <bgColor theme="9" tint="0.59996337778862885"/>
        </patternFill>
      </fill>
    </dxf>
    <dxf>
      <font>
        <color theme="9" tint="-0.24994659260841701"/>
      </font>
      <fill>
        <patternFill>
          <bgColor theme="9" tint="0.59996337778862885"/>
        </patternFill>
      </fill>
    </dxf>
    <dxf>
      <font>
        <b/>
        <i val="0"/>
      </font>
    </dxf>
    <dxf>
      <font>
        <b/>
        <i val="0"/>
        <color rgb="FFFF0000"/>
      </font>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b/>
        <i val="0"/>
        <color rgb="FFFF0000"/>
      </font>
    </dxf>
    <dxf>
      <font>
        <b/>
        <i val="0"/>
        <color rgb="FFFF0000"/>
      </font>
    </dxf>
    <dxf>
      <font>
        <b/>
        <i val="0"/>
      </font>
    </dxf>
    <dxf>
      <font>
        <color rgb="FF9C0006"/>
      </font>
      <fill>
        <patternFill>
          <bgColor rgb="FFFFC7CE"/>
        </patternFill>
      </fill>
    </dxf>
    <dxf>
      <font>
        <color rgb="FF006100"/>
      </font>
      <fill>
        <patternFill>
          <bgColor rgb="FFC6EFCE"/>
        </patternFill>
      </fill>
    </dxf>
    <dxf>
      <font>
        <b/>
        <i val="0"/>
        <color rgb="FFFF0000"/>
      </font>
    </dxf>
    <dxf>
      <font>
        <b/>
        <i val="0"/>
        <color rgb="FFFF0000"/>
      </font>
    </dxf>
    <dxf>
      <font>
        <b/>
        <i val="0"/>
      </font>
    </dxf>
    <dxf>
      <font>
        <b/>
        <i val="0"/>
        <color rgb="FFFF0000"/>
      </font>
    </dxf>
    <dxf>
      <font>
        <b/>
        <i val="0"/>
      </font>
    </dxf>
    <dxf>
      <font>
        <b/>
        <i val="0"/>
        <color rgb="FFFF0000"/>
      </font>
    </dxf>
    <dxf>
      <font>
        <b/>
        <i val="0"/>
        <color rgb="FFFF0000"/>
      </font>
    </dxf>
    <dxf>
      <font>
        <color theme="9" tint="-0.24994659260841701"/>
      </font>
      <fill>
        <patternFill>
          <bgColor theme="9" tint="0.59996337778862885"/>
        </patternFill>
      </fill>
    </dxf>
    <dxf>
      <font>
        <b/>
        <i val="0"/>
      </font>
    </dxf>
    <dxf>
      <font>
        <b/>
        <i val="0"/>
        <color rgb="FFFF0000"/>
      </font>
    </dxf>
    <dxf>
      <font>
        <b/>
        <i val="0"/>
        <color rgb="FFFF0000"/>
      </font>
    </dxf>
    <dxf>
      <font>
        <b/>
        <i val="0"/>
      </font>
    </dxf>
    <dxf>
      <font>
        <b/>
        <i val="0"/>
        <color rgb="FFFF0000"/>
      </font>
    </dxf>
    <dxf>
      <font>
        <color theme="9" tint="-0.24994659260841701"/>
      </font>
      <fill>
        <patternFill>
          <bgColor theme="9" tint="0.59996337778862885"/>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b/>
        <i val="0"/>
      </font>
    </dxf>
    <dxf>
      <font>
        <b/>
        <i val="0"/>
        <color rgb="FFFF0000"/>
      </font>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b/>
        <i val="0"/>
        <color rgb="FFFF0000"/>
      </font>
    </dxf>
    <dxf>
      <font>
        <b/>
        <i val="0"/>
        <color rgb="FFFF0000"/>
      </font>
    </dxf>
    <dxf>
      <font>
        <b/>
        <i val="0"/>
      </font>
    </dxf>
    <dxf>
      <font>
        <color rgb="FF9C0006"/>
      </font>
      <fill>
        <patternFill>
          <bgColor rgb="FFFFC7CE"/>
        </patternFill>
      </fill>
    </dxf>
    <dxf>
      <font>
        <color rgb="FF006100"/>
      </font>
      <fill>
        <patternFill>
          <bgColor rgb="FFC6EFCE"/>
        </patternFill>
      </fill>
    </dxf>
    <dxf>
      <font>
        <b/>
        <i val="0"/>
        <color rgb="FFFF0000"/>
      </font>
    </dxf>
    <dxf>
      <font>
        <b/>
        <i val="0"/>
        <color rgb="FFFF0000"/>
      </font>
    </dxf>
    <dxf>
      <font>
        <b/>
        <i val="0"/>
      </font>
    </dxf>
    <dxf>
      <font>
        <color theme="9" tint="-0.24994659260841701"/>
      </font>
      <fill>
        <patternFill>
          <bgColor theme="9" tint="0.59996337778862885"/>
        </patternFill>
      </fill>
    </dxf>
    <dxf>
      <font>
        <b/>
        <i val="0"/>
        <color rgb="FFFF0000"/>
      </font>
    </dxf>
    <dxf>
      <font>
        <color theme="9" tint="-0.24994659260841701"/>
      </font>
      <fill>
        <patternFill>
          <bgColor theme="9" tint="0.59996337778862885"/>
        </patternFill>
      </fill>
    </dxf>
    <dxf>
      <font>
        <color theme="9" tint="-0.24994659260841701"/>
      </font>
      <fill>
        <patternFill>
          <bgColor theme="9" tint="0.59996337778862885"/>
        </patternFill>
      </fill>
    </dxf>
    <dxf>
      <font>
        <b/>
        <i val="0"/>
      </font>
    </dxf>
    <dxf>
      <font>
        <b/>
        <i val="0"/>
        <color rgb="FFFF0000"/>
      </font>
    </dxf>
    <dxf>
      <font>
        <color theme="9" tint="-0.24994659260841701"/>
      </font>
      <fill>
        <patternFill>
          <bgColor theme="9" tint="0.59996337778862885"/>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b/>
        <i val="0"/>
        <color rgb="FFFF0000"/>
      </font>
    </dxf>
    <dxf>
      <font>
        <b/>
        <i val="0"/>
        <color rgb="FFFF0000"/>
      </font>
    </dxf>
    <dxf>
      <font>
        <b/>
        <i val="0"/>
      </font>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theme="9" tint="-0.24994659260841701"/>
      </font>
      <fill>
        <patternFill>
          <bgColor theme="9" tint="0.59996337778862885"/>
        </patternFill>
      </fill>
    </dxf>
    <dxf>
      <font>
        <b/>
        <i val="0"/>
        <color rgb="FFFF0000"/>
      </font>
    </dxf>
    <dxf>
      <font>
        <b/>
        <i val="0"/>
        <color rgb="FFFF0000"/>
      </font>
    </dxf>
    <dxf>
      <font>
        <b/>
        <i val="0"/>
      </font>
    </dxf>
    <dxf>
      <font>
        <color theme="9" tint="-0.24994659260841701"/>
      </font>
      <fill>
        <patternFill>
          <bgColor theme="9" tint="0.59996337778862885"/>
        </patternFill>
      </fill>
    </dxf>
    <dxf>
      <font>
        <b/>
        <i val="0"/>
        <color rgb="FFFF0000"/>
      </font>
    </dxf>
    <dxf>
      <font>
        <b/>
        <i val="0"/>
      </font>
    </dxf>
    <dxf>
      <font>
        <b/>
        <i val="0"/>
        <color rgb="FFFF0000"/>
      </font>
    </dxf>
    <dxf>
      <font>
        <color theme="9" tint="-0.24994659260841701"/>
      </font>
      <fill>
        <patternFill>
          <bgColor theme="9" tint="0.59996337778862885"/>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color rgb="FF006100"/>
      </font>
      <fill>
        <patternFill>
          <bgColor rgb="FFC6EFCE"/>
        </patternFill>
      </fill>
    </dxf>
    <dxf>
      <font>
        <color rgb="FF9C0006"/>
      </font>
      <fill>
        <patternFill>
          <bgColor rgb="FFFFC7CE"/>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b/>
        <i val="0"/>
      </font>
    </dxf>
    <dxf>
      <font>
        <b/>
        <i val="0"/>
        <color rgb="FFFF0000"/>
      </font>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b/>
        <i val="0"/>
        <color rgb="FFFF0000"/>
      </font>
    </dxf>
    <dxf>
      <font>
        <b/>
        <i val="0"/>
        <color rgb="FFFF0000"/>
      </font>
    </dxf>
    <dxf>
      <font>
        <b/>
        <i val="0"/>
      </font>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b/>
        <i val="0"/>
        <color rgb="FFFF0000"/>
      </font>
    </dxf>
    <dxf>
      <font>
        <b/>
        <i val="0"/>
        <color rgb="FFFF0000"/>
      </font>
    </dxf>
    <dxf>
      <font>
        <b/>
        <i val="0"/>
      </font>
    </dxf>
    <dxf>
      <font>
        <color theme="9" tint="-0.24994659260841701"/>
      </font>
      <fill>
        <patternFill>
          <bgColor theme="9" tint="0.59996337778862885"/>
        </patternFill>
      </fill>
    </dxf>
    <dxf>
      <font>
        <b/>
        <i val="0"/>
        <color rgb="FFFF0000"/>
      </font>
    </dxf>
    <dxf>
      <font>
        <color theme="9" tint="-0.24994659260841701"/>
      </font>
      <fill>
        <patternFill>
          <bgColor theme="9" tint="0.59996337778862885"/>
        </patternFill>
      </fill>
    </dxf>
    <dxf>
      <font>
        <color theme="9" tint="-0.24994659260841701"/>
      </font>
      <fill>
        <patternFill>
          <bgColor theme="9" tint="0.59996337778862885"/>
        </patternFill>
      </fill>
    </dxf>
    <dxf>
      <font>
        <b/>
        <i val="0"/>
      </font>
    </dxf>
    <dxf>
      <font>
        <b/>
        <i val="0"/>
        <color rgb="FFFF0000"/>
      </font>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b/>
        <i val="0"/>
        <color rgb="FFFF0000"/>
      </font>
    </dxf>
    <dxf>
      <font>
        <b/>
        <i val="0"/>
        <color rgb="FFFF0000"/>
      </font>
    </dxf>
    <dxf>
      <font>
        <b/>
        <i val="0"/>
      </font>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b/>
        <i val="0"/>
        <color rgb="FFFF0000"/>
      </font>
    </dxf>
    <dxf>
      <font>
        <b/>
        <i val="0"/>
        <color rgb="FFFF0000"/>
      </font>
    </dxf>
    <dxf>
      <font>
        <b/>
        <i val="0"/>
      </font>
    </dxf>
    <dxf>
      <font>
        <color theme="9" tint="-0.24994659260841701"/>
      </font>
      <fill>
        <patternFill>
          <bgColor theme="9" tint="0.59996337778862885"/>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b/>
        <i val="0"/>
        <color rgb="FFFF0000"/>
      </font>
    </dxf>
    <dxf>
      <font>
        <color theme="9" tint="-0.24994659260841701"/>
      </font>
      <fill>
        <patternFill>
          <bgColor theme="9" tint="0.59996337778862885"/>
        </patternFill>
      </fill>
    </dxf>
    <dxf>
      <font>
        <color theme="9" tint="-0.24994659260841701"/>
      </font>
      <fill>
        <patternFill>
          <bgColor theme="9" tint="0.59996337778862885"/>
        </patternFill>
      </fill>
    </dxf>
    <dxf>
      <font>
        <b/>
        <i val="0"/>
      </font>
    </dxf>
    <dxf>
      <font>
        <b/>
        <i val="0"/>
        <color rgb="FFFF0000"/>
      </font>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b/>
        <i val="0"/>
        <color rgb="FFFF0000"/>
      </font>
    </dxf>
    <dxf>
      <font>
        <b/>
        <i val="0"/>
        <color rgb="FFFF0000"/>
      </font>
    </dxf>
    <dxf>
      <font>
        <b/>
        <i val="0"/>
      </font>
    </dxf>
    <dxf>
      <font>
        <b/>
        <i val="0"/>
        <color rgb="FFFF0000"/>
      </font>
    </dxf>
    <dxf>
      <font>
        <color theme="9" tint="-0.24994659260841701"/>
      </font>
      <fill>
        <patternFill>
          <bgColor theme="9" tint="0.59996337778862885"/>
        </patternFill>
      </fill>
    </dxf>
    <dxf>
      <font>
        <color theme="9" tint="-0.24994659260841701"/>
      </font>
      <fill>
        <patternFill>
          <bgColor theme="9" tint="0.59996337778862885"/>
        </patternFill>
      </fill>
    </dxf>
    <dxf>
      <font>
        <b/>
        <i val="0"/>
      </font>
    </dxf>
    <dxf>
      <font>
        <b/>
        <i val="0"/>
        <color rgb="FFFF0000"/>
      </font>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b/>
        <i val="0"/>
        <color rgb="FFFF0000"/>
      </font>
    </dxf>
    <dxf>
      <font>
        <b/>
        <i val="0"/>
        <color rgb="FFFF0000"/>
      </font>
    </dxf>
    <dxf>
      <font>
        <b/>
        <i val="0"/>
      </font>
    </dxf>
    <dxf>
      <font>
        <color theme="9" tint="-0.24994659260841701"/>
      </font>
      <fill>
        <patternFill>
          <bgColor theme="9" tint="0.59996337778862885"/>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b/>
        <i val="0"/>
        <color rgb="FFFF0000"/>
      </font>
    </dxf>
    <dxf>
      <font>
        <b/>
        <i val="0"/>
      </font>
    </dxf>
    <dxf>
      <font>
        <b/>
        <i val="0"/>
        <color rgb="FFFF0000"/>
      </font>
    </dxf>
    <dxf>
      <font>
        <color theme="9" tint="-0.24994659260841701"/>
      </font>
      <fill>
        <patternFill>
          <bgColor theme="9" tint="0.59996337778862885"/>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b/>
        <i val="0"/>
        <color rgb="FFFF0000"/>
      </font>
    </dxf>
    <dxf>
      <font>
        <b/>
        <i val="0"/>
        <color rgb="FFFF0000"/>
      </font>
    </dxf>
    <dxf>
      <font>
        <b/>
        <i val="0"/>
        <color rgb="FFFF0000"/>
      </font>
    </dxf>
    <dxf>
      <font>
        <b/>
        <i val="0"/>
      </font>
    </dxf>
    <dxf>
      <font>
        <b/>
        <i val="0"/>
        <color rgb="FFFF0000"/>
      </font>
    </dxf>
    <dxf>
      <font>
        <b/>
        <i val="0"/>
      </font>
    </dxf>
    <dxf>
      <font>
        <color rgb="FF9C0006"/>
      </font>
      <fill>
        <patternFill>
          <bgColor rgb="FFFFC7CE"/>
        </patternFill>
      </fill>
    </dxf>
    <dxf>
      <font>
        <color rgb="FF006100"/>
      </font>
      <fill>
        <patternFill>
          <bgColor rgb="FFC6EFCE"/>
        </patternFill>
      </fill>
    </dxf>
    <dxf>
      <font>
        <b/>
        <i val="0"/>
        <color rgb="FFFF0000"/>
      </font>
    </dxf>
    <dxf>
      <font>
        <b/>
        <i val="0"/>
        <color rgb="FFFF0000"/>
      </font>
    </dxf>
    <dxf>
      <font>
        <b/>
        <i val="0"/>
      </font>
    </dxf>
    <dxf>
      <font>
        <b/>
        <i val="0"/>
        <color rgb="FFFF0000"/>
      </font>
    </dxf>
    <dxf>
      <font>
        <b/>
        <i val="0"/>
        <color rgb="FFFF0000"/>
      </font>
    </dxf>
    <dxf>
      <font>
        <b/>
        <i val="0"/>
      </font>
    </dxf>
    <dxf>
      <font>
        <b/>
        <i val="0"/>
        <color rgb="FFFF0000"/>
      </font>
    </dxf>
    <dxf>
      <font>
        <b/>
        <i val="0"/>
      </font>
    </dxf>
    <dxf>
      <font>
        <b/>
        <i val="0"/>
        <color rgb="FFFF0000"/>
      </font>
    </dxf>
    <dxf>
      <font>
        <b/>
        <i val="0"/>
        <color rgb="FFFF0000"/>
      </font>
    </dxf>
    <dxf>
      <font>
        <b/>
        <i val="0"/>
      </font>
    </dxf>
    <dxf>
      <font>
        <b/>
        <i val="0"/>
        <color rgb="FFFF0000"/>
      </font>
    </dxf>
    <dxf>
      <font>
        <b/>
        <i val="0"/>
        <color rgb="FFFF0000"/>
      </font>
    </dxf>
    <dxf>
      <font>
        <b/>
        <i val="0"/>
      </font>
    </dxf>
    <dxf>
      <font>
        <b/>
        <i val="0"/>
        <color rgb="FFFF0000"/>
      </font>
    </dxf>
    <dxf>
      <font>
        <b/>
        <i val="0"/>
        <color rgb="FFFF0000"/>
      </font>
    </dxf>
    <dxf>
      <font>
        <b/>
        <i val="0"/>
      </font>
    </dxf>
    <dxf>
      <font>
        <b/>
        <i val="0"/>
        <color rgb="FFFF0000"/>
      </font>
    </dxf>
    <dxf>
      <font>
        <b/>
        <i val="0"/>
        <color rgb="FFFF0000"/>
      </font>
    </dxf>
    <dxf>
      <font>
        <b/>
        <i val="0"/>
      </font>
    </dxf>
    <dxf>
      <font>
        <b/>
        <i val="0"/>
        <color rgb="FFFF0000"/>
      </font>
    </dxf>
    <dxf>
      <font>
        <b/>
        <i val="0"/>
        <color rgb="FFFF0000"/>
      </font>
    </dxf>
    <dxf>
      <font>
        <b/>
        <i val="0"/>
      </font>
    </dxf>
    <dxf>
      <font>
        <b/>
        <i val="0"/>
        <color rgb="FFFF0000"/>
      </font>
    </dxf>
    <dxf>
      <font>
        <color theme="9" tint="-0.24994659260841701"/>
      </font>
      <fill>
        <patternFill>
          <bgColor theme="9" tint="0.59996337778862885"/>
        </patternFill>
      </fill>
    </dxf>
    <dxf>
      <font>
        <b/>
        <i val="0"/>
        <color rgb="FFFF0000"/>
      </font>
    </dxf>
    <dxf>
      <font>
        <b/>
        <i val="0"/>
      </font>
    </dxf>
    <dxf>
      <font>
        <b/>
        <i val="0"/>
        <color rgb="FFFF0000"/>
      </font>
    </dxf>
    <dxf>
      <font>
        <color rgb="FF006100"/>
      </font>
      <fill>
        <patternFill>
          <bgColor rgb="FFC6EFCE"/>
        </patternFill>
      </fill>
    </dxf>
    <dxf>
      <font>
        <color rgb="FF9C0006"/>
      </font>
      <fill>
        <patternFill>
          <bgColor rgb="FFFFC7CE"/>
        </patternFill>
      </fill>
    </dxf>
    <dxf>
      <font>
        <color theme="9" tint="-0.24994659260841701"/>
      </font>
      <fill>
        <patternFill>
          <bgColor theme="9" tint="0.59996337778862885"/>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b/>
        <i val="0"/>
        <color rgb="FFFF0000"/>
      </font>
    </dxf>
    <dxf>
      <font>
        <b/>
        <i val="0"/>
        <color rgb="FFFF0000"/>
      </font>
    </dxf>
    <dxf>
      <font>
        <b/>
        <i val="0"/>
      </font>
    </dxf>
    <dxf>
      <font>
        <color theme="9" tint="-0.24994659260841701"/>
      </font>
      <fill>
        <patternFill>
          <bgColor theme="9" tint="0.59996337778862885"/>
        </patternFill>
      </fill>
    </dxf>
    <dxf>
      <font>
        <color theme="9" tint="-0.24994659260841701"/>
      </font>
      <fill>
        <patternFill>
          <bgColor theme="9" tint="0.59996337778862885"/>
        </patternFill>
      </fill>
    </dxf>
    <dxf>
      <font>
        <b/>
        <i val="0"/>
        <color rgb="FFFF0000"/>
      </font>
    </dxf>
    <dxf>
      <font>
        <b/>
        <i val="0"/>
      </font>
    </dxf>
    <dxf>
      <font>
        <b/>
        <i val="0"/>
        <color rgb="FFFF0000"/>
      </font>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b/>
        <i val="0"/>
        <color rgb="FFFF0000"/>
      </font>
    </dxf>
    <dxf>
      <font>
        <b/>
        <i val="0"/>
        <color rgb="FFFF0000"/>
      </font>
    </dxf>
    <dxf>
      <font>
        <b/>
        <i val="0"/>
      </font>
    </dxf>
    <dxf>
      <font>
        <b/>
        <i val="0"/>
        <color rgb="FFFF0000"/>
      </font>
    </dxf>
    <dxf>
      <font>
        <color theme="9" tint="-0.24994659260841701"/>
      </font>
      <fill>
        <patternFill>
          <bgColor theme="9" tint="0.59996337778862885"/>
        </patternFill>
      </fill>
    </dxf>
    <dxf>
      <font>
        <b/>
        <i val="0"/>
      </font>
    </dxf>
    <dxf>
      <font>
        <b/>
        <i val="0"/>
        <color rgb="FFFF0000"/>
      </font>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b/>
        <i val="0"/>
        <color rgb="FFFF0000"/>
      </font>
    </dxf>
    <dxf>
      <font>
        <b/>
        <i val="0"/>
        <color rgb="FFFF0000"/>
      </font>
    </dxf>
    <dxf>
      <font>
        <b/>
        <i val="0"/>
      </font>
    </dxf>
    <dxf>
      <font>
        <color rgb="FF9C0006"/>
      </font>
      <fill>
        <patternFill>
          <bgColor rgb="FFFFC7CE"/>
        </patternFill>
      </fill>
    </dxf>
    <dxf>
      <font>
        <color rgb="FF006100"/>
      </font>
      <fill>
        <patternFill>
          <bgColor rgb="FFC6EFCE"/>
        </patternFill>
      </fill>
    </dxf>
    <dxf>
      <font>
        <b/>
        <i val="0"/>
        <color rgb="FFFF0000"/>
      </font>
    </dxf>
    <dxf>
      <font>
        <b/>
        <i val="0"/>
        <color rgb="FFFF0000"/>
      </font>
    </dxf>
    <dxf>
      <font>
        <b/>
        <i val="0"/>
      </font>
    </dxf>
    <dxf>
      <font>
        <b/>
        <i val="0"/>
        <color rgb="FFFF0000"/>
      </font>
    </dxf>
    <dxf>
      <font>
        <b/>
        <i val="0"/>
      </font>
    </dxf>
    <dxf>
      <font>
        <b/>
        <i val="0"/>
        <color rgb="FFFF0000"/>
      </font>
    </dxf>
    <dxf>
      <font>
        <color theme="9" tint="-0.24994659260841701"/>
      </font>
      <fill>
        <patternFill>
          <bgColor theme="9" tint="0.59996337778862885"/>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b/>
        <i val="0"/>
      </font>
    </dxf>
    <dxf>
      <font>
        <b/>
        <i val="0"/>
        <color rgb="FFFF0000"/>
      </font>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b/>
        <i val="0"/>
        <color rgb="FFFF0000"/>
      </font>
    </dxf>
    <dxf>
      <font>
        <b/>
        <i val="0"/>
        <color rgb="FFFF0000"/>
      </font>
    </dxf>
    <dxf>
      <font>
        <b/>
        <i val="0"/>
      </font>
    </dxf>
    <dxf>
      <font>
        <color rgb="FF9C0006"/>
      </font>
      <fill>
        <patternFill>
          <bgColor rgb="FFFFC7CE"/>
        </patternFill>
      </fill>
    </dxf>
    <dxf>
      <font>
        <color rgb="FF006100"/>
      </font>
      <fill>
        <patternFill>
          <bgColor rgb="FFC6EFCE"/>
        </patternFill>
      </fill>
    </dxf>
    <dxf>
      <font>
        <b/>
        <i val="0"/>
        <color rgb="FFFF0000"/>
      </font>
    </dxf>
    <dxf>
      <font>
        <b/>
        <i val="0"/>
        <color rgb="FFFF0000"/>
      </font>
    </dxf>
    <dxf>
      <font>
        <b/>
        <i val="0"/>
      </font>
    </dxf>
    <dxf>
      <font>
        <b/>
        <i val="0"/>
        <color rgb="FFFF0000"/>
      </font>
    </dxf>
    <dxf>
      <font>
        <b/>
        <i val="0"/>
      </font>
    </dxf>
    <dxf>
      <font>
        <b/>
        <i val="0"/>
        <color rgb="FFFF0000"/>
      </font>
    </dxf>
    <dxf>
      <font>
        <b/>
        <i val="0"/>
        <color rgb="FFFF0000"/>
      </font>
    </dxf>
    <dxf>
      <font>
        <b/>
        <i val="0"/>
      </font>
    </dxf>
    <dxf>
      <font>
        <b/>
        <i val="0"/>
        <color rgb="FFFF0000"/>
      </font>
    </dxf>
    <dxf>
      <font>
        <b/>
        <i val="0"/>
        <color rgb="FFFF0000"/>
      </font>
    </dxf>
    <dxf>
      <font>
        <b/>
        <i val="0"/>
      </font>
    </dxf>
    <dxf>
      <font>
        <b/>
        <i val="0"/>
        <color rgb="FFFF0000"/>
      </font>
    </dxf>
    <dxf>
      <font>
        <color theme="9" tint="-0.24994659260841701"/>
      </font>
      <fill>
        <patternFill>
          <bgColor theme="9" tint="0.59996337778862885"/>
        </patternFill>
      </fill>
    </dxf>
    <dxf>
      <font>
        <color theme="9" tint="-0.24994659260841701"/>
      </font>
      <fill>
        <patternFill>
          <bgColor theme="9" tint="0.59996337778862885"/>
        </patternFill>
      </fill>
    </dxf>
    <dxf>
      <font>
        <b/>
        <i val="0"/>
      </font>
    </dxf>
    <dxf>
      <font>
        <b/>
        <i val="0"/>
        <color rgb="FFFF0000"/>
      </font>
    </dxf>
    <dxf>
      <font>
        <color theme="9" tint="-0.24994659260841701"/>
      </font>
      <fill>
        <patternFill>
          <bgColor theme="9" tint="0.59996337778862885"/>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b/>
        <i val="0"/>
        <color rgb="FFFF0000"/>
      </font>
    </dxf>
    <dxf>
      <font>
        <b/>
        <i val="0"/>
        <color rgb="FFFF0000"/>
      </font>
    </dxf>
    <dxf>
      <font>
        <b/>
        <i val="0"/>
      </font>
    </dxf>
    <dxf>
      <font>
        <color rgb="FF9C0006"/>
      </font>
      <fill>
        <patternFill>
          <bgColor rgb="FFFFC7CE"/>
        </patternFill>
      </fill>
    </dxf>
    <dxf>
      <font>
        <color rgb="FF006100"/>
      </font>
      <fill>
        <patternFill>
          <bgColor rgb="FFC6EFCE"/>
        </patternFill>
      </fill>
    </dxf>
    <dxf>
      <font>
        <b/>
        <i val="0"/>
        <color rgb="FFFF0000"/>
      </font>
    </dxf>
    <dxf>
      <font>
        <b/>
        <i val="0"/>
        <color rgb="FFFF0000"/>
      </font>
    </dxf>
    <dxf>
      <font>
        <b/>
        <i val="0"/>
      </font>
    </dxf>
    <dxf>
      <font>
        <b/>
        <i val="0"/>
        <color rgb="FFFF0000"/>
      </font>
    </dxf>
    <dxf>
      <font>
        <b/>
        <i val="0"/>
      </font>
    </dxf>
    <dxf>
      <font>
        <b/>
        <i val="0"/>
        <color rgb="FFFF0000"/>
      </font>
    </dxf>
    <dxf>
      <font>
        <color theme="9" tint="-0.24994659260841701"/>
      </font>
      <fill>
        <patternFill>
          <bgColor theme="9" tint="0.59996337778862885"/>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b/>
        <i val="0"/>
      </font>
    </dxf>
    <dxf>
      <font>
        <b/>
        <i val="0"/>
        <color rgb="FFFF0000"/>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rgb="FFFF0000"/>
      </font>
    </dxf>
    <dxf>
      <font>
        <b/>
        <i val="0"/>
        <color rgb="FFFF0000"/>
      </font>
    </dxf>
    <dxf>
      <font>
        <b/>
        <i val="0"/>
      </font>
    </dxf>
    <dxf>
      <font>
        <color rgb="FF9C0006"/>
      </font>
      <fill>
        <patternFill>
          <bgColor rgb="FFFFC7CE"/>
        </patternFill>
      </fill>
    </dxf>
    <dxf>
      <font>
        <b/>
        <i val="0"/>
        <color rgb="FFFF0000"/>
      </font>
    </dxf>
    <dxf>
      <font>
        <b/>
        <i val="0"/>
        <color rgb="FFFF0000"/>
      </font>
    </dxf>
    <dxf>
      <font>
        <b/>
        <i val="0"/>
      </font>
    </dxf>
    <dxf>
      <font>
        <b/>
        <i val="0"/>
        <color rgb="FFFF0000"/>
      </font>
    </dxf>
    <dxf>
      <font>
        <b/>
        <i val="0"/>
      </font>
    </dxf>
    <dxf>
      <font>
        <b/>
        <i val="0"/>
        <color rgb="FFFF0000"/>
      </font>
    </dxf>
    <dxf>
      <font>
        <color theme="9" tint="-0.24994659260841701"/>
      </font>
      <fill>
        <patternFill>
          <bgColor theme="9" tint="0.59996337778862885"/>
        </patternFill>
      </fill>
    </dxf>
    <dxf>
      <font>
        <b/>
        <i val="0"/>
      </font>
    </dxf>
    <dxf>
      <font>
        <b/>
        <i val="0"/>
        <color rgb="FFFF0000"/>
      </font>
    </dxf>
    <dxf>
      <font>
        <color theme="9" tint="-0.24994659260841701"/>
      </font>
      <fill>
        <patternFill>
          <bgColor theme="9" tint="0.59996337778862885"/>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b/>
        <i val="0"/>
        <color rgb="FFFF0000"/>
      </font>
    </dxf>
    <dxf>
      <font>
        <b/>
        <i val="0"/>
        <color rgb="FFFF0000"/>
      </font>
    </dxf>
    <dxf>
      <font>
        <b/>
        <i val="0"/>
      </font>
    </dxf>
    <dxf>
      <font>
        <color rgb="FF9C0006"/>
      </font>
      <fill>
        <patternFill>
          <bgColor rgb="FFFFC7CE"/>
        </patternFill>
      </fill>
    </dxf>
    <dxf>
      <font>
        <color rgb="FF006100"/>
      </font>
      <fill>
        <patternFill>
          <bgColor rgb="FFC6EFCE"/>
        </patternFill>
      </fill>
    </dxf>
    <dxf>
      <font>
        <b/>
        <i val="0"/>
        <color rgb="FFFF0000"/>
      </font>
    </dxf>
    <dxf>
      <font>
        <b/>
        <i val="0"/>
        <color rgb="FFFF0000"/>
      </font>
    </dxf>
    <dxf>
      <font>
        <b/>
        <i val="0"/>
      </font>
    </dxf>
    <dxf>
      <font>
        <b/>
        <i val="0"/>
        <color rgb="FFFF0000"/>
      </font>
    </dxf>
    <dxf>
      <font>
        <b/>
        <i val="0"/>
      </font>
    </dxf>
    <dxf>
      <font>
        <b/>
        <i val="0"/>
        <color rgb="FFFF0000"/>
      </font>
    </dxf>
    <dxf>
      <font>
        <b/>
        <i val="0"/>
        <color rgb="FFFF0000"/>
      </font>
    </dxf>
    <dxf>
      <font>
        <b/>
        <i val="0"/>
      </font>
    </dxf>
    <dxf>
      <font>
        <b/>
        <i val="0"/>
        <color rgb="FFFF0000"/>
      </font>
    </dxf>
    <dxf>
      <font>
        <color theme="9" tint="-0.24994659260841701"/>
      </font>
      <fill>
        <patternFill>
          <bgColor theme="9" tint="0.59996337778862885"/>
        </patternFill>
      </fill>
    </dxf>
    <dxf>
      <font>
        <b/>
        <i val="0"/>
      </font>
    </dxf>
    <dxf>
      <font>
        <b/>
        <i val="0"/>
        <color rgb="FFFF0000"/>
      </font>
    </dxf>
    <dxf>
      <font>
        <color theme="9" tint="-0.24994659260841701"/>
      </font>
      <fill>
        <patternFill>
          <bgColor theme="9"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rgb="FFFF0000"/>
      </font>
    </dxf>
    <dxf>
      <font>
        <b/>
        <i val="0"/>
        <color rgb="FFFF0000"/>
      </font>
    </dxf>
    <dxf>
      <font>
        <b/>
        <i val="0"/>
        <color rgb="FFFF0000"/>
      </font>
    </dxf>
    <dxf>
      <font>
        <b/>
        <i val="0"/>
      </font>
    </dxf>
    <dxf>
      <font>
        <b/>
        <i val="0"/>
        <color rgb="FFFF0000"/>
      </font>
    </dxf>
    <dxf>
      <font>
        <b/>
        <i val="0"/>
      </font>
    </dxf>
    <dxf>
      <font>
        <color rgb="FF9C0006"/>
      </font>
      <fill>
        <patternFill>
          <bgColor rgb="FFFFC7CE"/>
        </patternFill>
      </fill>
    </dxf>
    <dxf>
      <font>
        <b/>
        <i val="0"/>
        <color rgb="FFFF0000"/>
      </font>
    </dxf>
    <dxf>
      <font>
        <b/>
        <i val="0"/>
        <color rgb="FFFF0000"/>
      </font>
    </dxf>
    <dxf>
      <font>
        <b/>
        <i val="0"/>
      </font>
    </dxf>
    <dxf>
      <font>
        <b/>
        <i val="0"/>
        <color rgb="FFFF0000"/>
      </font>
    </dxf>
    <dxf>
      <font>
        <b/>
        <i val="0"/>
      </font>
    </dxf>
    <dxf>
      <font>
        <b/>
        <i val="0"/>
        <color rgb="FFFF0000"/>
      </font>
    </dxf>
    <dxf>
      <font>
        <b/>
        <i val="0"/>
        <color rgb="FFFF0000"/>
      </font>
    </dxf>
    <dxf>
      <font>
        <b/>
        <i val="0"/>
      </font>
    </dxf>
    <dxf>
      <font>
        <b/>
        <i val="0"/>
        <color rgb="FFFF0000"/>
      </font>
    </dxf>
    <dxf>
      <font>
        <b/>
        <i val="0"/>
        <color rgb="FFFF0000"/>
      </font>
    </dxf>
    <dxf>
      <font>
        <b/>
        <i val="0"/>
      </font>
    </dxf>
    <dxf>
      <font>
        <b/>
        <i val="0"/>
        <color rgb="FFFF0000"/>
      </font>
    </dxf>
    <dxf>
      <font>
        <color theme="9" tint="-0.24994659260841701"/>
      </font>
      <fill>
        <patternFill>
          <bgColor theme="9" tint="0.59996337778862885"/>
        </patternFill>
      </fill>
    </dxf>
    <dxf>
      <font>
        <b/>
        <i val="0"/>
      </font>
    </dxf>
    <dxf>
      <font>
        <b/>
        <i val="0"/>
        <color rgb="FFFF0000"/>
      </font>
    </dxf>
    <dxf>
      <font>
        <color theme="9" tint="-0.24994659260841701"/>
      </font>
      <fill>
        <patternFill>
          <bgColor theme="9" tint="0.59996337778862885"/>
        </patternFill>
      </fill>
    </dxf>
    <dxf>
      <font>
        <b/>
        <i val="0"/>
        <color rgb="FFFF0000"/>
      </font>
    </dxf>
    <dxf>
      <font>
        <b/>
        <i val="0"/>
        <color rgb="FFFF0000"/>
      </font>
    </dxf>
    <dxf>
      <font>
        <b/>
        <i val="0"/>
      </font>
    </dxf>
    <dxf>
      <font>
        <b/>
        <i val="0"/>
        <color rgb="FFFF0000"/>
      </font>
    </dxf>
    <dxf>
      <font>
        <b/>
        <i val="0"/>
        <color rgb="FFFF0000"/>
      </font>
    </dxf>
    <dxf>
      <font>
        <b/>
        <i val="0"/>
      </font>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b/>
        <i val="0"/>
        <color rgb="FFFF0000"/>
      </font>
    </dxf>
    <dxf>
      <font>
        <b/>
        <i val="0"/>
        <color rgb="FFFF0000"/>
      </font>
    </dxf>
    <dxf>
      <font>
        <b/>
        <i val="0"/>
        <color rgb="FFFF0000"/>
      </font>
    </dxf>
    <dxf>
      <font>
        <b/>
        <i val="0"/>
      </font>
    </dxf>
    <dxf>
      <font>
        <b/>
        <i val="0"/>
        <color rgb="FFFF0000"/>
      </font>
    </dxf>
    <dxf>
      <font>
        <b/>
        <i val="0"/>
      </font>
    </dxf>
    <dxf>
      <font>
        <color rgb="FF9C0006"/>
      </font>
      <fill>
        <patternFill>
          <bgColor rgb="FFFFC7CE"/>
        </patternFill>
      </fill>
    </dxf>
    <dxf>
      <font>
        <color rgb="FF006100"/>
      </font>
      <fill>
        <patternFill>
          <bgColor rgb="FFC6EFCE"/>
        </patternFill>
      </fill>
    </dxf>
    <dxf>
      <font>
        <b/>
        <i val="0"/>
        <color rgb="FFFF0000"/>
      </font>
    </dxf>
    <dxf>
      <font>
        <b/>
        <i val="0"/>
        <color rgb="FFFF0000"/>
      </font>
    </dxf>
    <dxf>
      <font>
        <b/>
        <i val="0"/>
      </font>
    </dxf>
    <dxf>
      <font>
        <b/>
        <i val="0"/>
        <color rgb="FFFF0000"/>
      </font>
    </dxf>
    <dxf>
      <font>
        <b/>
        <i val="0"/>
        <color rgb="FFFF0000"/>
      </font>
    </dxf>
    <dxf>
      <font>
        <b/>
        <i val="0"/>
      </font>
    </dxf>
    <dxf>
      <font>
        <b/>
        <i val="0"/>
        <color rgb="FFFF0000"/>
      </font>
    </dxf>
    <dxf>
      <font>
        <b/>
        <i val="0"/>
      </font>
    </dxf>
    <dxf>
      <font>
        <b/>
        <i val="0"/>
        <color rgb="FFFF0000"/>
      </font>
    </dxf>
    <dxf>
      <font>
        <b/>
        <i val="0"/>
        <color rgb="FFFF0000"/>
      </font>
    </dxf>
    <dxf>
      <font>
        <b/>
        <i val="0"/>
      </font>
    </dxf>
    <dxf>
      <font>
        <b/>
        <i val="0"/>
        <color rgb="FFFF0000"/>
      </font>
    </dxf>
    <dxf>
      <font>
        <b/>
        <i val="0"/>
        <color rgb="FFFF0000"/>
      </font>
    </dxf>
    <dxf>
      <font>
        <b/>
        <i val="0"/>
      </font>
    </dxf>
    <dxf>
      <font>
        <b/>
        <i val="0"/>
        <color rgb="FFFF0000"/>
      </font>
    </dxf>
    <dxf>
      <font>
        <b/>
        <i val="0"/>
        <color rgb="FFFF0000"/>
      </font>
    </dxf>
    <dxf>
      <font>
        <b/>
        <i val="0"/>
      </font>
    </dxf>
    <dxf>
      <font>
        <b/>
        <i val="0"/>
        <color rgb="FFFF0000"/>
      </font>
    </dxf>
    <dxf>
      <font>
        <b/>
        <i val="0"/>
        <color rgb="FFFF0000"/>
      </font>
    </dxf>
    <dxf>
      <font>
        <b/>
        <i val="0"/>
      </font>
    </dxf>
    <dxf>
      <font>
        <b/>
        <i val="0"/>
        <color rgb="FFFF0000"/>
      </font>
    </dxf>
    <dxf>
      <font>
        <color theme="9" tint="-0.24994659260841701"/>
      </font>
      <fill>
        <patternFill>
          <bgColor theme="9" tint="0.59996337778862885"/>
        </patternFill>
      </fill>
    </dxf>
    <dxf>
      <font>
        <b/>
        <i val="0"/>
        <color rgb="FFFF0000"/>
      </font>
    </dxf>
    <dxf>
      <font>
        <b/>
        <i val="0"/>
      </font>
    </dxf>
    <dxf>
      <font>
        <b/>
        <i val="0"/>
        <color rgb="FFFF0000"/>
      </font>
    </dxf>
    <dxf>
      <font>
        <color rgb="FF006100"/>
      </font>
      <fill>
        <patternFill>
          <bgColor rgb="FFC6EFCE"/>
        </patternFill>
      </fill>
    </dxf>
    <dxf>
      <font>
        <color rgb="FF9C0006"/>
      </font>
      <fill>
        <patternFill>
          <bgColor rgb="FFFFC7CE"/>
        </patternFill>
      </fill>
    </dxf>
    <dxf>
      <font>
        <color theme="9" tint="-0.24994659260841701"/>
      </font>
      <fill>
        <patternFill>
          <bgColor theme="9" tint="0.59996337778862885"/>
        </patternFill>
      </fill>
    </dxf>
    <dxf>
      <font>
        <b/>
        <i val="0"/>
        <color rgb="FFFF0000"/>
      </font>
    </dxf>
    <dxf>
      <font>
        <b/>
        <i val="0"/>
        <color rgb="FFFF0000"/>
      </font>
    </dxf>
    <dxf>
      <font>
        <b/>
        <i val="0"/>
      </font>
    </dxf>
    <dxf>
      <font>
        <b/>
        <i val="0"/>
        <color rgb="FFFF0000"/>
      </font>
    </dxf>
    <dxf>
      <font>
        <b/>
        <i val="0"/>
        <color rgb="FFFF0000"/>
      </font>
    </dxf>
    <dxf>
      <font>
        <b/>
        <i val="0"/>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rgb="FFFF0000"/>
      </font>
    </dxf>
    <dxf>
      <font>
        <b/>
        <i val="0"/>
        <color rgb="FFFF0000"/>
      </font>
    </dxf>
    <dxf>
      <font>
        <b/>
        <i val="0"/>
        <color rgb="FFFF0000"/>
      </font>
    </dxf>
    <dxf>
      <font>
        <b/>
        <i val="0"/>
      </font>
    </dxf>
    <dxf>
      <font>
        <b/>
        <i val="0"/>
        <color rgb="FFFF0000"/>
      </font>
    </dxf>
    <dxf>
      <font>
        <b/>
        <i val="0"/>
      </font>
    </dxf>
    <dxf>
      <font>
        <color rgb="FF9C0006"/>
      </font>
      <fill>
        <patternFill>
          <bgColor rgb="FFFFC7CE"/>
        </patternFill>
      </fill>
    </dxf>
    <dxf>
      <font>
        <b/>
        <i val="0"/>
        <color rgb="FFFF0000"/>
      </font>
    </dxf>
    <dxf>
      <font>
        <b/>
        <i val="0"/>
        <color rgb="FFFF0000"/>
      </font>
    </dxf>
    <dxf>
      <font>
        <b/>
        <i val="0"/>
      </font>
    </dxf>
    <dxf>
      <font>
        <b/>
        <i val="0"/>
        <color rgb="FFFF0000"/>
      </font>
    </dxf>
    <dxf>
      <font>
        <b/>
        <i val="0"/>
        <color rgb="FFFF0000"/>
      </font>
    </dxf>
    <dxf>
      <font>
        <b/>
        <i val="0"/>
      </font>
    </dxf>
    <dxf>
      <font>
        <b/>
        <i val="0"/>
        <color rgb="FFFF0000"/>
      </font>
    </dxf>
    <dxf>
      <font>
        <b/>
        <i val="0"/>
      </font>
    </dxf>
    <dxf>
      <font>
        <b/>
        <i val="0"/>
        <color rgb="FFFF0000"/>
      </font>
    </dxf>
    <dxf>
      <font>
        <b/>
        <i val="0"/>
        <color rgb="FFFF0000"/>
      </font>
    </dxf>
    <dxf>
      <font>
        <b/>
        <i val="0"/>
      </font>
    </dxf>
    <dxf>
      <font>
        <b/>
        <i val="0"/>
        <color rgb="FFFF0000"/>
      </font>
    </dxf>
    <dxf>
      <font>
        <b/>
        <i val="0"/>
        <color rgb="FFFF0000"/>
      </font>
    </dxf>
    <dxf>
      <font>
        <b/>
        <i val="0"/>
      </font>
    </dxf>
    <dxf>
      <font>
        <b/>
        <i val="0"/>
        <color rgb="FFFF0000"/>
      </font>
    </dxf>
    <dxf>
      <font>
        <b/>
        <i val="0"/>
        <color rgb="FFFF0000"/>
      </font>
    </dxf>
    <dxf>
      <font>
        <b/>
        <i val="0"/>
      </font>
    </dxf>
    <dxf>
      <font>
        <b/>
        <i val="0"/>
        <color rgb="FFFF0000"/>
      </font>
    </dxf>
    <dxf>
      <font>
        <color theme="9" tint="-0.24994659260841701"/>
      </font>
      <fill>
        <patternFill>
          <bgColor theme="9" tint="0.59996337778862885"/>
        </patternFill>
      </fill>
    </dxf>
    <dxf>
      <font>
        <b/>
        <i val="0"/>
      </font>
    </dxf>
    <dxf>
      <font>
        <b/>
        <i val="0"/>
        <color rgb="FFFF0000"/>
      </font>
    </dxf>
    <dxf>
      <font>
        <color theme="9" tint="-0.24994659260841701"/>
      </font>
      <fill>
        <patternFill>
          <bgColor theme="9" tint="0.59996337778862885"/>
        </patternFill>
      </fill>
    </dxf>
    <dxf>
      <font>
        <b/>
        <i val="0"/>
      </font>
    </dxf>
    <dxf>
      <font>
        <b/>
        <i val="0"/>
        <color rgb="FFFF0000"/>
      </font>
    </dxf>
    <dxf>
      <font>
        <b/>
        <i val="0"/>
        <color rgb="FFFF0000"/>
      </font>
    </dxf>
    <dxf>
      <font>
        <b/>
        <i val="0"/>
        <color rgb="FFFF0000"/>
      </font>
    </dxf>
    <dxf>
      <font>
        <b/>
        <i val="0"/>
      </font>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b/>
        <i val="0"/>
        <color rgb="FFFF0000"/>
      </font>
    </dxf>
    <dxf>
      <font>
        <b/>
        <i val="0"/>
        <color rgb="FFFF0000"/>
      </font>
    </dxf>
    <dxf>
      <font>
        <b/>
        <i val="0"/>
        <color rgb="FFFF0000"/>
      </font>
    </dxf>
    <dxf>
      <font>
        <b/>
        <i val="0"/>
      </font>
    </dxf>
    <dxf>
      <font>
        <b/>
        <i val="0"/>
        <color rgb="FFFF0000"/>
      </font>
    </dxf>
    <dxf>
      <font>
        <b/>
        <i val="0"/>
      </font>
    </dxf>
    <dxf>
      <font>
        <color rgb="FF006100"/>
      </font>
      <fill>
        <patternFill>
          <bgColor rgb="FFC6EFCE"/>
        </patternFill>
      </fill>
    </dxf>
    <dxf>
      <font>
        <color rgb="FF9C0006"/>
      </font>
      <fill>
        <patternFill>
          <bgColor rgb="FFFFC7CE"/>
        </patternFill>
      </fill>
    </dxf>
    <dxf>
      <font>
        <b/>
        <i val="0"/>
        <color rgb="FFFF0000"/>
      </font>
    </dxf>
    <dxf>
      <font>
        <b/>
        <i val="0"/>
        <color rgb="FFFF0000"/>
      </font>
    </dxf>
    <dxf>
      <font>
        <b/>
        <i val="0"/>
      </font>
    </dxf>
    <dxf>
      <font>
        <b/>
        <i val="0"/>
        <color rgb="FFFF0000"/>
      </font>
    </dxf>
    <dxf>
      <font>
        <b/>
        <i val="0"/>
        <color rgb="FFFF0000"/>
      </font>
    </dxf>
    <dxf>
      <font>
        <b/>
        <i val="0"/>
      </font>
    </dxf>
    <dxf>
      <font>
        <b/>
        <i val="0"/>
        <color rgb="FFFF0000"/>
      </font>
    </dxf>
    <dxf>
      <font>
        <b/>
        <i val="0"/>
      </font>
    </dxf>
    <dxf>
      <font>
        <b/>
        <i val="0"/>
        <color rgb="FFFF0000"/>
      </font>
    </dxf>
    <dxf>
      <font>
        <b/>
        <i val="0"/>
        <color rgb="FFFF0000"/>
      </font>
    </dxf>
    <dxf>
      <font>
        <b/>
        <i val="0"/>
      </font>
    </dxf>
    <dxf>
      <font>
        <b/>
        <i val="0"/>
        <color rgb="FFFF0000"/>
      </font>
    </dxf>
    <dxf>
      <font>
        <b/>
        <i val="0"/>
        <color rgb="FFFF0000"/>
      </font>
    </dxf>
    <dxf>
      <font>
        <b/>
        <i val="0"/>
      </font>
    </dxf>
    <dxf>
      <font>
        <b/>
        <i val="0"/>
        <color rgb="FFFF0000"/>
      </font>
    </dxf>
    <dxf>
      <font>
        <b/>
        <i val="0"/>
        <color rgb="FFFF0000"/>
      </font>
    </dxf>
    <dxf>
      <font>
        <b/>
        <i val="0"/>
      </font>
    </dxf>
    <dxf>
      <font>
        <b/>
        <i val="0"/>
        <color rgb="FFFF0000"/>
      </font>
    </dxf>
    <dxf>
      <font>
        <color theme="9" tint="-0.24994659260841701"/>
      </font>
      <fill>
        <patternFill>
          <bgColor theme="9" tint="0.59996337778862885"/>
        </patternFill>
      </fill>
    </dxf>
    <dxf>
      <font>
        <b/>
        <i val="0"/>
      </font>
    </dxf>
    <dxf>
      <font>
        <b/>
        <i val="0"/>
        <color rgb="FFFF0000"/>
      </font>
    </dxf>
    <dxf>
      <font>
        <b/>
        <i val="0"/>
        <color rgb="FFFF0000"/>
      </font>
    </dxf>
    <dxf>
      <font>
        <b/>
        <i val="0"/>
      </font>
    </dxf>
    <dxf>
      <font>
        <b/>
        <i val="0"/>
        <color rgb="FFFF0000"/>
      </font>
    </dxf>
    <dxf>
      <font>
        <color rgb="FF006100"/>
      </font>
      <fill>
        <patternFill>
          <bgColor rgb="FFC6EFCE"/>
        </patternFill>
      </fill>
    </dxf>
    <dxf>
      <font>
        <color rgb="FF9C0006"/>
      </font>
      <fill>
        <patternFill>
          <bgColor rgb="FFFFC7CE"/>
        </patternFill>
      </fill>
    </dxf>
    <dxf>
      <font>
        <b/>
        <i val="0"/>
        <color rgb="FFFF0000"/>
      </font>
    </dxf>
    <dxf>
      <font>
        <b/>
        <i val="0"/>
      </font>
    </dxf>
    <dxf>
      <font>
        <b/>
        <i val="0"/>
        <color rgb="FFFF0000"/>
      </font>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b/>
        <i val="0"/>
        <color rgb="FFFF0000"/>
      </font>
    </dxf>
    <dxf>
      <font>
        <b/>
        <i val="0"/>
        <color rgb="FFFF0000"/>
      </font>
    </dxf>
    <dxf>
      <font>
        <b/>
        <i val="0"/>
      </font>
    </dxf>
    <dxf>
      <font>
        <b/>
        <i val="0"/>
        <color rgb="FFFF0000"/>
      </font>
    </dxf>
    <dxf>
      <font>
        <b/>
        <i val="0"/>
      </font>
    </dxf>
    <dxf>
      <font>
        <b/>
        <i val="0"/>
        <color rgb="FFFF0000"/>
      </font>
    </dxf>
    <dxf>
      <font>
        <color rgb="FF006100"/>
      </font>
      <fill>
        <patternFill>
          <bgColor rgb="FFC6EFCE"/>
        </patternFill>
      </fill>
    </dxf>
    <dxf>
      <font>
        <color rgb="FF9C0006"/>
      </font>
      <fill>
        <patternFill>
          <bgColor rgb="FFFFC7CE"/>
        </patternFill>
      </fill>
    </dxf>
    <dxf>
      <font>
        <b/>
        <i val="0"/>
        <color rgb="FFFF0000"/>
      </font>
    </dxf>
    <dxf>
      <font>
        <b/>
        <i val="0"/>
      </font>
    </dxf>
    <dxf>
      <font>
        <b/>
        <i val="0"/>
        <color rgb="FFFF0000"/>
      </font>
    </dxf>
    <dxf>
      <font>
        <b/>
        <i val="0"/>
        <color rgb="FFFF0000"/>
      </font>
    </dxf>
    <dxf>
      <font>
        <b/>
        <i val="0"/>
      </font>
    </dxf>
    <dxf>
      <font>
        <b/>
        <i val="0"/>
        <color rgb="FFFF0000"/>
      </font>
    </dxf>
    <dxf>
      <font>
        <b/>
        <i val="0"/>
        <color rgb="FFFF0000"/>
      </font>
    </dxf>
    <dxf>
      <font>
        <b/>
        <i val="0"/>
      </font>
    </dxf>
    <dxf>
      <font>
        <b/>
        <i val="0"/>
        <color rgb="FFFF0000"/>
      </font>
    </dxf>
    <dxf>
      <font>
        <b/>
        <i val="0"/>
        <color rgb="FFFF0000"/>
      </font>
    </dxf>
    <dxf>
      <font>
        <b/>
        <i val="0"/>
      </font>
    </dxf>
    <dxf>
      <font>
        <b/>
        <i val="0"/>
        <color rgb="FFFF0000"/>
      </font>
    </dxf>
    <dxf>
      <font>
        <b/>
        <i val="0"/>
        <color rgb="FFFF0000"/>
      </font>
    </dxf>
    <dxf>
      <font>
        <b/>
        <i val="0"/>
      </font>
    </dxf>
    <dxf>
      <font>
        <b/>
        <i val="0"/>
        <color rgb="FFFF0000"/>
      </font>
    </dxf>
    <dxf>
      <font>
        <color theme="9" tint="-0.24994659260841701"/>
      </font>
      <fill>
        <patternFill>
          <bgColor theme="9" tint="0.59996337778862885"/>
        </patternFill>
      </fill>
    </dxf>
    <dxf>
      <font>
        <b/>
        <i val="0"/>
      </font>
    </dxf>
    <dxf>
      <font>
        <b/>
        <i val="0"/>
        <color rgb="FFFF0000"/>
      </font>
    </dxf>
    <dxf>
      <font>
        <b/>
        <i val="0"/>
        <color rgb="FFFF0000"/>
      </font>
    </dxf>
    <dxf>
      <font>
        <b/>
        <i val="0"/>
      </font>
    </dxf>
    <dxf>
      <font>
        <b/>
        <i val="0"/>
        <color rgb="FFFF0000"/>
      </font>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b/>
        <i val="0"/>
        <color rgb="FFFF0000"/>
      </font>
    </dxf>
    <dxf>
      <font>
        <b/>
        <i val="0"/>
        <color rgb="FFFF0000"/>
      </font>
    </dxf>
    <dxf>
      <font>
        <b/>
        <i val="0"/>
      </font>
    </dxf>
    <dxf>
      <font>
        <b/>
        <i val="0"/>
        <color rgb="FFFF0000"/>
      </font>
    </dxf>
    <dxf>
      <font>
        <b/>
        <i val="0"/>
      </font>
    </dxf>
    <dxf>
      <font>
        <b/>
        <i val="0"/>
        <color rgb="FFFF0000"/>
      </font>
    </dxf>
    <dxf>
      <font>
        <color rgb="FF006100"/>
      </font>
      <fill>
        <patternFill>
          <bgColor rgb="FFC6EFCE"/>
        </patternFill>
      </fill>
    </dxf>
    <dxf>
      <font>
        <color rgb="FF9C0006"/>
      </font>
      <fill>
        <patternFill>
          <bgColor rgb="FFFFC7CE"/>
        </patternFill>
      </fill>
    </dxf>
    <dxf>
      <font>
        <b/>
        <i val="0"/>
        <color rgb="FFFF0000"/>
      </font>
    </dxf>
    <dxf>
      <font>
        <b/>
        <i val="0"/>
      </font>
    </dxf>
    <dxf>
      <font>
        <b/>
        <i val="0"/>
        <color rgb="FFFF0000"/>
      </font>
    </dxf>
    <dxf>
      <font>
        <b/>
        <i val="0"/>
        <color rgb="FFFF0000"/>
      </font>
    </dxf>
    <dxf>
      <font>
        <b/>
        <i val="0"/>
      </font>
    </dxf>
    <dxf>
      <font>
        <b/>
        <i val="0"/>
        <color rgb="FFFF0000"/>
      </font>
    </dxf>
    <dxf>
      <font>
        <b/>
        <i val="0"/>
        <color rgb="FFFF0000"/>
      </font>
    </dxf>
    <dxf>
      <font>
        <b/>
        <i val="0"/>
      </font>
    </dxf>
    <dxf>
      <font>
        <b/>
        <i val="0"/>
        <color rgb="FFFF0000"/>
      </font>
    </dxf>
    <dxf>
      <font>
        <color theme="9" tint="-0.24994659260841701"/>
      </font>
      <fill>
        <patternFill>
          <bgColor theme="9" tint="0.59996337778862885"/>
        </patternFill>
      </fill>
    </dxf>
    <dxf>
      <font>
        <b/>
        <i val="0"/>
      </font>
    </dxf>
    <dxf>
      <font>
        <b/>
        <i val="0"/>
        <color rgb="FFFF0000"/>
      </font>
    </dxf>
    <dxf>
      <font>
        <b/>
        <i val="0"/>
        <color rgb="FFFF0000"/>
      </font>
    </dxf>
    <dxf>
      <font>
        <b/>
        <i val="0"/>
      </font>
    </dxf>
    <dxf>
      <font>
        <b/>
        <i val="0"/>
        <color rgb="FFFF0000"/>
      </font>
    </dxf>
    <dxf>
      <font>
        <b/>
        <i val="0"/>
        <color rgb="FFFF0000"/>
      </font>
    </dxf>
    <dxf>
      <font>
        <b/>
        <i val="0"/>
      </font>
    </dxf>
    <dxf>
      <font>
        <b/>
        <i val="0"/>
        <color rgb="FFFF0000"/>
      </font>
    </dxf>
    <dxf>
      <font>
        <b/>
        <i val="0"/>
        <color rgb="FFFF0000"/>
      </font>
    </dxf>
    <dxf>
      <font>
        <b/>
        <i val="0"/>
      </font>
    </dxf>
    <dxf>
      <font>
        <b/>
        <i val="0"/>
        <color rgb="FFFF0000"/>
      </font>
    </dxf>
    <dxf>
      <font>
        <b/>
        <i val="0"/>
        <color rgb="FFFF0000"/>
      </font>
    </dxf>
    <dxf>
      <font>
        <b/>
        <i val="0"/>
      </font>
    </dxf>
    <dxf>
      <font>
        <b/>
        <i val="0"/>
        <color rgb="FFFF0000"/>
      </font>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b/>
        <i val="0"/>
        <color rgb="FFFF0000"/>
      </font>
    </dxf>
    <dxf>
      <font>
        <b/>
        <i val="0"/>
        <color rgb="FFFF0000"/>
      </font>
    </dxf>
    <dxf>
      <font>
        <b/>
        <i val="0"/>
      </font>
    </dxf>
    <dxf>
      <font>
        <b/>
        <i val="0"/>
        <color rgb="FFFF0000"/>
      </font>
    </dxf>
    <dxf>
      <font>
        <b/>
        <i val="0"/>
      </font>
    </dxf>
    <dxf>
      <font>
        <b/>
        <i val="0"/>
        <color rgb="FFFF0000"/>
      </font>
    </dxf>
    <dxf>
      <font>
        <color rgb="FF006100"/>
      </font>
      <fill>
        <patternFill>
          <bgColor rgb="FFC6EFCE"/>
        </patternFill>
      </fill>
    </dxf>
    <dxf>
      <font>
        <color rgb="FF9C0006"/>
      </font>
      <fill>
        <patternFill>
          <bgColor rgb="FFFFC7CE"/>
        </patternFill>
      </fill>
    </dxf>
    <dxf>
      <font>
        <b/>
        <i val="0"/>
        <color rgb="FFFF0000"/>
      </font>
    </dxf>
    <dxf>
      <font>
        <b/>
        <i val="0"/>
      </font>
    </dxf>
    <dxf>
      <font>
        <b/>
        <i val="0"/>
        <color rgb="FFFF0000"/>
      </font>
    </dxf>
    <dxf>
      <font>
        <b/>
        <i val="0"/>
        <color rgb="FFFF0000"/>
      </font>
    </dxf>
    <dxf>
      <font>
        <b/>
        <i val="0"/>
      </font>
    </dxf>
    <dxf>
      <font>
        <b/>
        <i val="0"/>
        <color rgb="FFFF0000"/>
      </font>
    </dxf>
    <dxf>
      <font>
        <b/>
        <i val="0"/>
        <color rgb="FFFF0000"/>
      </font>
    </dxf>
    <dxf>
      <font>
        <b/>
        <i val="0"/>
      </font>
    </dxf>
    <dxf>
      <font>
        <b/>
        <i val="0"/>
        <color rgb="FFFF0000"/>
      </font>
    </dxf>
    <dxf>
      <font>
        <b/>
        <i val="0"/>
        <color rgb="FFFF0000"/>
      </font>
    </dxf>
    <dxf>
      <font>
        <b/>
        <i val="0"/>
      </font>
    </dxf>
    <dxf>
      <font>
        <b/>
        <i val="0"/>
        <color rgb="FFFF0000"/>
      </font>
    </dxf>
    <dxf>
      <font>
        <b/>
        <i val="0"/>
        <color rgb="FFFF0000"/>
      </font>
    </dxf>
    <dxf>
      <font>
        <b/>
        <i val="0"/>
      </font>
    </dxf>
    <dxf>
      <font>
        <b/>
        <i val="0"/>
        <color rgb="FFFF0000"/>
      </font>
    </dxf>
    <dxf>
      <font>
        <b/>
        <i val="0"/>
        <color rgb="FFFF0000"/>
      </font>
    </dxf>
    <dxf>
      <font>
        <b/>
        <i val="0"/>
      </font>
    </dxf>
    <dxf>
      <font>
        <b/>
        <i val="0"/>
        <color rgb="FFFF0000"/>
      </font>
    </dxf>
    <dxf>
      <font>
        <b/>
        <i val="0"/>
        <color rgb="FFFF0000"/>
      </font>
    </dxf>
    <dxf>
      <font>
        <b/>
        <i val="0"/>
      </font>
    </dxf>
    <dxf>
      <font>
        <b/>
        <i val="0"/>
        <color rgb="FFFF0000"/>
      </font>
    </dxf>
    <dxf>
      <font>
        <b/>
        <i val="0"/>
        <color rgb="FFFF0000"/>
      </font>
    </dxf>
    <dxf>
      <font>
        <b/>
        <i val="0"/>
      </font>
    </dxf>
    <dxf>
      <font>
        <b/>
        <i val="0"/>
        <color rgb="FFFF0000"/>
      </font>
    </dxf>
    <dxf>
      <font>
        <b/>
        <i val="0"/>
        <color rgb="FFFF0000"/>
      </font>
    </dxf>
    <dxf>
      <font>
        <b/>
        <i val="0"/>
      </font>
    </dxf>
    <dxf>
      <font>
        <b/>
        <i val="0"/>
        <color rgb="FFFF0000"/>
      </font>
    </dxf>
    <dxf>
      <font>
        <b/>
        <i val="0"/>
        <color rgb="FFFF0000"/>
      </font>
    </dxf>
    <dxf>
      <font>
        <b/>
        <i val="0"/>
      </font>
    </dxf>
    <dxf>
      <font>
        <b/>
        <i val="0"/>
        <color rgb="FFFF0000"/>
      </font>
    </dxf>
    <dxf>
      <font>
        <b/>
        <i val="0"/>
        <color rgb="FFFF0000"/>
      </font>
    </dxf>
    <dxf>
      <font>
        <b/>
        <i val="0"/>
      </font>
    </dxf>
    <dxf>
      <font>
        <b/>
        <i val="0"/>
        <color rgb="FFFF0000"/>
      </font>
    </dxf>
    <dxf>
      <font>
        <b/>
        <i val="0"/>
        <color rgb="FFFF0000"/>
      </font>
    </dxf>
    <dxf>
      <font>
        <b/>
        <i val="0"/>
      </font>
    </dxf>
    <dxf>
      <font>
        <b/>
        <i val="0"/>
        <color rgb="FFFF0000"/>
      </font>
    </dxf>
    <dxf>
      <font>
        <b/>
        <i val="0"/>
        <color rgb="FFFF0000"/>
      </font>
    </dxf>
    <dxf>
      <font>
        <b/>
        <i val="0"/>
      </font>
    </dxf>
    <dxf>
      <font>
        <b/>
        <i val="0"/>
        <color rgb="FFFF0000"/>
      </font>
    </dxf>
    <dxf>
      <font>
        <color theme="9" tint="-0.24994659260841701"/>
      </font>
      <fill>
        <patternFill>
          <bgColor theme="9" tint="0.59996337778862885"/>
        </patternFill>
      </fill>
    </dxf>
    <dxf>
      <font>
        <b/>
        <i val="0"/>
        <color rgb="FFFF0000"/>
      </font>
    </dxf>
    <dxf>
      <font>
        <b/>
        <i val="0"/>
      </font>
    </dxf>
    <dxf>
      <font>
        <b/>
        <i val="0"/>
        <color rgb="FFFF0000"/>
      </font>
    </dxf>
    <dxf>
      <font>
        <color rgb="FF006100"/>
      </font>
      <fill>
        <patternFill>
          <bgColor rgb="FFC6EFCE"/>
        </patternFill>
      </fill>
    </dxf>
    <dxf>
      <font>
        <color rgb="FF9C0006"/>
      </font>
      <fill>
        <patternFill>
          <bgColor rgb="FFFFC7CE"/>
        </patternFill>
      </fill>
    </dxf>
    <dxf>
      <font>
        <color theme="9" tint="-0.24994659260841701"/>
      </font>
      <fill>
        <patternFill>
          <bgColor theme="9" tint="0.59996337778862885"/>
        </patternFill>
      </fill>
    </dxf>
    <dxf>
      <font>
        <b/>
        <i val="0"/>
        <color rgb="FFFF0000"/>
      </font>
    </dxf>
    <dxf>
      <font>
        <b/>
        <i val="0"/>
      </font>
    </dxf>
    <dxf>
      <font>
        <b/>
        <i val="0"/>
        <color rgb="FFFF0000"/>
      </font>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b/>
        <i val="0"/>
        <color rgb="FFFF0000"/>
      </font>
    </dxf>
    <dxf>
      <font>
        <b/>
        <i val="0"/>
        <color rgb="FFFF0000"/>
      </font>
    </dxf>
    <dxf>
      <font>
        <b/>
        <i val="0"/>
      </font>
    </dxf>
    <dxf>
      <font>
        <b/>
        <i val="0"/>
        <color rgb="FFFF0000"/>
      </font>
    </dxf>
    <dxf>
      <font>
        <b/>
        <i val="0"/>
      </font>
    </dxf>
    <dxf>
      <font>
        <b/>
        <i val="0"/>
        <color rgb="FFFF0000"/>
      </font>
    </dxf>
    <dxf>
      <font>
        <color rgb="FF006100"/>
      </font>
      <fill>
        <patternFill>
          <bgColor rgb="FFC6EFCE"/>
        </patternFill>
      </fill>
    </dxf>
    <dxf>
      <font>
        <color rgb="FF9C0006"/>
      </font>
      <fill>
        <patternFill>
          <bgColor rgb="FFFFC7CE"/>
        </patternFill>
      </fill>
    </dxf>
    <dxf>
      <font>
        <b/>
        <i val="0"/>
        <color rgb="FFFF0000"/>
      </font>
    </dxf>
    <dxf>
      <font>
        <b/>
        <i val="0"/>
      </font>
    </dxf>
    <dxf>
      <font>
        <b/>
        <i val="0"/>
        <color rgb="FFFF0000"/>
      </font>
    </dxf>
    <dxf>
      <font>
        <b/>
        <i val="0"/>
        <color rgb="FFFF0000"/>
      </font>
    </dxf>
    <dxf>
      <font>
        <b/>
        <i val="0"/>
      </font>
    </dxf>
    <dxf>
      <font>
        <b/>
        <i val="0"/>
        <color rgb="FFFF0000"/>
      </font>
    </dxf>
    <dxf>
      <font>
        <b/>
        <i val="0"/>
        <color rgb="FFFF0000"/>
      </font>
    </dxf>
    <dxf>
      <font>
        <b/>
        <i val="0"/>
      </font>
    </dxf>
    <dxf>
      <font>
        <b/>
        <i val="0"/>
        <color rgb="FFFF0000"/>
      </font>
    </dxf>
    <dxf>
      <font>
        <b/>
        <i val="0"/>
        <color rgb="FFFF0000"/>
      </font>
    </dxf>
    <dxf>
      <font>
        <b/>
        <i val="0"/>
      </font>
    </dxf>
    <dxf>
      <font>
        <b/>
        <i val="0"/>
        <color rgb="FFFF0000"/>
      </font>
    </dxf>
    <dxf>
      <font>
        <b/>
        <i val="0"/>
        <color rgb="FFFF0000"/>
      </font>
    </dxf>
    <dxf>
      <font>
        <b/>
        <i val="0"/>
      </font>
    </dxf>
    <dxf>
      <font>
        <b/>
        <i val="0"/>
        <color rgb="FFFF0000"/>
      </font>
    </dxf>
    <dxf>
      <font>
        <color theme="9" tint="-0.24994659260841701"/>
      </font>
      <fill>
        <patternFill>
          <bgColor theme="9" tint="0.59996337778862885"/>
        </patternFill>
      </fill>
    </dxf>
    <dxf>
      <font>
        <b/>
        <i val="0"/>
      </font>
    </dxf>
    <dxf>
      <font>
        <b/>
        <i val="0"/>
        <color rgb="FFFF0000"/>
      </font>
    </dxf>
    <dxf>
      <font>
        <color theme="9" tint="-0.24994659260841701"/>
      </font>
      <fill>
        <patternFill>
          <bgColor theme="9" tint="0.59996337778862885"/>
        </patternFill>
      </fill>
    </dxf>
    <dxf>
      <font>
        <b/>
        <i val="0"/>
        <color rgb="FFFF0000"/>
      </font>
    </dxf>
    <dxf>
      <font>
        <b/>
        <i val="0"/>
      </font>
    </dxf>
    <dxf>
      <font>
        <b/>
        <i val="0"/>
        <color rgb="FFFF0000"/>
      </font>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b/>
        <i val="0"/>
        <color rgb="FFFF0000"/>
      </font>
    </dxf>
    <dxf>
      <font>
        <b/>
        <i val="0"/>
        <color rgb="FFFF0000"/>
      </font>
    </dxf>
    <dxf>
      <font>
        <b/>
        <i val="0"/>
      </font>
    </dxf>
    <dxf>
      <font>
        <b/>
        <i val="0"/>
        <color rgb="FFFF0000"/>
      </font>
    </dxf>
    <dxf>
      <font>
        <b/>
        <i val="0"/>
      </font>
    </dxf>
    <dxf>
      <font>
        <b/>
        <i val="0"/>
        <color rgb="FFFF0000"/>
      </font>
    </dxf>
    <dxf>
      <font>
        <color rgb="FF006100"/>
      </font>
      <fill>
        <patternFill>
          <bgColor rgb="FFC6EFCE"/>
        </patternFill>
      </fill>
    </dxf>
    <dxf>
      <font>
        <color rgb="FF9C0006"/>
      </font>
      <fill>
        <patternFill>
          <bgColor rgb="FFFFC7CE"/>
        </patternFill>
      </fill>
    </dxf>
    <dxf>
      <font>
        <b/>
        <i val="0"/>
        <color rgb="FFFF0000"/>
      </font>
    </dxf>
    <dxf>
      <font>
        <b/>
        <i val="0"/>
      </font>
    </dxf>
    <dxf>
      <font>
        <b/>
        <i val="0"/>
        <color rgb="FFFF0000"/>
      </font>
    </dxf>
    <dxf>
      <font>
        <b/>
        <i val="0"/>
        <color rgb="FFFF0000"/>
      </font>
    </dxf>
    <dxf>
      <font>
        <b/>
        <i val="0"/>
      </font>
    </dxf>
    <dxf>
      <font>
        <b/>
        <i val="0"/>
        <color rgb="FFFF0000"/>
      </font>
    </dxf>
    <dxf>
      <font>
        <b/>
        <i val="0"/>
        <color rgb="FFFF0000"/>
      </font>
    </dxf>
    <dxf>
      <font>
        <b/>
        <i val="0"/>
      </font>
    </dxf>
    <dxf>
      <font>
        <b/>
        <i val="0"/>
        <color rgb="FFFF0000"/>
      </font>
    </dxf>
    <dxf>
      <font>
        <b/>
        <i val="0"/>
        <color rgb="FFFF0000"/>
      </font>
    </dxf>
    <dxf>
      <font>
        <b/>
        <i val="0"/>
      </font>
    </dxf>
    <dxf>
      <font>
        <b/>
        <i val="0"/>
        <color rgb="FFFF0000"/>
      </font>
    </dxf>
    <dxf>
      <font>
        <b/>
        <i val="0"/>
        <color rgb="FFFF0000"/>
      </font>
    </dxf>
    <dxf>
      <font>
        <b/>
        <i val="0"/>
      </font>
    </dxf>
    <dxf>
      <font>
        <b/>
        <i val="0"/>
        <color rgb="FFFF0000"/>
      </font>
    </dxf>
    <dxf>
      <font>
        <b/>
        <i val="0"/>
        <color rgb="FFFF0000"/>
      </font>
    </dxf>
    <dxf>
      <font>
        <b/>
        <i val="0"/>
      </font>
    </dxf>
    <dxf>
      <font>
        <b/>
        <i val="0"/>
        <color rgb="FFFF0000"/>
      </font>
    </dxf>
    <dxf>
      <font>
        <color theme="9" tint="-0.24994659260841701"/>
      </font>
      <fill>
        <patternFill>
          <bgColor theme="9" tint="0.59996337778862885"/>
        </patternFill>
      </fill>
    </dxf>
    <dxf>
      <font>
        <b/>
        <i val="0"/>
      </font>
    </dxf>
    <dxf>
      <font>
        <b/>
        <i val="0"/>
        <color rgb="FFFF0000"/>
      </font>
    </dxf>
    <dxf>
      <font>
        <color theme="9" tint="-0.24994659260841701"/>
      </font>
      <fill>
        <patternFill>
          <bgColor theme="9" tint="0.59996337778862885"/>
        </patternFill>
      </fill>
    </dxf>
    <dxf>
      <font>
        <b/>
        <i val="0"/>
        <color rgb="FFFF0000"/>
      </font>
    </dxf>
    <dxf>
      <font>
        <b/>
        <i val="0"/>
      </font>
    </dxf>
    <dxf>
      <font>
        <b/>
        <i val="0"/>
        <color rgb="FFFF0000"/>
      </font>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b/>
        <i val="0"/>
        <color rgb="FFFF0000"/>
      </font>
    </dxf>
    <dxf>
      <font>
        <b/>
        <i val="0"/>
        <color rgb="FFFF0000"/>
      </font>
    </dxf>
    <dxf>
      <font>
        <b/>
        <i val="0"/>
      </font>
    </dxf>
    <dxf>
      <font>
        <b/>
        <i val="0"/>
        <color rgb="FFFF0000"/>
      </font>
    </dxf>
    <dxf>
      <font>
        <b/>
        <i val="0"/>
      </font>
    </dxf>
    <dxf>
      <font>
        <b/>
        <i val="0"/>
        <color rgb="FFFF0000"/>
      </font>
    </dxf>
    <dxf>
      <font>
        <color rgb="FF006100"/>
      </font>
      <fill>
        <patternFill>
          <bgColor rgb="FFC6EFCE"/>
        </patternFill>
      </fill>
    </dxf>
    <dxf>
      <font>
        <color rgb="FF9C0006"/>
      </font>
      <fill>
        <patternFill>
          <bgColor rgb="FFFFC7CE"/>
        </patternFill>
      </fill>
    </dxf>
    <dxf>
      <font>
        <b/>
        <i val="0"/>
        <color rgb="FFFF0000"/>
      </font>
    </dxf>
    <dxf>
      <font>
        <b/>
        <i val="0"/>
      </font>
    </dxf>
    <dxf>
      <font>
        <b/>
        <i val="0"/>
        <color rgb="FFFF0000"/>
      </font>
    </dxf>
    <dxf>
      <font>
        <b/>
        <i val="0"/>
        <color rgb="FFFF0000"/>
      </font>
    </dxf>
    <dxf>
      <font>
        <b/>
        <i val="0"/>
      </font>
    </dxf>
    <dxf>
      <font>
        <b/>
        <i val="0"/>
        <color rgb="FFFF0000"/>
      </font>
    </dxf>
    <dxf>
      <font>
        <b/>
        <i val="0"/>
        <color rgb="FFFF0000"/>
      </font>
    </dxf>
    <dxf>
      <font>
        <b/>
        <i val="0"/>
      </font>
    </dxf>
    <dxf>
      <font>
        <b/>
        <i val="0"/>
        <color rgb="FFFF0000"/>
      </font>
    </dxf>
    <dxf>
      <font>
        <color theme="9" tint="-0.24994659260841701"/>
      </font>
      <fill>
        <patternFill>
          <bgColor theme="9" tint="0.59996337778862885"/>
        </patternFill>
      </fill>
    </dxf>
    <dxf>
      <font>
        <b/>
        <i val="0"/>
      </font>
    </dxf>
    <dxf>
      <font>
        <b/>
        <i val="0"/>
        <color rgb="FFFF0000"/>
      </font>
    </dxf>
    <dxf>
      <font>
        <b/>
        <i val="0"/>
        <color rgb="FFFF0000"/>
      </font>
    </dxf>
    <dxf>
      <font>
        <b/>
        <i val="0"/>
      </font>
    </dxf>
    <dxf>
      <font>
        <b/>
        <i val="0"/>
        <color rgb="FFFF0000"/>
      </font>
    </dxf>
    <dxf>
      <font>
        <b/>
        <i val="0"/>
        <color rgb="FFFF0000"/>
      </font>
    </dxf>
    <dxf>
      <font>
        <b/>
        <i val="0"/>
      </font>
    </dxf>
    <dxf>
      <font>
        <b/>
        <i val="0"/>
        <color rgb="FFFF0000"/>
      </font>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b/>
        <i val="0"/>
        <color rgb="FFFF0000"/>
      </font>
    </dxf>
    <dxf>
      <font>
        <b/>
        <i val="0"/>
        <color rgb="FFFF0000"/>
      </font>
    </dxf>
    <dxf>
      <font>
        <b/>
        <i val="0"/>
      </font>
    </dxf>
    <dxf>
      <font>
        <b/>
        <i val="0"/>
        <color rgb="FFFF0000"/>
      </font>
    </dxf>
    <dxf>
      <font>
        <b/>
        <i val="0"/>
      </font>
    </dxf>
    <dxf>
      <font>
        <b/>
        <i val="0"/>
        <color rgb="FFFF0000"/>
      </font>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b/>
        <i val="0"/>
        <color rgb="FFFF0000"/>
      </font>
    </dxf>
    <dxf>
      <font>
        <b/>
        <i val="0"/>
        <color rgb="FFFF0000"/>
      </font>
    </dxf>
    <dxf>
      <font>
        <b/>
        <i val="0"/>
      </font>
    </dxf>
    <dxf>
      <font>
        <b/>
        <i val="0"/>
        <color rgb="FFFF0000"/>
      </font>
    </dxf>
    <dxf>
      <font>
        <b/>
        <i val="0"/>
      </font>
    </dxf>
    <dxf>
      <font>
        <b/>
        <i val="0"/>
        <color rgb="FFFF0000"/>
      </font>
    </dxf>
    <dxf>
      <font>
        <b/>
        <i val="0"/>
        <color rgb="FFFF0000"/>
      </font>
    </dxf>
    <dxf>
      <font>
        <b/>
        <i val="0"/>
      </font>
    </dxf>
    <dxf>
      <font>
        <b/>
        <i val="0"/>
        <color rgb="FFFF0000"/>
      </font>
    </dxf>
    <dxf>
      <font>
        <b/>
        <i val="0"/>
        <color rgb="FFFF0000"/>
      </font>
    </dxf>
    <dxf>
      <font>
        <b/>
        <i val="0"/>
      </font>
    </dxf>
    <dxf>
      <font>
        <b/>
        <i val="0"/>
        <color rgb="FFFF0000"/>
      </font>
    </dxf>
    <dxf>
      <font>
        <b/>
        <i val="0"/>
        <color rgb="FFFF0000"/>
      </font>
    </dxf>
    <dxf>
      <font>
        <b/>
        <i val="0"/>
      </font>
    </dxf>
    <dxf>
      <font>
        <b/>
        <i val="0"/>
        <color rgb="FFFF0000"/>
      </font>
    </dxf>
    <dxf>
      <font>
        <b/>
        <i val="0"/>
        <color rgb="FFFF0000"/>
      </font>
    </dxf>
    <dxf>
      <font>
        <b/>
        <i val="0"/>
      </font>
    </dxf>
    <dxf>
      <font>
        <b/>
        <i val="0"/>
        <color rgb="FFFF0000"/>
      </font>
    </dxf>
    <dxf>
      <font>
        <b/>
        <i val="0"/>
        <color rgb="FFFF0000"/>
      </font>
    </dxf>
    <dxf>
      <font>
        <b/>
        <i val="0"/>
      </font>
    </dxf>
    <dxf>
      <font>
        <b/>
        <i val="0"/>
        <color rgb="FFFF0000"/>
      </font>
    </dxf>
    <dxf>
      <font>
        <b/>
        <i val="0"/>
        <color rgb="FFFF0000"/>
      </font>
    </dxf>
    <dxf>
      <font>
        <b/>
        <i val="0"/>
      </font>
    </dxf>
    <dxf>
      <font>
        <b/>
        <i val="0"/>
        <color rgb="FFFF0000"/>
      </font>
    </dxf>
    <dxf>
      <font>
        <b/>
        <i val="0"/>
        <color rgb="FFFF0000"/>
      </font>
    </dxf>
    <dxf>
      <font>
        <b/>
        <i val="0"/>
      </font>
    </dxf>
    <dxf>
      <font>
        <b/>
        <i val="0"/>
        <color rgb="FFFF0000"/>
      </font>
    </dxf>
    <dxf>
      <font>
        <b/>
        <i val="0"/>
        <color rgb="FFFF0000"/>
      </font>
    </dxf>
    <dxf>
      <font>
        <b/>
        <i val="0"/>
      </font>
    </dxf>
    <dxf>
      <font>
        <b/>
        <i val="0"/>
        <color rgb="FFFF0000"/>
      </font>
    </dxf>
    <dxf>
      <font>
        <color theme="9" tint="-0.24994659260841701"/>
      </font>
      <fill>
        <patternFill>
          <bgColor theme="9" tint="0.59996337778862885"/>
        </patternFill>
      </fill>
    </dxf>
    <dxf>
      <font>
        <b/>
        <i val="0"/>
        <color rgb="FFFF0000"/>
      </font>
    </dxf>
    <dxf>
      <font>
        <b/>
        <i val="0"/>
      </font>
    </dxf>
    <dxf>
      <font>
        <b/>
        <i val="0"/>
        <color rgb="FFFF0000"/>
      </font>
    </dxf>
    <dxf>
      <font>
        <b/>
        <i val="0"/>
        <color rgb="FFFF0000"/>
      </font>
    </dxf>
    <dxf>
      <font>
        <b/>
        <i val="0"/>
      </font>
    </dxf>
    <dxf>
      <font>
        <b/>
        <i val="0"/>
        <color rgb="FFFF0000"/>
      </font>
    </dxf>
    <dxf>
      <font>
        <b/>
        <i val="0"/>
        <color rgb="FFFF0000"/>
      </font>
    </dxf>
    <dxf>
      <font>
        <b/>
        <i val="0"/>
      </font>
    </dxf>
    <dxf>
      <font>
        <b/>
        <i val="0"/>
        <color rgb="FFFF0000"/>
      </font>
    </dxf>
    <dxf>
      <font>
        <color theme="9" tint="-0.24994659260841701"/>
      </font>
      <fill>
        <patternFill>
          <bgColor theme="9" tint="0.59996337778862885"/>
        </patternFill>
      </fill>
    </dxf>
    <dxf>
      <font>
        <b/>
        <i val="0"/>
      </font>
    </dxf>
    <dxf>
      <font>
        <b/>
        <i val="0"/>
        <color rgb="FFFF0000"/>
      </font>
    </dxf>
    <dxf>
      <font>
        <color theme="9" tint="-0.24994659260841701"/>
      </font>
      <fill>
        <patternFill>
          <bgColor theme="9" tint="0.59996337778862885"/>
        </patternFill>
      </fill>
    </dxf>
    <dxf>
      <font>
        <b/>
        <i val="0"/>
        <color rgb="FFFF0000"/>
      </font>
    </dxf>
    <dxf>
      <font>
        <b/>
        <i val="0"/>
      </font>
    </dxf>
    <dxf>
      <font>
        <b/>
        <i val="0"/>
        <color rgb="FFFF0000"/>
      </font>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b/>
        <i val="0"/>
        <color rgb="FFFF0000"/>
      </font>
    </dxf>
    <dxf>
      <font>
        <b/>
        <i val="0"/>
        <color rgb="FFFF0000"/>
      </font>
    </dxf>
    <dxf>
      <font>
        <b/>
        <i val="0"/>
      </font>
    </dxf>
    <dxf>
      <font>
        <b/>
        <i val="0"/>
        <color rgb="FFFF0000"/>
      </font>
    </dxf>
    <dxf>
      <font>
        <b/>
        <i val="0"/>
      </font>
    </dxf>
    <dxf>
      <font>
        <b/>
        <i val="0"/>
        <color rgb="FFFF0000"/>
      </font>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b/>
        <i val="0"/>
        <color rgb="FFFF0000"/>
      </font>
    </dxf>
    <dxf>
      <font>
        <b/>
        <i val="0"/>
        <color rgb="FFFF0000"/>
      </font>
    </dxf>
    <dxf>
      <font>
        <b/>
        <i val="0"/>
      </font>
    </dxf>
    <dxf>
      <font>
        <b/>
        <i val="0"/>
        <color rgb="FFFF0000"/>
      </font>
    </dxf>
    <dxf>
      <font>
        <b/>
        <i val="0"/>
      </font>
    </dxf>
    <dxf>
      <font>
        <b/>
        <i val="0"/>
        <color rgb="FFFF0000"/>
      </font>
    </dxf>
    <dxf>
      <font>
        <b/>
        <i val="0"/>
        <color rgb="FFFF0000"/>
      </font>
    </dxf>
    <dxf>
      <font>
        <b/>
        <i val="0"/>
      </font>
    </dxf>
    <dxf>
      <font>
        <b/>
        <i val="0"/>
        <color rgb="FFFF0000"/>
      </font>
    </dxf>
    <dxf>
      <font>
        <b/>
        <i val="0"/>
        <color rgb="FFFF0000"/>
      </font>
    </dxf>
    <dxf>
      <font>
        <b/>
        <i val="0"/>
      </font>
    </dxf>
    <dxf>
      <font>
        <b/>
        <i val="0"/>
        <color rgb="FFFF0000"/>
      </font>
    </dxf>
    <dxf>
      <font>
        <b/>
        <i val="0"/>
        <color rgb="FFFF0000"/>
      </font>
    </dxf>
    <dxf>
      <font>
        <b/>
        <i val="0"/>
      </font>
    </dxf>
    <dxf>
      <font>
        <b/>
        <i val="0"/>
        <color rgb="FFFF0000"/>
      </font>
    </dxf>
    <dxf>
      <font>
        <b/>
        <i val="0"/>
        <color rgb="FFFF0000"/>
      </font>
    </dxf>
    <dxf>
      <font>
        <b/>
        <i val="0"/>
      </font>
    </dxf>
    <dxf>
      <font>
        <b/>
        <i val="0"/>
        <color rgb="FFFF0000"/>
      </font>
    </dxf>
    <dxf>
      <font>
        <b/>
        <i val="0"/>
        <color rgb="FFFF0000"/>
      </font>
    </dxf>
    <dxf>
      <font>
        <b/>
        <i val="0"/>
      </font>
    </dxf>
    <dxf>
      <font>
        <b/>
        <i val="0"/>
        <color rgb="FFFF0000"/>
      </font>
    </dxf>
    <dxf>
      <font>
        <b/>
        <i val="0"/>
        <color rgb="FFFF0000"/>
      </font>
    </dxf>
    <dxf>
      <font>
        <b/>
        <i val="0"/>
      </font>
    </dxf>
    <dxf>
      <font>
        <b/>
        <i val="0"/>
        <color rgb="FFFF0000"/>
      </font>
    </dxf>
    <dxf>
      <font>
        <b/>
        <i val="0"/>
        <color rgb="FFFF0000"/>
      </font>
    </dxf>
    <dxf>
      <font>
        <b/>
        <i val="0"/>
      </font>
    </dxf>
    <dxf>
      <font>
        <b/>
        <i val="0"/>
        <color rgb="FFFF0000"/>
      </font>
    </dxf>
    <dxf>
      <font>
        <b/>
        <i val="0"/>
        <color rgb="FFFF0000"/>
      </font>
    </dxf>
    <dxf>
      <font>
        <b/>
        <i val="0"/>
      </font>
    </dxf>
    <dxf>
      <font>
        <b/>
        <i val="0"/>
        <color rgb="FFFF0000"/>
      </font>
    </dxf>
    <dxf>
      <font>
        <b/>
        <i val="0"/>
        <color rgb="FFFF0000"/>
      </font>
    </dxf>
    <dxf>
      <font>
        <b/>
        <i val="0"/>
      </font>
    </dxf>
    <dxf>
      <font>
        <b/>
        <i val="0"/>
        <color rgb="FFFF0000"/>
      </font>
    </dxf>
    <dxf>
      <font>
        <b/>
        <i val="0"/>
        <color rgb="FFFF0000"/>
      </font>
    </dxf>
    <dxf>
      <font>
        <b/>
        <i val="0"/>
      </font>
    </dxf>
    <dxf>
      <font>
        <b/>
        <i val="0"/>
        <color rgb="FFFF0000"/>
      </font>
    </dxf>
    <dxf>
      <font>
        <b/>
        <i val="0"/>
        <color rgb="FFFF0000"/>
      </font>
    </dxf>
    <dxf>
      <font>
        <b/>
        <i val="0"/>
      </font>
    </dxf>
    <dxf>
      <font>
        <b/>
        <i val="0"/>
        <color rgb="FFFF0000"/>
      </font>
    </dxf>
    <dxf>
      <font>
        <b/>
        <i val="0"/>
        <color rgb="FFFF0000"/>
      </font>
    </dxf>
    <dxf>
      <font>
        <b/>
        <i val="0"/>
      </font>
    </dxf>
    <dxf>
      <font>
        <b/>
        <i val="0"/>
        <color rgb="FFFF0000"/>
      </font>
    </dxf>
    <dxf>
      <font>
        <b/>
        <i val="0"/>
        <color rgb="FFFF0000"/>
      </font>
    </dxf>
    <dxf>
      <font>
        <b/>
        <i val="0"/>
      </font>
    </dxf>
    <dxf>
      <font>
        <b/>
        <i val="0"/>
        <color rgb="FFFF0000"/>
      </font>
    </dxf>
    <dxf>
      <font>
        <color theme="9" tint="-0.24994659260841701"/>
      </font>
      <fill>
        <patternFill>
          <bgColor theme="9" tint="0.59996337778862885"/>
        </patternFill>
      </fill>
    </dxf>
    <dxf>
      <font>
        <color theme="9" tint="-0.24994659260841701"/>
      </font>
      <fill>
        <patternFill>
          <bgColor theme="9" tint="0.59996337778862885"/>
        </patternFill>
      </fill>
    </dxf>
    <dxf>
      <font>
        <b/>
        <i val="0"/>
        <color rgb="FFFF0000"/>
      </font>
    </dxf>
    <dxf>
      <font>
        <b/>
        <i val="0"/>
      </font>
    </dxf>
    <dxf>
      <font>
        <b/>
        <i val="0"/>
        <color rgb="FFFF0000"/>
      </font>
    </dxf>
    <dxf>
      <font>
        <color rgb="FF006100"/>
      </font>
      <fill>
        <patternFill>
          <bgColor rgb="FFC6EFCE"/>
        </patternFill>
      </fill>
    </dxf>
    <dxf>
      <font>
        <color rgb="FF9C0006"/>
      </font>
      <fill>
        <patternFill>
          <bgColor rgb="FFFFC7CE"/>
        </patternFill>
      </fill>
    </dxf>
    <dxf>
      <font>
        <color theme="9" tint="-0.24994659260841701"/>
      </font>
      <fill>
        <patternFill>
          <bgColor theme="9" tint="0.59996337778862885"/>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b/>
        <i val="0"/>
        <color rgb="FFFF0000"/>
      </font>
    </dxf>
    <dxf>
      <font>
        <b/>
        <i val="0"/>
      </font>
    </dxf>
    <dxf>
      <font>
        <b/>
        <i val="0"/>
        <color rgb="FFFF0000"/>
      </font>
    </dxf>
    <dxf>
      <font>
        <color theme="9" tint="-0.24994659260841701"/>
      </font>
      <fill>
        <patternFill>
          <bgColor theme="9" tint="0.59996337778862885"/>
        </patternFill>
      </fill>
    </dxf>
    <dxf>
      <font>
        <b/>
        <i val="0"/>
      </font>
    </dxf>
    <dxf>
      <font>
        <b/>
        <i val="0"/>
        <color rgb="FFFF0000"/>
      </font>
    </dxf>
    <dxf>
      <font>
        <b/>
        <i val="0"/>
      </font>
    </dxf>
    <dxf>
      <font>
        <b/>
        <i val="0"/>
        <color rgb="FFFF0000"/>
      </font>
    </dxf>
    <dxf>
      <font>
        <b/>
        <i val="0"/>
        <color rgb="FFFF0000"/>
      </font>
    </dxf>
    <dxf>
      <font>
        <b/>
        <i val="0"/>
      </font>
    </dxf>
    <dxf>
      <font>
        <b/>
        <i val="0"/>
        <color rgb="FFFF0000"/>
      </font>
    </dxf>
    <dxf>
      <font>
        <color theme="9" tint="-0.24994659260841701"/>
      </font>
      <fill>
        <patternFill>
          <bgColor theme="9" tint="0.59996337778862885"/>
        </patternFill>
      </fill>
    </dxf>
    <dxf>
      <font>
        <b/>
        <i val="0"/>
      </font>
    </dxf>
    <dxf>
      <font>
        <b/>
        <i val="0"/>
        <color rgb="FFFF0000"/>
      </font>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b/>
        <i val="0"/>
        <color rgb="FFFF0000"/>
      </font>
    </dxf>
    <dxf>
      <font>
        <b/>
        <i val="0"/>
      </font>
    </dxf>
    <dxf>
      <font>
        <b/>
        <i val="0"/>
        <color rgb="FFFF0000"/>
      </font>
    </dxf>
    <dxf>
      <font>
        <color theme="9" tint="-0.24994659260841701"/>
      </font>
      <fill>
        <patternFill>
          <bgColor theme="9" tint="0.59996337778862885"/>
        </patternFill>
      </fill>
    </dxf>
    <dxf>
      <font>
        <b/>
        <i val="0"/>
        <color rgb="FFFF0000"/>
      </font>
    </dxf>
    <dxf>
      <font>
        <b/>
        <i val="0"/>
      </font>
    </dxf>
    <dxf>
      <font>
        <b/>
        <i val="0"/>
        <color rgb="FFFF0000"/>
      </font>
    </dxf>
    <dxf>
      <font>
        <b/>
        <i val="0"/>
        <color rgb="FFFF0000"/>
      </font>
    </dxf>
    <dxf>
      <font>
        <b/>
        <i val="0"/>
      </font>
    </dxf>
    <dxf>
      <font>
        <b/>
        <i val="0"/>
        <color rgb="FFFF0000"/>
      </font>
    </dxf>
    <dxf>
      <font>
        <b/>
        <i val="0"/>
        <color rgb="FFFF0000"/>
      </font>
    </dxf>
    <dxf>
      <font>
        <b/>
        <i val="0"/>
      </font>
    </dxf>
    <dxf>
      <font>
        <b/>
        <i val="0"/>
        <color rgb="FFFF0000"/>
      </font>
    </dxf>
    <dxf>
      <font>
        <b/>
        <i val="0"/>
      </font>
    </dxf>
    <dxf>
      <font>
        <b/>
        <i val="0"/>
        <color rgb="FFFF0000"/>
      </font>
    </dxf>
    <dxf>
      <font>
        <b/>
        <i val="0"/>
      </font>
    </dxf>
    <dxf>
      <font>
        <b/>
        <i val="0"/>
        <color rgb="FFFF0000"/>
      </font>
    </dxf>
    <dxf>
      <font>
        <b/>
        <i val="0"/>
        <color rgb="FFFF0000"/>
      </font>
    </dxf>
    <dxf>
      <font>
        <b/>
        <i val="0"/>
      </font>
    </dxf>
    <dxf>
      <font>
        <b/>
        <i val="0"/>
        <color rgb="FFFF0000"/>
      </font>
    </dxf>
    <dxf>
      <font>
        <color theme="9" tint="-0.24994659260841701"/>
      </font>
      <fill>
        <patternFill>
          <bgColor theme="9" tint="0.59996337778862885"/>
        </patternFill>
      </fill>
    </dxf>
    <dxf>
      <font>
        <b/>
        <i val="0"/>
      </font>
    </dxf>
    <dxf>
      <font>
        <b/>
        <i val="0"/>
        <color rgb="FFFF0000"/>
      </font>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b/>
        <i val="0"/>
        <color rgb="FFFF0000"/>
      </font>
    </dxf>
    <dxf>
      <font>
        <color theme="9" tint="-0.24994659260841701"/>
      </font>
      <fill>
        <patternFill>
          <bgColor theme="9" tint="0.59996337778862885"/>
        </patternFill>
      </fill>
    </dxf>
    <dxf>
      <font>
        <b/>
        <i val="0"/>
      </font>
    </dxf>
    <dxf>
      <font>
        <b/>
        <i val="0"/>
        <color rgb="FFFF0000"/>
      </font>
    </dxf>
    <dxf>
      <font>
        <b/>
        <i val="0"/>
      </font>
    </dxf>
    <dxf>
      <font>
        <b/>
        <i val="0"/>
        <color rgb="FFFF0000"/>
      </font>
    </dxf>
    <dxf>
      <font>
        <b/>
        <i val="0"/>
      </font>
    </dxf>
    <dxf>
      <font>
        <b/>
        <i val="0"/>
        <color rgb="FFFF0000"/>
      </font>
    </dxf>
    <dxf>
      <font>
        <b/>
        <i val="0"/>
      </font>
    </dxf>
    <dxf>
      <font>
        <b/>
        <i val="0"/>
        <color rgb="FFFF0000"/>
      </font>
    </dxf>
    <dxf>
      <font>
        <b/>
        <i val="0"/>
        <color rgb="FFFF0000"/>
      </font>
    </dxf>
    <dxf>
      <font>
        <b/>
        <i val="0"/>
      </font>
    </dxf>
    <dxf>
      <font>
        <b/>
        <i val="0"/>
        <color rgb="FFFF0000"/>
      </font>
    </dxf>
    <dxf>
      <font>
        <color theme="9" tint="-0.24994659260841701"/>
      </font>
      <fill>
        <patternFill>
          <bgColor theme="9" tint="0.59996337778862885"/>
        </patternFill>
      </fill>
    </dxf>
    <dxf>
      <font>
        <b/>
        <i val="0"/>
      </font>
    </dxf>
    <dxf>
      <font>
        <b/>
        <i val="0"/>
        <color rgb="FFFF0000"/>
      </font>
    </dxf>
    <dxf>
      <font>
        <color rgb="FF006100"/>
      </font>
      <fill>
        <patternFill>
          <bgColor rgb="FFC6EFCE"/>
        </patternFill>
      </fill>
    </dxf>
    <dxf>
      <font>
        <color rgb="FF9C0006"/>
      </font>
      <fill>
        <patternFill>
          <bgColor rgb="FFFFC7CE"/>
        </patternFill>
      </fill>
    </dxf>
    <dxf>
      <font>
        <b/>
        <i val="0"/>
        <color rgb="FFFF0000"/>
      </font>
    </dxf>
    <dxf>
      <font>
        <b/>
        <i val="0"/>
      </font>
    </dxf>
    <dxf>
      <font>
        <b/>
        <i val="0"/>
        <color rgb="FFFF0000"/>
      </font>
    </dxf>
    <dxf>
      <font>
        <color theme="9" tint="-0.24994659260841701"/>
      </font>
      <fill>
        <patternFill>
          <bgColor theme="9" tint="0.59996337778862885"/>
        </patternFill>
      </fill>
    </dxf>
    <dxf>
      <font>
        <b/>
        <i val="0"/>
        <color rgb="FFFF0000"/>
      </font>
    </dxf>
    <dxf>
      <font>
        <b/>
        <i val="0"/>
      </font>
    </dxf>
    <dxf>
      <font>
        <b/>
        <i val="0"/>
        <color rgb="FFFF0000"/>
      </font>
    </dxf>
    <dxf>
      <font>
        <color theme="9" tint="-0.24994659260841701"/>
      </font>
      <fill>
        <patternFill>
          <bgColor theme="9" tint="0.59996337778862885"/>
        </patternFill>
      </fill>
    </dxf>
    <dxf>
      <font>
        <b/>
        <i val="0"/>
        <color rgb="FFFF0000"/>
      </font>
    </dxf>
    <dxf>
      <font>
        <b/>
        <i val="0"/>
      </font>
    </dxf>
    <dxf>
      <font>
        <b/>
        <i val="0"/>
        <color rgb="FFFF0000"/>
      </font>
    </dxf>
    <dxf>
      <font>
        <b/>
        <i val="0"/>
        <color rgb="FFFF0000"/>
      </font>
    </dxf>
    <dxf>
      <font>
        <b/>
        <i val="0"/>
      </font>
    </dxf>
    <dxf>
      <font>
        <b/>
        <i val="0"/>
        <color rgb="FFFF0000"/>
      </font>
    </dxf>
    <dxf>
      <font>
        <color theme="9" tint="-0.24994659260841701"/>
      </font>
      <fill>
        <patternFill>
          <bgColor theme="9" tint="0.59996337778862885"/>
        </patternFill>
      </fill>
    </dxf>
    <dxf>
      <font>
        <b/>
        <i val="0"/>
        <color rgb="FFFF0000"/>
      </font>
    </dxf>
    <dxf>
      <font>
        <b/>
        <i val="0"/>
      </font>
    </dxf>
    <dxf>
      <font>
        <b/>
        <i val="0"/>
        <color rgb="FFFF0000"/>
      </font>
    </dxf>
    <dxf>
      <font>
        <color theme="9" tint="-0.24994659260841701"/>
      </font>
      <fill>
        <patternFill>
          <bgColor theme="9" tint="0.59996337778862885"/>
        </patternFill>
      </fill>
    </dxf>
    <dxf>
      <font>
        <b/>
        <i val="0"/>
        <color rgb="FFFF0000"/>
      </font>
    </dxf>
    <dxf>
      <font>
        <b/>
        <i val="0"/>
      </font>
    </dxf>
    <dxf>
      <font>
        <b/>
        <i val="0"/>
        <color rgb="FFFF0000"/>
      </font>
    </dxf>
    <dxf>
      <font>
        <b/>
        <i val="0"/>
      </font>
    </dxf>
    <dxf>
      <font>
        <b/>
        <i val="0"/>
        <color rgb="FFFF0000"/>
      </font>
    </dxf>
    <dxf>
      <font>
        <color theme="9" tint="-0.24994659260841701"/>
      </font>
      <fill>
        <patternFill>
          <bgColor theme="9" tint="0.59996337778862885"/>
        </patternFill>
      </fill>
    </dxf>
    <dxf>
      <font>
        <b/>
        <i val="0"/>
      </font>
    </dxf>
    <dxf>
      <font>
        <b/>
        <i val="0"/>
        <color rgb="FFFF0000"/>
      </font>
    </dxf>
    <dxf>
      <font>
        <b/>
        <i val="0"/>
        <color rgb="FFFF0000"/>
      </font>
    </dxf>
    <dxf>
      <font>
        <b/>
        <i val="0"/>
      </font>
    </dxf>
    <dxf>
      <font>
        <b/>
        <i val="0"/>
        <color rgb="FFFF0000"/>
      </font>
    </dxf>
    <dxf>
      <font>
        <color theme="9" tint="-0.24994659260841701"/>
      </font>
      <fill>
        <patternFill>
          <bgColor theme="9" tint="0.59996337778862885"/>
        </patternFill>
      </fill>
    </dxf>
    <dxf>
      <font>
        <b/>
        <i val="0"/>
      </font>
    </dxf>
    <dxf>
      <font>
        <b/>
        <i val="0"/>
        <color rgb="FFFF0000"/>
      </font>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b/>
        <i val="0"/>
      </font>
    </dxf>
    <dxf>
      <font>
        <b/>
        <i val="0"/>
        <color rgb="FFFF0000"/>
      </font>
    </dxf>
    <dxf>
      <font>
        <b/>
        <i val="0"/>
        <color rgb="FFFF0000"/>
      </font>
    </dxf>
    <dxf>
      <font>
        <b/>
        <i val="0"/>
      </font>
    </dxf>
    <dxf>
      <font>
        <b/>
        <i val="0"/>
        <color rgb="FFFF0000"/>
      </font>
    </dxf>
    <dxf>
      <font>
        <b/>
        <i val="0"/>
        <color rgb="FFFF0000"/>
      </font>
    </dxf>
    <dxf>
      <font>
        <b/>
        <i val="0"/>
      </font>
    </dxf>
    <dxf>
      <font>
        <b/>
        <i val="0"/>
        <color rgb="FFFF0000"/>
      </font>
    </dxf>
    <dxf>
      <font>
        <color theme="9" tint="-0.24994659260841701"/>
      </font>
      <fill>
        <patternFill>
          <bgColor theme="9" tint="0.59996337778862885"/>
        </patternFill>
      </fill>
    </dxf>
    <dxf>
      <font>
        <b/>
        <i val="0"/>
      </font>
    </dxf>
    <dxf>
      <font>
        <b/>
        <i val="0"/>
        <color rgb="FFFF0000"/>
      </font>
    </dxf>
    <dxf>
      <font>
        <b/>
        <i val="0"/>
      </font>
    </dxf>
    <dxf>
      <font>
        <b/>
        <i val="0"/>
        <color rgb="FFFF0000"/>
      </font>
    </dxf>
    <dxf>
      <font>
        <b/>
        <i val="0"/>
        <color rgb="FFFF0000"/>
      </font>
    </dxf>
    <dxf>
      <font>
        <b/>
        <i val="0"/>
      </font>
    </dxf>
    <dxf>
      <font>
        <b/>
        <i val="0"/>
        <color rgb="FFFF0000"/>
      </font>
    </dxf>
    <dxf>
      <font>
        <color theme="9" tint="-0.24994659260841701"/>
      </font>
      <fill>
        <patternFill>
          <bgColor theme="9" tint="0.59996337778862885"/>
        </patternFill>
      </fill>
    </dxf>
    <dxf>
      <font>
        <b/>
        <i val="0"/>
      </font>
    </dxf>
    <dxf>
      <font>
        <b/>
        <i val="0"/>
        <color rgb="FFFF0000"/>
      </font>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b/>
        <i val="0"/>
      </font>
    </dxf>
    <dxf>
      <font>
        <b/>
        <i val="0"/>
        <color rgb="FFFF0000"/>
      </font>
    </dxf>
    <dxf>
      <font>
        <color theme="9" tint="-0.24994659260841701"/>
      </font>
      <fill>
        <patternFill>
          <bgColor theme="9" tint="0.59996337778862885"/>
        </patternFill>
      </fill>
    </dxf>
    <dxf>
      <font>
        <b/>
        <i val="0"/>
      </font>
    </dxf>
    <dxf>
      <font>
        <b/>
        <i val="0"/>
        <color rgb="FFFF0000"/>
      </font>
    </dxf>
    <dxf>
      <font>
        <b/>
        <i val="0"/>
      </font>
    </dxf>
    <dxf>
      <font>
        <b/>
        <i val="0"/>
        <color rgb="FFFF0000"/>
      </font>
    </dxf>
    <dxf>
      <font>
        <b/>
        <i val="0"/>
        <color rgb="FFFF0000"/>
      </font>
    </dxf>
    <dxf>
      <font>
        <b/>
        <i val="0"/>
      </font>
    </dxf>
    <dxf>
      <font>
        <b/>
        <i val="0"/>
        <color rgb="FFFF0000"/>
      </font>
    </dxf>
    <dxf>
      <font>
        <color theme="9" tint="-0.24994659260841701"/>
      </font>
      <fill>
        <patternFill>
          <bgColor theme="9" tint="0.59996337778862885"/>
        </patternFill>
      </fill>
    </dxf>
    <dxf>
      <font>
        <b/>
        <i val="0"/>
      </font>
    </dxf>
    <dxf>
      <font>
        <b/>
        <i val="0"/>
        <color rgb="FFFF0000"/>
      </font>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b/>
        <i val="0"/>
        <color rgb="FFFF0000"/>
      </font>
    </dxf>
    <dxf>
      <font>
        <b/>
        <i val="0"/>
      </font>
    </dxf>
    <dxf>
      <font>
        <b/>
        <i val="0"/>
        <color rgb="FFFF0000"/>
      </font>
    </dxf>
    <dxf>
      <font>
        <b/>
        <i val="0"/>
        <color rgb="FFFF0000"/>
      </font>
    </dxf>
    <dxf>
      <font>
        <b/>
        <i val="0"/>
      </font>
    </dxf>
    <dxf>
      <font>
        <b/>
        <i val="0"/>
        <color rgb="FFFF0000"/>
      </font>
    </dxf>
    <dxf>
      <font>
        <b/>
        <i val="0"/>
      </font>
    </dxf>
    <dxf>
      <font>
        <b/>
        <i val="0"/>
        <color rgb="FFFF0000"/>
      </font>
    </dxf>
    <dxf>
      <font>
        <b/>
        <i val="0"/>
        <color rgb="FFFF0000"/>
      </font>
    </dxf>
    <dxf>
      <font>
        <b/>
        <i val="0"/>
      </font>
    </dxf>
    <dxf>
      <font>
        <b/>
        <i val="0"/>
        <color rgb="FFFF0000"/>
      </font>
    </dxf>
    <dxf>
      <font>
        <color theme="9" tint="-0.24994659260841701"/>
      </font>
      <fill>
        <patternFill>
          <bgColor theme="9" tint="0.59996337778862885"/>
        </patternFill>
      </fill>
    </dxf>
    <dxf>
      <font>
        <b/>
        <i val="0"/>
      </font>
    </dxf>
    <dxf>
      <font>
        <b/>
        <i val="0"/>
        <color rgb="FFFF0000"/>
      </font>
    </dxf>
    <dxf>
      <font>
        <b/>
        <i val="0"/>
      </font>
    </dxf>
    <dxf>
      <font>
        <b/>
        <i val="0"/>
        <color rgb="FFFF0000"/>
      </font>
    </dxf>
    <dxf>
      <font>
        <color rgb="FF006100"/>
      </font>
      <fill>
        <patternFill>
          <bgColor rgb="FFC6EFCE"/>
        </patternFill>
      </fill>
    </dxf>
    <dxf>
      <font>
        <color rgb="FF9C0006"/>
      </font>
      <fill>
        <patternFill>
          <bgColor rgb="FFFFC7CE"/>
        </patternFill>
      </fill>
    </dxf>
    <dxf>
      <font>
        <b/>
        <i val="0"/>
        <color rgb="FFFF0000"/>
      </font>
    </dxf>
    <dxf>
      <font>
        <b/>
        <i val="0"/>
      </font>
    </dxf>
    <dxf>
      <font>
        <b/>
        <i val="0"/>
        <color rgb="FFFF0000"/>
      </font>
    </dxf>
    <dxf>
      <font>
        <b/>
        <i val="0"/>
      </font>
    </dxf>
    <dxf>
      <font>
        <b/>
        <i val="0"/>
        <color rgb="FFFF0000"/>
      </font>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b/>
        <i val="0"/>
      </font>
    </dxf>
    <dxf>
      <font>
        <b/>
        <i val="0"/>
        <color rgb="FFFF0000"/>
      </font>
    </dxf>
    <dxf>
      <font>
        <b/>
        <i val="0"/>
      </font>
    </dxf>
    <dxf>
      <font>
        <b/>
        <i val="0"/>
        <color rgb="FFFF0000"/>
      </font>
    </dxf>
    <dxf>
      <font>
        <b/>
        <i val="0"/>
      </font>
    </dxf>
    <dxf>
      <font>
        <b/>
        <i val="0"/>
        <color rgb="FFFF0000"/>
      </font>
    </dxf>
    <dxf>
      <font>
        <b/>
        <i val="0"/>
        <color rgb="FFFF0000"/>
      </font>
    </dxf>
    <dxf>
      <font>
        <b/>
        <i val="0"/>
      </font>
    </dxf>
    <dxf>
      <font>
        <b/>
        <i val="0"/>
        <color rgb="FFFF0000"/>
      </font>
    </dxf>
    <dxf>
      <font>
        <color theme="9" tint="-0.24994659260841701"/>
      </font>
      <fill>
        <patternFill>
          <bgColor theme="9" tint="0.59996337778862885"/>
        </patternFill>
      </fill>
    </dxf>
    <dxf>
      <font>
        <b/>
        <i val="0"/>
      </font>
    </dxf>
    <dxf>
      <font>
        <b/>
        <i val="0"/>
        <color rgb="FFFF0000"/>
      </font>
    </dxf>
    <dxf>
      <font>
        <b/>
        <i val="0"/>
      </font>
    </dxf>
    <dxf>
      <font>
        <b/>
        <i val="0"/>
        <color rgb="FFFF0000"/>
      </font>
    </dxf>
    <dxf>
      <font>
        <b/>
        <i val="0"/>
      </font>
    </dxf>
    <dxf>
      <font>
        <b/>
        <i val="0"/>
        <color rgb="FFFF0000"/>
      </font>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b/>
        <i val="0"/>
      </font>
    </dxf>
    <dxf>
      <font>
        <b/>
        <i val="0"/>
        <color rgb="FFFF0000"/>
      </font>
    </dxf>
    <dxf>
      <font>
        <b/>
        <i val="0"/>
      </font>
    </dxf>
    <dxf>
      <font>
        <b/>
        <i val="0"/>
        <color rgb="FFFF0000"/>
      </font>
    </dxf>
    <dxf>
      <font>
        <b/>
        <i val="0"/>
        <color rgb="FFFF0000"/>
      </font>
    </dxf>
    <dxf>
      <font>
        <b/>
        <i val="0"/>
      </font>
    </dxf>
    <dxf>
      <font>
        <b/>
        <i val="0"/>
        <color rgb="FFFF0000"/>
      </font>
    </dxf>
    <dxf>
      <font>
        <color theme="9" tint="-0.24994659260841701"/>
      </font>
      <fill>
        <patternFill>
          <bgColor theme="9" tint="0.59996337778862885"/>
        </patternFill>
      </fill>
    </dxf>
    <dxf>
      <font>
        <b/>
        <i val="0"/>
      </font>
    </dxf>
    <dxf>
      <font>
        <b/>
        <i val="0"/>
        <color rgb="FFFF0000"/>
      </font>
    </dxf>
    <dxf>
      <font>
        <b/>
        <i val="0"/>
      </font>
    </dxf>
    <dxf>
      <font>
        <b/>
        <i val="0"/>
        <color rgb="FFFF0000"/>
      </font>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b/>
        <i val="0"/>
        <color rgb="FFFF0000"/>
      </font>
    </dxf>
    <dxf>
      <font>
        <b/>
        <i val="0"/>
      </font>
    </dxf>
    <dxf>
      <font>
        <b/>
        <i val="0"/>
        <color rgb="FFFF0000"/>
      </font>
    </dxf>
    <dxf>
      <font>
        <b/>
        <i val="0"/>
        <color rgb="FFFF0000"/>
      </font>
    </dxf>
    <dxf>
      <font>
        <b/>
        <i val="0"/>
      </font>
    </dxf>
    <dxf>
      <font>
        <b/>
        <i val="0"/>
        <color rgb="FFFF0000"/>
      </font>
    </dxf>
    <dxf>
      <font>
        <b/>
        <i val="0"/>
        <color rgb="FFFF0000"/>
      </font>
    </dxf>
    <dxf>
      <font>
        <b/>
        <i val="0"/>
      </font>
    </dxf>
    <dxf>
      <font>
        <b/>
        <i val="0"/>
        <color rgb="FFFF0000"/>
      </font>
    </dxf>
    <dxf>
      <font>
        <b/>
        <i val="0"/>
      </font>
    </dxf>
    <dxf>
      <font>
        <b/>
        <i val="0"/>
        <color rgb="FFFF0000"/>
      </font>
    </dxf>
    <dxf>
      <font>
        <b/>
        <i val="0"/>
      </font>
    </dxf>
    <dxf>
      <font>
        <b/>
        <i val="0"/>
        <color rgb="FFFF0000"/>
      </font>
    </dxf>
    <dxf>
      <font>
        <b/>
        <i val="0"/>
        <color rgb="FFFF0000"/>
      </font>
    </dxf>
    <dxf>
      <font>
        <b/>
        <i val="0"/>
      </font>
    </dxf>
    <dxf>
      <font>
        <b/>
        <i val="0"/>
        <color rgb="FFFF0000"/>
      </font>
    </dxf>
    <dxf>
      <font>
        <color theme="9" tint="-0.24994659260841701"/>
      </font>
      <fill>
        <patternFill>
          <bgColor theme="9" tint="0.59996337778862885"/>
        </patternFill>
      </fill>
    </dxf>
    <dxf>
      <font>
        <b/>
        <i val="0"/>
      </font>
    </dxf>
    <dxf>
      <font>
        <b/>
        <i val="0"/>
        <color rgb="FFFF0000"/>
      </font>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b/>
        <i val="0"/>
      </font>
    </dxf>
    <dxf>
      <font>
        <b/>
        <i val="0"/>
        <color rgb="FFFF0000"/>
      </font>
    </dxf>
    <dxf>
      <font>
        <b/>
        <i val="0"/>
      </font>
    </dxf>
    <dxf>
      <font>
        <b/>
        <i val="0"/>
        <color rgb="FFFF0000"/>
      </font>
    </dxf>
    <dxf>
      <font>
        <b/>
        <i val="0"/>
        <color rgb="FFFF0000"/>
      </font>
    </dxf>
    <dxf>
      <font>
        <b/>
        <i val="0"/>
      </font>
    </dxf>
    <dxf>
      <font>
        <b/>
        <i val="0"/>
        <color rgb="FFFF0000"/>
      </font>
    </dxf>
    <dxf>
      <font>
        <color theme="9" tint="-0.24994659260841701"/>
      </font>
      <fill>
        <patternFill>
          <bgColor theme="9" tint="0.59996337778862885"/>
        </patternFill>
      </fill>
    </dxf>
    <dxf>
      <font>
        <b/>
        <i val="0"/>
      </font>
    </dxf>
    <dxf>
      <font>
        <b/>
        <i val="0"/>
        <color rgb="FFFF0000"/>
      </font>
    </dxf>
    <dxf>
      <font>
        <b/>
        <i val="0"/>
      </font>
    </dxf>
    <dxf>
      <font>
        <b/>
        <i val="0"/>
        <color rgb="FFFF0000"/>
      </font>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b/>
        <i val="0"/>
        <color rgb="FFFF0000"/>
      </font>
    </dxf>
    <dxf>
      <font>
        <b/>
        <i val="0"/>
      </font>
    </dxf>
    <dxf>
      <font>
        <b/>
        <i val="0"/>
        <color rgb="FFFF0000"/>
      </font>
    </dxf>
    <dxf>
      <font>
        <b/>
        <i val="0"/>
        <color rgb="FFFF0000"/>
      </font>
    </dxf>
    <dxf>
      <font>
        <b/>
        <i val="0"/>
      </font>
    </dxf>
    <dxf>
      <font>
        <b/>
        <i val="0"/>
        <color rgb="FFFF0000"/>
      </font>
    </dxf>
    <dxf>
      <font>
        <b/>
        <i val="0"/>
        <color rgb="FFFF0000"/>
      </font>
    </dxf>
    <dxf>
      <font>
        <b/>
        <i val="0"/>
      </font>
    </dxf>
    <dxf>
      <font>
        <b/>
        <i val="0"/>
        <color rgb="FFFF0000"/>
      </font>
    </dxf>
    <dxf>
      <font>
        <b/>
        <i val="0"/>
        <color rgb="FFFF0000"/>
      </font>
    </dxf>
    <dxf>
      <font>
        <b/>
        <i val="0"/>
      </font>
    </dxf>
    <dxf>
      <font>
        <b/>
        <i val="0"/>
        <color rgb="FFFF0000"/>
      </font>
    </dxf>
    <dxf>
      <font>
        <b/>
        <i val="0"/>
      </font>
    </dxf>
    <dxf>
      <font>
        <b/>
        <i val="0"/>
        <color rgb="FFFF0000"/>
      </font>
    </dxf>
    <dxf>
      <font>
        <b/>
        <i val="0"/>
      </font>
    </dxf>
    <dxf>
      <font>
        <b/>
        <i val="0"/>
        <color rgb="FFFF0000"/>
      </font>
    </dxf>
    <dxf>
      <font>
        <b/>
        <i val="0"/>
        <color rgb="FFFF0000"/>
      </font>
    </dxf>
    <dxf>
      <font>
        <b/>
        <i val="0"/>
      </font>
    </dxf>
    <dxf>
      <font>
        <b/>
        <i val="0"/>
        <color rgb="FFFF0000"/>
      </font>
    </dxf>
    <dxf>
      <font>
        <color theme="9" tint="-0.24994659260841701"/>
      </font>
      <fill>
        <patternFill>
          <bgColor theme="9" tint="0.59996337778862885"/>
        </patternFill>
      </fill>
    </dxf>
    <dxf>
      <font>
        <b/>
        <i val="0"/>
      </font>
    </dxf>
    <dxf>
      <font>
        <b/>
        <i val="0"/>
        <color rgb="FFFF0000"/>
      </font>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b/>
        <i val="0"/>
      </font>
    </dxf>
    <dxf>
      <font>
        <b/>
        <i val="0"/>
        <color rgb="FFFF0000"/>
      </font>
    </dxf>
    <dxf>
      <font>
        <b/>
        <i val="0"/>
      </font>
    </dxf>
    <dxf>
      <font>
        <b/>
        <i val="0"/>
        <color rgb="FFFF0000"/>
      </font>
    </dxf>
    <dxf>
      <font>
        <b/>
        <i val="0"/>
        <color rgb="FFFF0000"/>
      </font>
    </dxf>
    <dxf>
      <font>
        <b/>
        <i val="0"/>
      </font>
    </dxf>
    <dxf>
      <font>
        <b/>
        <i val="0"/>
        <color rgb="FFFF0000"/>
      </font>
    </dxf>
    <dxf>
      <font>
        <color theme="9" tint="-0.24994659260841701"/>
      </font>
      <fill>
        <patternFill>
          <bgColor theme="9" tint="0.59996337778862885"/>
        </patternFill>
      </fill>
    </dxf>
    <dxf>
      <font>
        <b/>
        <i val="0"/>
      </font>
    </dxf>
    <dxf>
      <font>
        <b/>
        <i val="0"/>
        <color rgb="FFFF0000"/>
      </font>
    </dxf>
    <dxf>
      <font>
        <b/>
        <i val="0"/>
      </font>
    </dxf>
    <dxf>
      <font>
        <b/>
        <i val="0"/>
        <color rgb="FFFF0000"/>
      </font>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b/>
        <i val="0"/>
      </font>
    </dxf>
    <dxf>
      <font>
        <b/>
        <i val="0"/>
        <color rgb="FFFF0000"/>
      </font>
    </dxf>
    <dxf>
      <font>
        <b/>
        <i val="0"/>
      </font>
    </dxf>
    <dxf>
      <font>
        <b/>
        <i val="0"/>
        <color rgb="FFFF0000"/>
      </font>
    </dxf>
    <dxf>
      <font>
        <b/>
        <i val="0"/>
        <color rgb="FFFF0000"/>
      </font>
    </dxf>
    <dxf>
      <font>
        <b/>
        <i val="0"/>
      </font>
    </dxf>
    <dxf>
      <font>
        <b/>
        <i val="0"/>
        <color rgb="FFFF0000"/>
      </font>
    </dxf>
    <dxf>
      <font>
        <color theme="9" tint="-0.24994659260841701"/>
      </font>
      <fill>
        <patternFill>
          <bgColor theme="9" tint="0.59996337778862885"/>
        </patternFill>
      </fill>
    </dxf>
    <dxf>
      <font>
        <b/>
        <i val="0"/>
      </font>
    </dxf>
    <dxf>
      <font>
        <b/>
        <i val="0"/>
        <color rgb="FFFF0000"/>
      </font>
    </dxf>
    <dxf>
      <font>
        <b/>
        <i val="0"/>
      </font>
    </dxf>
    <dxf>
      <font>
        <b/>
        <i val="0"/>
        <color rgb="FFFF0000"/>
      </font>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b/>
        <i val="0"/>
      </font>
    </dxf>
    <dxf>
      <font>
        <b/>
        <i val="0"/>
        <color rgb="FFFF0000"/>
      </font>
    </dxf>
    <dxf>
      <font>
        <b/>
        <i val="0"/>
        <color rgb="FFFF0000"/>
      </font>
    </dxf>
    <dxf>
      <font>
        <color theme="9" tint="-0.24994659260841701"/>
      </font>
      <fill>
        <patternFill>
          <bgColor theme="9" tint="0.59996337778862885"/>
        </patternFill>
      </fill>
    </dxf>
    <dxf>
      <font>
        <b/>
        <i val="0"/>
      </font>
    </dxf>
    <dxf>
      <font>
        <b/>
        <i val="0"/>
        <color rgb="FFFF0000"/>
      </font>
    </dxf>
    <dxf>
      <font>
        <b/>
        <i val="0"/>
      </font>
    </dxf>
    <dxf>
      <font>
        <b/>
        <i val="0"/>
        <color rgb="FFFF0000"/>
      </font>
    </dxf>
    <dxf>
      <font>
        <b/>
        <i val="0"/>
      </font>
    </dxf>
    <dxf>
      <font>
        <b/>
        <i val="0"/>
        <color rgb="FFFF0000"/>
      </font>
    </dxf>
    <dxf>
      <font>
        <b/>
        <i val="0"/>
      </font>
    </dxf>
    <dxf>
      <font>
        <b/>
        <i val="0"/>
        <color rgb="FFFF0000"/>
      </font>
    </dxf>
    <dxf>
      <font>
        <b/>
        <i val="0"/>
        <color rgb="FFFF0000"/>
      </font>
    </dxf>
    <dxf>
      <font>
        <b/>
        <i val="0"/>
      </font>
    </dxf>
    <dxf>
      <font>
        <b/>
        <i val="0"/>
        <color rgb="FFFF0000"/>
      </font>
    </dxf>
    <dxf>
      <font>
        <color theme="9" tint="-0.24994659260841701"/>
      </font>
      <fill>
        <patternFill>
          <bgColor theme="9" tint="0.59996337778862885"/>
        </patternFill>
      </fill>
    </dxf>
    <dxf>
      <font>
        <b/>
        <i val="0"/>
      </font>
    </dxf>
    <dxf>
      <font>
        <b/>
        <i val="0"/>
        <color rgb="FFFF0000"/>
      </font>
    </dxf>
    <dxf>
      <font>
        <b/>
        <i val="0"/>
      </font>
    </dxf>
    <dxf>
      <font>
        <b/>
        <i val="0"/>
        <color rgb="FFFF0000"/>
      </font>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b/>
        <i val="0"/>
      </font>
    </dxf>
    <dxf>
      <font>
        <b/>
        <i val="0"/>
        <color rgb="FFFF0000"/>
      </font>
    </dxf>
    <dxf>
      <font>
        <b/>
        <i val="0"/>
      </font>
    </dxf>
    <dxf>
      <font>
        <b/>
        <i val="0"/>
        <color rgb="FFFF0000"/>
      </font>
    </dxf>
    <dxf>
      <font>
        <b/>
        <i val="0"/>
        <color rgb="FFFF0000"/>
      </font>
    </dxf>
    <dxf>
      <font>
        <b/>
        <i val="0"/>
      </font>
    </dxf>
    <dxf>
      <font>
        <b/>
        <i val="0"/>
        <color rgb="FFFF0000"/>
      </font>
    </dxf>
    <dxf>
      <font>
        <color theme="9" tint="-0.24994659260841701"/>
      </font>
      <fill>
        <patternFill>
          <bgColor theme="9" tint="0.59996337778862885"/>
        </patternFill>
      </fill>
    </dxf>
    <dxf>
      <font>
        <b/>
        <i val="0"/>
      </font>
    </dxf>
    <dxf>
      <font>
        <b/>
        <i val="0"/>
        <color rgb="FFFF0000"/>
      </font>
    </dxf>
    <dxf>
      <font>
        <b/>
        <i val="0"/>
      </font>
    </dxf>
    <dxf>
      <font>
        <b/>
        <i val="0"/>
        <color rgb="FFFF0000"/>
      </font>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b/>
        <i val="0"/>
      </font>
    </dxf>
    <dxf>
      <font>
        <b/>
        <i val="0"/>
        <color rgb="FFFF0000"/>
      </font>
    </dxf>
    <dxf>
      <font>
        <b/>
        <i val="0"/>
      </font>
    </dxf>
    <dxf>
      <font>
        <b/>
        <i val="0"/>
        <color rgb="FFFF0000"/>
      </font>
    </dxf>
    <dxf>
      <font>
        <b/>
        <i val="0"/>
        <color rgb="FFFF0000"/>
      </font>
    </dxf>
    <dxf>
      <font>
        <b/>
        <i val="0"/>
      </font>
    </dxf>
    <dxf>
      <font>
        <b/>
        <i val="0"/>
        <color rgb="FFFF0000"/>
      </font>
    </dxf>
    <dxf>
      <font>
        <color theme="9" tint="-0.24994659260841701"/>
      </font>
      <fill>
        <patternFill>
          <bgColor theme="9" tint="0.59996337778862885"/>
        </patternFill>
      </fill>
    </dxf>
    <dxf>
      <font>
        <b/>
        <i val="0"/>
      </font>
    </dxf>
    <dxf>
      <font>
        <b/>
        <i val="0"/>
        <color rgb="FFFF0000"/>
      </font>
    </dxf>
    <dxf>
      <font>
        <b/>
        <i val="0"/>
      </font>
    </dxf>
    <dxf>
      <font>
        <b/>
        <i val="0"/>
        <color rgb="FFFF0000"/>
      </font>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b/>
        <i val="0"/>
        <color rgb="FFFF0000"/>
      </font>
    </dxf>
    <dxf>
      <font>
        <b/>
        <i val="0"/>
      </font>
    </dxf>
    <dxf>
      <font>
        <b/>
        <i val="0"/>
        <color rgb="FFFF0000"/>
      </font>
    </dxf>
    <dxf>
      <font>
        <color theme="9" tint="-0.24994659260841701"/>
      </font>
      <fill>
        <patternFill>
          <bgColor theme="9" tint="0.59996337778862885"/>
        </patternFill>
      </fill>
    </dxf>
    <dxf>
      <font>
        <b/>
        <i val="0"/>
        <color rgb="FFFF0000"/>
      </font>
    </dxf>
    <dxf>
      <font>
        <b/>
        <i val="0"/>
      </font>
    </dxf>
    <dxf>
      <font>
        <b/>
        <i val="0"/>
        <color rgb="FFFF0000"/>
      </font>
    </dxf>
    <dxf>
      <font>
        <b/>
        <i val="0"/>
      </font>
    </dxf>
    <dxf>
      <font>
        <b/>
        <i val="0"/>
        <color rgb="FFFF0000"/>
      </font>
    </dxf>
    <dxf>
      <font>
        <b/>
        <i val="0"/>
      </font>
    </dxf>
    <dxf>
      <font>
        <b/>
        <i val="0"/>
        <color rgb="FFFF0000"/>
      </font>
    </dxf>
    <dxf>
      <font>
        <b/>
        <i val="0"/>
      </font>
    </dxf>
    <dxf>
      <font>
        <b/>
        <i val="0"/>
        <color rgb="FFFF0000"/>
      </font>
    </dxf>
    <dxf>
      <font>
        <b/>
        <i val="0"/>
      </font>
    </dxf>
    <dxf>
      <font>
        <b/>
        <i val="0"/>
        <color rgb="FFFF0000"/>
      </font>
    </dxf>
    <dxf>
      <font>
        <b/>
        <i val="0"/>
      </font>
    </dxf>
    <dxf>
      <font>
        <b/>
        <i val="0"/>
        <color rgb="FFFF0000"/>
      </font>
    </dxf>
    <dxf>
      <font>
        <b/>
        <i val="0"/>
        <color rgb="FFFF0000"/>
      </font>
    </dxf>
    <dxf>
      <font>
        <b/>
        <i val="0"/>
      </font>
    </dxf>
    <dxf>
      <font>
        <b/>
        <i val="0"/>
        <color rgb="FFFF0000"/>
      </font>
    </dxf>
    <dxf>
      <font>
        <color theme="9" tint="-0.24994659260841701"/>
      </font>
      <fill>
        <patternFill>
          <bgColor theme="9" tint="0.59996337778862885"/>
        </patternFill>
      </fill>
    </dxf>
    <dxf>
      <font>
        <b/>
        <i val="0"/>
      </font>
    </dxf>
    <dxf>
      <font>
        <b/>
        <i val="0"/>
        <color rgb="FFFF0000"/>
      </font>
    </dxf>
    <dxf>
      <font>
        <b/>
        <i val="0"/>
      </font>
    </dxf>
    <dxf>
      <font>
        <b/>
        <i val="0"/>
        <color rgb="FFFF0000"/>
      </font>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b/>
        <i val="0"/>
      </font>
    </dxf>
    <dxf>
      <font>
        <b/>
        <i val="0"/>
        <color rgb="FFFF0000"/>
      </font>
    </dxf>
    <dxf>
      <font>
        <b/>
        <i val="0"/>
      </font>
    </dxf>
    <dxf>
      <font>
        <b/>
        <i val="0"/>
        <color rgb="FFFF0000"/>
      </font>
    </dxf>
    <dxf>
      <font>
        <b/>
        <i val="0"/>
      </font>
    </dxf>
    <dxf>
      <font>
        <b/>
        <i val="0"/>
        <color rgb="FFFF0000"/>
      </font>
    </dxf>
    <dxf>
      <font>
        <b/>
        <i val="0"/>
      </font>
    </dxf>
    <dxf>
      <font>
        <b/>
        <i val="0"/>
        <color rgb="FFFF0000"/>
      </font>
    </dxf>
    <dxf>
      <font>
        <b/>
        <i val="0"/>
        <color rgb="FFFF0000"/>
      </font>
    </dxf>
    <dxf>
      <font>
        <b/>
        <i val="0"/>
      </font>
    </dxf>
    <dxf>
      <font>
        <b/>
        <i val="0"/>
        <color rgb="FFFF0000"/>
      </font>
    </dxf>
    <dxf>
      <font>
        <color theme="9" tint="-0.24994659260841701"/>
      </font>
      <fill>
        <patternFill>
          <bgColor theme="9" tint="0.59996337778862885"/>
        </patternFill>
      </fill>
    </dxf>
    <dxf>
      <font>
        <b/>
        <i val="0"/>
      </font>
    </dxf>
    <dxf>
      <font>
        <b/>
        <i val="0"/>
        <color rgb="FFFF0000"/>
      </font>
    </dxf>
    <dxf>
      <font>
        <b/>
        <i val="0"/>
      </font>
    </dxf>
    <dxf>
      <font>
        <b/>
        <i val="0"/>
        <color rgb="FFFF0000"/>
      </font>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b/>
        <i val="0"/>
      </font>
    </dxf>
    <dxf>
      <font>
        <b/>
        <i val="0"/>
        <color rgb="FFFF0000"/>
      </font>
    </dxf>
    <dxf>
      <font>
        <b/>
        <i val="0"/>
      </font>
    </dxf>
    <dxf>
      <font>
        <b/>
        <i val="0"/>
        <color rgb="FFFF0000"/>
      </font>
    </dxf>
    <dxf>
      <font>
        <color theme="9" tint="-0.24994659260841701"/>
      </font>
      <fill>
        <patternFill>
          <bgColor theme="9" tint="0.59996337778862885"/>
        </patternFill>
      </fill>
    </dxf>
    <dxf>
      <font>
        <b/>
        <i val="0"/>
      </font>
    </dxf>
    <dxf>
      <font>
        <b/>
        <i val="0"/>
        <color rgb="FFFF0000"/>
      </font>
    </dxf>
    <dxf>
      <font>
        <b/>
        <i val="0"/>
        <color rgb="FFFF0000"/>
      </font>
    </dxf>
    <dxf>
      <font>
        <b/>
        <i val="0"/>
      </font>
    </dxf>
    <dxf>
      <font>
        <b/>
        <i val="0"/>
        <color rgb="FFFF0000"/>
      </font>
    </dxf>
    <dxf>
      <font>
        <color theme="9" tint="-0.24994659260841701"/>
      </font>
      <fill>
        <patternFill>
          <bgColor theme="9" tint="0.59996337778862885"/>
        </patternFill>
      </fill>
    </dxf>
    <dxf>
      <font>
        <b/>
        <i val="0"/>
      </font>
    </dxf>
    <dxf>
      <font>
        <b/>
        <i val="0"/>
        <color rgb="FFFF0000"/>
      </font>
    </dxf>
    <dxf>
      <font>
        <b/>
        <i val="0"/>
      </font>
    </dxf>
    <dxf>
      <font>
        <b/>
        <i val="0"/>
        <color rgb="FFFF0000"/>
      </font>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b/>
        <i val="0"/>
        <color rgb="FFFF0000"/>
      </font>
    </dxf>
    <dxf>
      <font>
        <b/>
        <i val="0"/>
      </font>
    </dxf>
    <dxf>
      <font>
        <b/>
        <i val="0"/>
        <color rgb="FFFF0000"/>
      </font>
    </dxf>
    <dxf>
      <font>
        <b/>
        <i val="0"/>
        <color rgb="FFFF0000"/>
      </font>
    </dxf>
    <dxf>
      <font>
        <b/>
        <i val="0"/>
      </font>
    </dxf>
    <dxf>
      <font>
        <b/>
        <i val="0"/>
        <color rgb="FFFF0000"/>
      </font>
    </dxf>
    <dxf>
      <font>
        <b/>
        <i val="0"/>
      </font>
    </dxf>
    <dxf>
      <font>
        <b/>
        <i val="0"/>
        <color rgb="FFFF0000"/>
      </font>
    </dxf>
    <dxf>
      <font>
        <b/>
        <i val="0"/>
        <color rgb="FFFF0000"/>
      </font>
    </dxf>
    <dxf>
      <font>
        <b/>
        <i val="0"/>
      </font>
    </dxf>
    <dxf>
      <font>
        <b/>
        <i val="0"/>
        <color rgb="FFFF0000"/>
      </font>
    </dxf>
    <dxf>
      <font>
        <b/>
        <i val="0"/>
        <color rgb="FFFF0000"/>
      </font>
    </dxf>
    <dxf>
      <font>
        <b/>
        <i val="0"/>
      </font>
    </dxf>
    <dxf>
      <font>
        <b/>
        <i val="0"/>
        <color rgb="FFFF0000"/>
      </font>
    </dxf>
    <dxf>
      <font>
        <color theme="9" tint="-0.24994659260841701"/>
      </font>
      <fill>
        <patternFill>
          <bgColor theme="9" tint="0.59996337778862885"/>
        </patternFill>
      </fill>
    </dxf>
    <dxf>
      <font>
        <b/>
        <i val="0"/>
      </font>
    </dxf>
    <dxf>
      <font>
        <b/>
        <i val="0"/>
        <color rgb="FFFF0000"/>
      </font>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b/>
        <i val="0"/>
        <color rgb="FFFF0000"/>
      </font>
    </dxf>
    <dxf>
      <font>
        <b/>
        <i val="0"/>
      </font>
    </dxf>
    <dxf>
      <font>
        <b/>
        <i val="0"/>
        <color rgb="FFFF0000"/>
      </font>
    </dxf>
    <dxf>
      <font>
        <b/>
        <i val="0"/>
      </font>
    </dxf>
    <dxf>
      <font>
        <b/>
        <i val="0"/>
        <color rgb="FFFF0000"/>
      </font>
    </dxf>
    <dxf>
      <font>
        <color theme="9" tint="-0.24994659260841701"/>
      </font>
      <fill>
        <patternFill>
          <bgColor theme="9" tint="0.59996337778862885"/>
        </patternFill>
      </fill>
    </dxf>
    <dxf>
      <font>
        <b/>
        <i val="0"/>
        <color rgb="FFFF0000"/>
      </font>
    </dxf>
    <dxf>
      <font>
        <b/>
        <i val="0"/>
      </font>
    </dxf>
    <dxf>
      <font>
        <b/>
        <i val="0"/>
        <color rgb="FFFF0000"/>
      </font>
    </dxf>
    <dxf>
      <font>
        <color theme="9" tint="-0.24994659260841701"/>
      </font>
      <fill>
        <patternFill>
          <bgColor theme="9" tint="0.59996337778862885"/>
        </patternFill>
      </fill>
    </dxf>
    <dxf>
      <font>
        <b/>
        <i val="0"/>
      </font>
    </dxf>
    <dxf>
      <font>
        <b/>
        <i val="0"/>
        <color rgb="FFFF0000"/>
      </font>
    </dxf>
    <dxf>
      <font>
        <b/>
        <i val="0"/>
      </font>
    </dxf>
    <dxf>
      <font>
        <b/>
        <i val="0"/>
        <color rgb="FFFF0000"/>
      </font>
    </dxf>
    <dxf>
      <font>
        <b/>
        <i val="0"/>
        <color rgb="FFFF0000"/>
      </font>
    </dxf>
    <dxf>
      <font>
        <b/>
        <i val="0"/>
      </font>
    </dxf>
    <dxf>
      <font>
        <b/>
        <i val="0"/>
        <color rgb="FFFF0000"/>
      </font>
    </dxf>
    <dxf>
      <font>
        <b/>
        <i val="0"/>
      </font>
    </dxf>
    <dxf>
      <font>
        <b/>
        <i val="0"/>
        <color rgb="FFFF0000"/>
      </font>
    </dxf>
    <dxf>
      <font>
        <color theme="9" tint="-0.24994659260841701"/>
      </font>
      <fill>
        <patternFill>
          <bgColor theme="9" tint="0.59996337778862885"/>
        </patternFill>
      </fill>
    </dxf>
    <dxf>
      <font>
        <b/>
        <i val="0"/>
      </font>
    </dxf>
    <dxf>
      <font>
        <b/>
        <i val="0"/>
        <color rgb="FFFF0000"/>
      </font>
    </dxf>
    <dxf>
      <font>
        <b/>
        <i val="0"/>
        <color rgb="FFFF0000"/>
      </font>
    </dxf>
    <dxf>
      <font>
        <b/>
        <i val="0"/>
      </font>
    </dxf>
    <dxf>
      <font>
        <b/>
        <i val="0"/>
        <color rgb="FFFF0000"/>
      </font>
    </dxf>
    <dxf>
      <font>
        <color theme="9" tint="-0.24994659260841701"/>
      </font>
      <fill>
        <patternFill>
          <bgColor theme="9" tint="0.59996337778862885"/>
        </patternFill>
      </fill>
    </dxf>
    <dxf>
      <font>
        <b/>
        <i val="0"/>
      </font>
    </dxf>
    <dxf>
      <font>
        <b/>
        <i val="0"/>
        <color rgb="FFFF0000"/>
      </font>
    </dxf>
    <dxf>
      <font>
        <color rgb="FF006100"/>
      </font>
      <fill>
        <patternFill>
          <bgColor rgb="FFC6EFCE"/>
        </patternFill>
      </fill>
    </dxf>
    <dxf>
      <font>
        <color rgb="FF9C0006"/>
      </font>
      <fill>
        <patternFill>
          <bgColor rgb="FFFFC7CE"/>
        </patternFill>
      </fill>
    </dxf>
    <dxf>
      <font>
        <b/>
        <i val="0"/>
      </font>
    </dxf>
    <dxf>
      <font>
        <b/>
        <i val="0"/>
        <color rgb="FFFF0000"/>
      </font>
    </dxf>
    <dxf>
      <font>
        <b/>
        <i val="0"/>
      </font>
    </dxf>
    <dxf>
      <font>
        <b/>
        <i val="0"/>
        <color rgb="FFFF0000"/>
      </font>
    </dxf>
    <dxf>
      <font>
        <b/>
        <i val="0"/>
        <color rgb="FFFF0000"/>
      </font>
    </dxf>
    <dxf>
      <font>
        <b/>
        <i val="0"/>
      </font>
    </dxf>
    <dxf>
      <font>
        <b/>
        <i val="0"/>
        <color rgb="FFFF0000"/>
      </font>
    </dxf>
    <dxf>
      <font>
        <color rgb="FF006100"/>
      </font>
      <fill>
        <patternFill>
          <bgColor rgb="FFC6EFCE"/>
        </patternFill>
      </fill>
    </dxf>
    <dxf>
      <font>
        <color rgb="FF9C0006"/>
      </font>
      <fill>
        <patternFill>
          <bgColor rgb="FFFFC7CE"/>
        </patternFill>
      </fill>
    </dxf>
    <dxf>
      <font>
        <color theme="9" tint="-0.24994659260841701"/>
      </font>
      <fill>
        <patternFill>
          <bgColor theme="9" tint="0.59996337778862885"/>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alignment horizontal="general" vertical="center" textRotation="0" wrapText="0" indent="0" justifyLastLine="0" shrinkToFit="0" readingOrder="0"/>
    </dxf>
    <dxf>
      <font>
        <strike val="0"/>
        <outline val="0"/>
        <shadow val="0"/>
        <u val="none"/>
        <vertAlign val="baseline"/>
        <sz val="8"/>
        <color theme="1"/>
        <name val="Calibri"/>
        <scheme val="minor"/>
      </font>
      <alignment horizontal="general" vertical="center" textRotation="0" wrapText="1" indent="0" justifyLastLine="0" shrinkToFit="0" readingOrder="0"/>
    </dxf>
    <dxf>
      <font>
        <strike val="0"/>
        <outline val="0"/>
        <shadow val="0"/>
        <u val="none"/>
        <vertAlign val="baseline"/>
        <sz val="6"/>
        <color theme="1"/>
        <name val="Calibri"/>
        <scheme val="minor"/>
      </font>
      <alignment horizontal="general" vertical="center" textRotation="0" wrapText="1" indent="0" justifyLastLine="0" shrinkToFit="0" readingOrder="0"/>
    </dxf>
    <dxf>
      <numFmt numFmtId="164" formatCode="0000"/>
      <alignment horizontal="center" vertical="center" textRotation="0" wrapText="1" indent="0" justifyLastLine="0" shrinkToFit="0" readingOrder="0"/>
    </dxf>
    <dxf>
      <alignment horizontal="center" vertical="bottom" textRotation="0" wrapText="0" indent="0" justifyLastLine="0" shrinkToFit="0" readingOrder="0"/>
    </dxf>
    <dxf>
      <font>
        <i val="0"/>
      </font>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64" formatCode="0000"/>
      <alignment horizontal="center" vertical="center" textRotation="0" indent="0" justifyLastLine="0" shrinkToFit="0" readingOrder="0"/>
    </dxf>
    <dxf>
      <alignment horizontal="left" vertical="center" textRotation="0" wrapText="1" indent="0" justifyLastLine="0" shrinkToFit="0" readingOrder="0"/>
      <border diagonalUp="0" diagonalDown="0" outline="0">
        <left style="thin">
          <color indexed="64"/>
        </left>
        <right/>
        <top style="thin">
          <color indexed="64"/>
        </top>
        <bottom style="thin">
          <color indexed="64"/>
        </bottom>
      </border>
    </dxf>
    <dxf>
      <font>
        <b/>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2"/>
        <color theme="0"/>
        <name val="Calibri"/>
        <scheme val="minor"/>
      </font>
      <fill>
        <patternFill patternType="solid">
          <fgColor indexed="64"/>
          <bgColor theme="2" tint="-0.499984740745262"/>
        </patternFill>
      </fill>
      <alignment horizontal="center" textRotation="0" indent="0" justifyLastLine="0" shrinkToFit="0" readingOrder="0"/>
    </dxf>
    <dxf>
      <font>
        <i val="0"/>
      </font>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64" formatCode="0000"/>
      <alignment horizontal="center" vertical="center" textRotation="0" indent="0" justifyLastLine="0" shrinkToFit="0" readingOrder="0"/>
    </dxf>
    <dxf>
      <alignment horizontal="left" vertical="center" textRotation="0" wrapText="1" indent="0" justifyLastLine="0" shrinkToFit="0" readingOrder="0"/>
      <border diagonalUp="0" diagonalDown="0" outline="0">
        <left style="thin">
          <color indexed="64"/>
        </left>
        <right/>
        <top style="thin">
          <color indexed="64"/>
        </top>
        <bottom style="thin">
          <color indexed="64"/>
        </bottom>
      </border>
    </dxf>
    <dxf>
      <font>
        <b/>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2"/>
        <color theme="0"/>
        <name val="Calibri"/>
        <scheme val="minor"/>
      </font>
      <fill>
        <patternFill patternType="solid">
          <fgColor indexed="64"/>
          <bgColor theme="2" tint="-0.499984740745262"/>
        </patternFill>
      </fill>
      <alignment horizontal="center" textRotation="0" indent="0" justifyLastLine="0" shrinkToFit="0" readingOrder="0"/>
    </dxf>
    <dxf>
      <font>
        <i val="0"/>
      </font>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64" formatCode="0000"/>
      <alignment horizontal="center" vertical="center" textRotation="0" indent="0" justifyLastLine="0" shrinkToFit="0" readingOrder="0"/>
    </dxf>
    <dxf>
      <alignment horizontal="left" vertical="center" textRotation="0" wrapText="1" indent="0" justifyLastLine="0" shrinkToFit="0" readingOrder="0"/>
      <border diagonalUp="0" diagonalDown="0" outline="0">
        <left style="thin">
          <color indexed="64"/>
        </left>
        <right/>
        <top style="thin">
          <color indexed="64"/>
        </top>
        <bottom style="thin">
          <color indexed="64"/>
        </bottom>
      </border>
    </dxf>
    <dxf>
      <font>
        <b/>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2"/>
        <color theme="0"/>
        <name val="Calibri"/>
        <scheme val="minor"/>
      </font>
      <fill>
        <patternFill patternType="solid">
          <fgColor indexed="64"/>
          <bgColor theme="2" tint="-0.499984740745262"/>
        </patternFill>
      </fill>
      <alignment horizontal="center" textRotation="0" indent="0" justifyLastLine="0" shrinkToFit="0" readingOrder="0"/>
    </dxf>
    <dxf>
      <font>
        <i val="0"/>
      </font>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64" formatCode="0000"/>
      <alignment horizontal="center" vertical="center" textRotation="0" indent="0" justifyLastLine="0" shrinkToFit="0" readingOrder="0"/>
    </dxf>
    <dxf>
      <alignment horizontal="left" vertical="center" textRotation="0" wrapText="1" indent="0" justifyLastLine="0" shrinkToFit="0" readingOrder="0"/>
      <border diagonalUp="0" diagonalDown="0" outline="0">
        <left style="thin">
          <color indexed="64"/>
        </left>
        <right/>
        <top style="thin">
          <color indexed="64"/>
        </top>
        <bottom style="thin">
          <color indexed="64"/>
        </bottom>
      </border>
    </dxf>
    <dxf>
      <font>
        <b/>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2"/>
        <color theme="0"/>
        <name val="Calibri"/>
        <scheme val="minor"/>
      </font>
      <fill>
        <patternFill patternType="solid">
          <fgColor indexed="64"/>
          <bgColor theme="2" tint="-0.499984740745262"/>
        </patternFill>
      </fill>
      <alignment horizontal="center" textRotation="0" indent="0" justifyLastLine="0" shrinkToFit="0" readingOrder="0"/>
    </dxf>
    <dxf>
      <font>
        <i val="0"/>
      </font>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64" formatCode="0000"/>
      <alignment horizontal="center" vertical="center" textRotation="0" indent="0" justifyLastLine="0" shrinkToFit="0" readingOrder="0"/>
    </dxf>
    <dxf>
      <alignment horizontal="left" vertical="center" textRotation="0" wrapText="1" indent="0" justifyLastLine="0" shrinkToFit="0" readingOrder="0"/>
      <border diagonalUp="0" diagonalDown="0" outline="0">
        <left style="thin">
          <color indexed="64"/>
        </left>
        <right/>
        <top style="thin">
          <color indexed="64"/>
        </top>
        <bottom style="thin">
          <color indexed="64"/>
        </bottom>
      </border>
    </dxf>
    <dxf>
      <font>
        <b/>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2"/>
        <color theme="0"/>
        <name val="Calibri"/>
        <scheme val="minor"/>
      </font>
      <fill>
        <patternFill patternType="solid">
          <fgColor indexed="64"/>
          <bgColor theme="2" tint="-0.499984740745262"/>
        </patternFill>
      </fill>
      <alignment horizontal="center" textRotation="0" indent="0" justifyLastLine="0" shrinkToFit="0" readingOrder="0"/>
    </dxf>
    <dxf>
      <font>
        <i val="0"/>
      </font>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64" formatCode="0000"/>
      <alignment horizontal="center" vertical="center" textRotation="0" indent="0" justifyLastLine="0" shrinkToFit="0" readingOrder="0"/>
    </dxf>
    <dxf>
      <alignment horizontal="left" vertical="center" textRotation="0" wrapText="1" indent="0" justifyLastLine="0" shrinkToFit="0" readingOrder="0"/>
      <border diagonalUp="0" diagonalDown="0" outline="0">
        <left style="thin">
          <color indexed="64"/>
        </left>
        <right/>
        <top style="thin">
          <color indexed="64"/>
        </top>
        <bottom style="thin">
          <color indexed="64"/>
        </bottom>
      </border>
    </dxf>
    <dxf>
      <font>
        <b/>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2"/>
        <color theme="0"/>
        <name val="Calibri"/>
        <scheme val="minor"/>
      </font>
      <fill>
        <patternFill patternType="solid">
          <fgColor indexed="64"/>
          <bgColor theme="2" tint="-0.499984740745262"/>
        </patternFill>
      </fill>
      <alignment horizontal="center" textRotation="0" indent="0" justifyLastLine="0" shrinkToFit="0" readingOrder="0"/>
    </dxf>
    <dxf>
      <font>
        <i val="0"/>
      </font>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64" formatCode="0000"/>
      <alignment horizontal="center" vertical="center" textRotation="0" indent="0" justifyLastLine="0" shrinkToFit="0" readingOrder="0"/>
    </dxf>
    <dxf>
      <alignment horizontal="left" vertical="center" textRotation="0" wrapText="1" indent="0" justifyLastLine="0" shrinkToFit="0" readingOrder="0"/>
      <border diagonalUp="0" diagonalDown="0" outline="0">
        <left style="thin">
          <color indexed="64"/>
        </left>
        <right/>
        <top style="thin">
          <color indexed="64"/>
        </top>
        <bottom style="thin">
          <color indexed="64"/>
        </bottom>
      </border>
    </dxf>
    <dxf>
      <font>
        <b/>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2"/>
        <color theme="0"/>
        <name val="Calibri"/>
        <scheme val="minor"/>
      </font>
      <fill>
        <patternFill patternType="solid">
          <fgColor indexed="64"/>
          <bgColor theme="2" tint="-0.499984740745262"/>
        </patternFill>
      </fill>
      <alignment horizontal="center" textRotation="0" indent="0" justifyLastLine="0" shrinkToFit="0" readingOrder="0"/>
    </dxf>
    <dxf>
      <font>
        <i val="0"/>
      </font>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64" formatCode="0000"/>
      <alignment horizontal="center" vertical="center" textRotation="0" indent="0" justifyLastLine="0" shrinkToFit="0" readingOrder="0"/>
    </dxf>
    <dxf>
      <alignment horizontal="left" vertical="center" textRotation="0" wrapText="1" indent="0" justifyLastLine="0" shrinkToFit="0" readingOrder="0"/>
      <border diagonalUp="0" diagonalDown="0" outline="0">
        <left style="thin">
          <color indexed="64"/>
        </left>
        <right/>
        <top style="thin">
          <color indexed="64"/>
        </top>
        <bottom style="thin">
          <color indexed="64"/>
        </bottom>
      </border>
    </dxf>
    <dxf>
      <font>
        <b/>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2"/>
        <color theme="0"/>
        <name val="Calibri"/>
        <scheme val="minor"/>
      </font>
      <fill>
        <patternFill patternType="solid">
          <fgColor indexed="64"/>
          <bgColor theme="2" tint="-0.499984740745262"/>
        </patternFill>
      </fill>
      <alignment horizontal="center" textRotation="0" indent="0" justifyLastLine="0" shrinkToFit="0" readingOrder="0"/>
    </dxf>
    <dxf>
      <font>
        <i val="0"/>
      </font>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64" formatCode="0000"/>
      <alignment horizontal="center" vertical="center" textRotation="0" indent="0" justifyLastLine="0" shrinkToFit="0" readingOrder="0"/>
    </dxf>
    <dxf>
      <alignment horizontal="left" vertical="center" textRotation="0" wrapText="1" indent="0" justifyLastLine="0" shrinkToFit="0" readingOrder="0"/>
      <border diagonalUp="0" diagonalDown="0" outline="0">
        <left style="thin">
          <color indexed="64"/>
        </left>
        <right/>
        <top style="thin">
          <color indexed="64"/>
        </top>
        <bottom style="thin">
          <color indexed="64"/>
        </bottom>
      </border>
    </dxf>
    <dxf>
      <font>
        <b/>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2"/>
        <color theme="0"/>
        <name val="Calibri"/>
        <scheme val="minor"/>
      </font>
      <fill>
        <patternFill patternType="solid">
          <fgColor indexed="64"/>
          <bgColor theme="2" tint="-0.499984740745262"/>
        </patternFill>
      </fill>
      <alignment horizontal="center" textRotation="0" indent="0" justifyLastLine="0" shrinkToFit="0" readingOrder="0"/>
    </dxf>
    <dxf>
      <font>
        <i val="0"/>
      </font>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64" formatCode="0000"/>
      <alignment horizontal="center" vertical="center" textRotation="0" indent="0" justifyLastLine="0" shrinkToFit="0" readingOrder="0"/>
    </dxf>
    <dxf>
      <alignment horizontal="left" vertical="center" textRotation="0" wrapText="1" indent="0" justifyLastLine="0" shrinkToFit="0" readingOrder="0"/>
      <border diagonalUp="0" diagonalDown="0" outline="0">
        <left style="thin">
          <color indexed="64"/>
        </left>
        <right/>
        <top style="thin">
          <color indexed="64"/>
        </top>
        <bottom style="thin">
          <color indexed="64"/>
        </bottom>
      </border>
    </dxf>
    <dxf>
      <font>
        <b/>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2"/>
        <color theme="0"/>
        <name val="Calibri"/>
        <scheme val="minor"/>
      </font>
      <fill>
        <patternFill patternType="solid">
          <fgColor indexed="64"/>
          <bgColor theme="2" tint="-0.499984740745262"/>
        </patternFill>
      </fill>
      <alignment horizontal="center" textRotation="0" indent="0" justifyLastLine="0" shrinkToFit="0" readingOrder="0"/>
    </dxf>
    <dxf>
      <font>
        <i val="0"/>
      </font>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64" formatCode="0000"/>
      <alignment horizontal="center" vertical="center" textRotation="0" indent="0" justifyLastLine="0" shrinkToFit="0" readingOrder="0"/>
    </dxf>
    <dxf>
      <alignment horizontal="left" vertical="center" textRotation="0" wrapText="1" indent="0" justifyLastLine="0" shrinkToFit="0" readingOrder="0"/>
      <border diagonalUp="0" diagonalDown="0" outline="0">
        <left style="thin">
          <color indexed="64"/>
        </left>
        <right/>
        <top style="thin">
          <color indexed="64"/>
        </top>
        <bottom style="thin">
          <color indexed="64"/>
        </bottom>
      </border>
    </dxf>
    <dxf>
      <font>
        <b/>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2"/>
        <color theme="0"/>
        <name val="Calibri"/>
        <scheme val="minor"/>
      </font>
      <fill>
        <patternFill patternType="solid">
          <fgColor indexed="64"/>
          <bgColor theme="2" tint="-0.499984740745262"/>
        </patternFill>
      </fill>
      <alignment horizontal="center" textRotation="0" indent="0" justifyLastLine="0" shrinkToFit="0" readingOrder="0"/>
    </dxf>
    <dxf>
      <font>
        <i val="0"/>
      </font>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64" formatCode="0000"/>
      <alignment horizontal="center" vertical="center" textRotation="0" indent="0" justifyLastLine="0" shrinkToFit="0" readingOrder="0"/>
    </dxf>
    <dxf>
      <alignment horizontal="left" vertical="center" textRotation="0" wrapText="1" indent="0" justifyLastLine="0" shrinkToFit="0" readingOrder="0"/>
      <border diagonalUp="0" diagonalDown="0" outline="0">
        <left style="thin">
          <color indexed="64"/>
        </left>
        <right/>
        <top style="thin">
          <color indexed="64"/>
        </top>
        <bottom style="thin">
          <color indexed="64"/>
        </bottom>
      </border>
    </dxf>
    <dxf>
      <font>
        <b/>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2"/>
        <color theme="0"/>
        <name val="Calibri"/>
        <scheme val="minor"/>
      </font>
      <fill>
        <patternFill patternType="solid">
          <fgColor indexed="64"/>
          <bgColor theme="2" tint="-0.499984740745262"/>
        </patternFill>
      </fill>
      <alignment horizontal="center" textRotation="0" indent="0" justifyLastLine="0" shrinkToFit="0" readingOrder="0"/>
    </dxf>
    <dxf>
      <font>
        <i val="0"/>
      </font>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64" formatCode="0000"/>
      <alignment horizontal="center" vertical="center" textRotation="0" indent="0" justifyLastLine="0" shrinkToFit="0" readingOrder="0"/>
    </dxf>
    <dxf>
      <alignment horizontal="left" vertical="center" textRotation="0" wrapText="1" indent="0" justifyLastLine="0" shrinkToFit="0" readingOrder="0"/>
      <border diagonalUp="0" diagonalDown="0" outline="0">
        <left style="thin">
          <color indexed="64"/>
        </left>
        <right/>
        <top style="thin">
          <color indexed="64"/>
        </top>
        <bottom style="thin">
          <color indexed="64"/>
        </bottom>
      </border>
    </dxf>
    <dxf>
      <font>
        <b/>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2"/>
        <color theme="0"/>
        <name val="Calibri"/>
        <scheme val="minor"/>
      </font>
      <fill>
        <patternFill patternType="solid">
          <fgColor indexed="64"/>
          <bgColor theme="2" tint="-0.499984740745262"/>
        </patternFill>
      </fill>
      <alignment horizontal="center" textRotation="0" indent="0" justifyLastLine="0" shrinkToFit="0" readingOrder="0"/>
    </dxf>
    <dxf>
      <font>
        <i val="0"/>
      </font>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64" formatCode="0000"/>
      <alignment horizontal="center" vertical="center" textRotation="0" indent="0" justifyLastLine="0" shrinkToFit="0" readingOrder="0"/>
    </dxf>
    <dxf>
      <alignment horizontal="left" vertical="center" textRotation="0" wrapText="1" indent="0" justifyLastLine="0" shrinkToFit="0" readingOrder="0"/>
      <border diagonalUp="0" diagonalDown="0" outline="0">
        <left style="thin">
          <color indexed="64"/>
        </left>
        <right/>
        <top style="thin">
          <color indexed="64"/>
        </top>
        <bottom style="thin">
          <color indexed="64"/>
        </bottom>
      </border>
    </dxf>
    <dxf>
      <font>
        <b/>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2"/>
        <color theme="0"/>
        <name val="Calibri"/>
        <scheme val="minor"/>
      </font>
      <fill>
        <patternFill patternType="solid">
          <fgColor indexed="64"/>
          <bgColor theme="2" tint="-0.499984740745262"/>
        </patternFill>
      </fill>
      <alignment horizontal="center" textRotation="0" indent="0" justifyLastLine="0" shrinkToFit="0" readingOrder="0"/>
    </dxf>
    <dxf>
      <font>
        <i val="0"/>
      </font>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64" formatCode="0000"/>
      <alignment horizontal="center" vertical="center" textRotation="0" indent="0" justifyLastLine="0" shrinkToFit="0" readingOrder="0"/>
    </dxf>
    <dxf>
      <alignment horizontal="left" vertical="center" textRotation="0" wrapText="1" indent="0" justifyLastLine="0" shrinkToFit="0" readingOrder="0"/>
      <border diagonalUp="0" diagonalDown="0" outline="0">
        <left style="thin">
          <color indexed="64"/>
        </left>
        <right/>
        <top style="thin">
          <color indexed="64"/>
        </top>
        <bottom style="thin">
          <color indexed="64"/>
        </bottom>
      </border>
    </dxf>
    <dxf>
      <font>
        <b/>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2"/>
        <color theme="0"/>
        <name val="Calibri"/>
        <scheme val="minor"/>
      </font>
      <fill>
        <patternFill patternType="solid">
          <fgColor indexed="64"/>
          <bgColor theme="2" tint="-0.499984740745262"/>
        </patternFill>
      </fill>
      <alignment horizontal="center" textRotation="0" indent="0" justifyLastLine="0" shrinkToFit="0" readingOrder="0"/>
    </dxf>
    <dxf>
      <font>
        <i val="0"/>
      </font>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64" formatCode="0000"/>
      <alignment horizontal="center" vertical="center" textRotation="0" indent="0" justifyLastLine="0" shrinkToFit="0" readingOrder="0"/>
    </dxf>
    <dxf>
      <alignment horizontal="left" vertical="center" textRotation="0" wrapText="1" indent="0" justifyLastLine="0" shrinkToFit="0" readingOrder="0"/>
      <border diagonalUp="0" diagonalDown="0" outline="0">
        <left style="thin">
          <color indexed="64"/>
        </left>
        <right/>
        <top style="thin">
          <color indexed="64"/>
        </top>
        <bottom style="thin">
          <color indexed="64"/>
        </bottom>
      </border>
    </dxf>
    <dxf>
      <font>
        <b/>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2"/>
        <color theme="0"/>
        <name val="Calibri"/>
        <scheme val="minor"/>
      </font>
      <fill>
        <patternFill patternType="solid">
          <fgColor indexed="64"/>
          <bgColor theme="2" tint="-0.499984740745262"/>
        </patternFill>
      </fill>
      <alignment horizontal="center" textRotation="0" indent="0" justifyLastLine="0" shrinkToFit="0" readingOrder="0"/>
    </dxf>
    <dxf>
      <font>
        <i val="0"/>
      </font>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64" formatCode="0000"/>
      <alignment horizontal="center" vertical="center" textRotation="0" indent="0" justifyLastLine="0" shrinkToFit="0" readingOrder="0"/>
    </dxf>
    <dxf>
      <alignment horizontal="left" vertical="center" textRotation="0" wrapText="1" indent="0" justifyLastLine="0" shrinkToFit="0" readingOrder="0"/>
      <border diagonalUp="0" diagonalDown="0" outline="0">
        <left style="thin">
          <color indexed="64"/>
        </left>
        <right/>
        <top style="thin">
          <color indexed="64"/>
        </top>
        <bottom style="thin">
          <color indexed="64"/>
        </bottom>
      </border>
    </dxf>
    <dxf>
      <font>
        <b/>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2"/>
        <color theme="0"/>
        <name val="Calibri"/>
        <scheme val="minor"/>
      </font>
      <fill>
        <patternFill patternType="solid">
          <fgColor indexed="64"/>
          <bgColor theme="2" tint="-0.499984740745262"/>
        </patternFill>
      </fill>
      <alignment horizontal="center" textRotation="0" indent="0" justifyLastLine="0" shrinkToFit="0" readingOrder="0"/>
    </dxf>
    <dxf>
      <font>
        <i val="0"/>
      </font>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64" formatCode="0000"/>
      <alignment horizontal="center" vertical="center" textRotation="0" indent="0" justifyLastLine="0" shrinkToFit="0" readingOrder="0"/>
    </dxf>
    <dxf>
      <alignment horizontal="left" vertical="center" textRotation="0" wrapText="1" indent="0" justifyLastLine="0" shrinkToFit="0" readingOrder="0"/>
      <border diagonalUp="0" diagonalDown="0" outline="0">
        <left style="thin">
          <color indexed="64"/>
        </left>
        <right/>
        <top style="thin">
          <color indexed="64"/>
        </top>
        <bottom style="thin">
          <color indexed="64"/>
        </bottom>
      </border>
    </dxf>
    <dxf>
      <font>
        <b/>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2"/>
        <color theme="0"/>
        <name val="Calibri"/>
        <scheme val="minor"/>
      </font>
      <fill>
        <patternFill patternType="solid">
          <fgColor indexed="64"/>
          <bgColor theme="2" tint="-0.499984740745262"/>
        </patternFill>
      </fill>
      <alignment horizontal="center" textRotation="0" indent="0" justifyLastLine="0" shrinkToFit="0" readingOrder="0"/>
    </dxf>
    <dxf>
      <font>
        <i val="0"/>
      </font>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64" formatCode="0000"/>
      <alignment horizontal="center" vertical="center" textRotation="0" indent="0" justifyLastLine="0" shrinkToFit="0" readingOrder="0"/>
    </dxf>
    <dxf>
      <alignment horizontal="left" vertical="center" textRotation="0" wrapText="1" indent="0" justifyLastLine="0" shrinkToFit="0" readingOrder="0"/>
      <border diagonalUp="0" diagonalDown="0" outline="0">
        <left style="thin">
          <color indexed="64"/>
        </left>
        <right/>
        <top style="thin">
          <color indexed="64"/>
        </top>
        <bottom style="thin">
          <color indexed="64"/>
        </bottom>
      </border>
    </dxf>
    <dxf>
      <font>
        <b/>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2"/>
        <color theme="0"/>
        <name val="Calibri"/>
        <scheme val="minor"/>
      </font>
      <fill>
        <patternFill patternType="solid">
          <fgColor indexed="64"/>
          <bgColor theme="2" tint="-0.499984740745262"/>
        </patternFill>
      </fill>
      <alignment horizontal="center" textRotation="0" indent="0" justifyLastLine="0" shrinkToFit="0" readingOrder="0"/>
    </dxf>
    <dxf>
      <font>
        <i val="0"/>
      </font>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64" formatCode="0000"/>
      <alignment horizontal="center" vertical="center" textRotation="0" indent="0" justifyLastLine="0" shrinkToFit="0" readingOrder="0"/>
    </dxf>
    <dxf>
      <alignment horizontal="left" vertical="center" textRotation="0" wrapText="1" indent="0" justifyLastLine="0" shrinkToFit="0" readingOrder="0"/>
      <border diagonalUp="0" diagonalDown="0" outline="0">
        <left style="thin">
          <color indexed="64"/>
        </left>
        <right/>
        <top style="thin">
          <color indexed="64"/>
        </top>
        <bottom style="thin">
          <color indexed="64"/>
        </bottom>
      </border>
    </dxf>
    <dxf>
      <font>
        <b/>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2"/>
        <color theme="0"/>
        <name val="Calibri"/>
        <scheme val="minor"/>
      </font>
      <fill>
        <patternFill patternType="solid">
          <fgColor indexed="64"/>
          <bgColor theme="2" tint="-0.499984740745262"/>
        </patternFill>
      </fill>
      <alignment horizontal="center" textRotation="0" indent="0" justifyLastLine="0" shrinkToFit="0" readingOrder="0"/>
    </dxf>
    <dxf>
      <font>
        <i val="0"/>
      </font>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64" formatCode="0000"/>
      <alignment horizontal="center" vertical="center" textRotation="0" indent="0" justifyLastLine="0" shrinkToFit="0" readingOrder="0"/>
    </dxf>
    <dxf>
      <alignment horizontal="left" vertical="center" textRotation="0" wrapText="1" indent="0" justifyLastLine="0" shrinkToFit="0" readingOrder="0"/>
      <border diagonalUp="0" diagonalDown="0" outline="0">
        <left style="thin">
          <color indexed="64"/>
        </left>
        <right/>
        <top style="thin">
          <color indexed="64"/>
        </top>
        <bottom style="thin">
          <color indexed="64"/>
        </bottom>
      </border>
    </dxf>
    <dxf>
      <font>
        <b/>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2"/>
        <color theme="0"/>
        <name val="Calibri"/>
        <scheme val="minor"/>
      </font>
      <fill>
        <patternFill patternType="solid">
          <fgColor indexed="64"/>
          <bgColor theme="2" tint="-0.499984740745262"/>
        </patternFill>
      </fill>
      <alignment horizontal="center" textRotation="0" indent="0" justifyLastLine="0" shrinkToFit="0" readingOrder="0"/>
    </dxf>
    <dxf>
      <font>
        <i val="0"/>
      </font>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64" formatCode="0000"/>
      <alignment horizontal="center" vertical="center" textRotation="0" indent="0" justifyLastLine="0" shrinkToFit="0" readingOrder="0"/>
    </dxf>
    <dxf>
      <alignment horizontal="left" vertical="center" textRotation="0" wrapText="1" indent="0" justifyLastLine="0" shrinkToFit="0" readingOrder="0"/>
      <border diagonalUp="0" diagonalDown="0" outline="0">
        <left style="thin">
          <color indexed="64"/>
        </left>
        <right/>
        <top style="thin">
          <color indexed="64"/>
        </top>
        <bottom style="thin">
          <color indexed="64"/>
        </bottom>
      </border>
    </dxf>
    <dxf>
      <font>
        <b/>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2"/>
        <color theme="0"/>
        <name val="Calibri"/>
        <scheme val="minor"/>
      </font>
      <fill>
        <patternFill patternType="solid">
          <fgColor indexed="64"/>
          <bgColor theme="2" tint="-0.499984740745262"/>
        </patternFill>
      </fill>
      <alignment horizontal="center" textRotation="0" indent="0" justifyLastLine="0" shrinkToFit="0" readingOrder="0"/>
    </dxf>
    <dxf>
      <font>
        <i val="0"/>
      </font>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64" formatCode="0000"/>
      <alignment horizontal="center" vertical="center" textRotation="0" indent="0" justifyLastLine="0" shrinkToFit="0" readingOrder="0"/>
    </dxf>
    <dxf>
      <alignment horizontal="left" vertical="center" textRotation="0" wrapText="1" indent="0" justifyLastLine="0" shrinkToFit="0" readingOrder="0"/>
      <border diagonalUp="0" diagonalDown="0" outline="0">
        <left style="thin">
          <color indexed="64"/>
        </left>
        <right/>
        <top style="thin">
          <color indexed="64"/>
        </top>
        <bottom style="thin">
          <color indexed="64"/>
        </bottom>
      </border>
    </dxf>
    <dxf>
      <font>
        <b/>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2"/>
        <color theme="0"/>
        <name val="Calibri"/>
        <scheme val="minor"/>
      </font>
      <fill>
        <patternFill patternType="solid">
          <fgColor indexed="64"/>
          <bgColor theme="2" tint="-0.499984740745262"/>
        </patternFill>
      </fill>
      <alignment horizontal="center" textRotation="0" indent="0" justifyLastLine="0" shrinkToFit="0" readingOrder="0"/>
    </dxf>
    <dxf>
      <font>
        <i val="0"/>
      </font>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64" formatCode="0000"/>
      <alignment horizontal="center" vertical="center" textRotation="0" indent="0" justifyLastLine="0" shrinkToFit="0" readingOrder="0"/>
    </dxf>
    <dxf>
      <alignment horizontal="left" vertical="center" textRotation="0" wrapText="1" indent="0" justifyLastLine="0" shrinkToFit="0" readingOrder="0"/>
      <border diagonalUp="0" diagonalDown="0" outline="0">
        <left style="thin">
          <color indexed="64"/>
        </left>
        <right/>
        <top style="thin">
          <color indexed="64"/>
        </top>
        <bottom style="thin">
          <color indexed="64"/>
        </bottom>
      </border>
    </dxf>
    <dxf>
      <font>
        <b/>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2"/>
        <color theme="0"/>
        <name val="Calibri"/>
        <scheme val="minor"/>
      </font>
      <fill>
        <patternFill patternType="solid">
          <fgColor indexed="64"/>
          <bgColor theme="2" tint="-0.499984740745262"/>
        </patternFill>
      </fill>
      <alignment horizontal="center" textRotation="0" indent="0" justifyLastLine="0" shrinkToFit="0" readingOrder="0"/>
    </dxf>
    <dxf>
      <font>
        <i val="0"/>
      </font>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64" formatCode="0000"/>
      <alignment horizontal="center" vertical="center" textRotation="0" indent="0" justifyLastLine="0" shrinkToFit="0" readingOrder="0"/>
    </dxf>
    <dxf>
      <alignment horizontal="left" vertical="center" textRotation="0" wrapText="1" indent="0" justifyLastLine="0" shrinkToFit="0" readingOrder="0"/>
      <border diagonalUp="0" diagonalDown="0" outline="0">
        <left style="thin">
          <color indexed="64"/>
        </left>
        <right/>
        <top style="thin">
          <color indexed="64"/>
        </top>
        <bottom style="thin">
          <color indexed="64"/>
        </bottom>
      </border>
    </dxf>
    <dxf>
      <font>
        <b/>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2"/>
        <color theme="0"/>
        <name val="Calibri"/>
        <scheme val="minor"/>
      </font>
      <fill>
        <patternFill patternType="solid">
          <fgColor indexed="64"/>
          <bgColor theme="2" tint="-0.499984740745262"/>
        </patternFill>
      </fill>
      <alignment horizontal="center" textRotation="0" indent="0" justifyLastLine="0" shrinkToFit="0" readingOrder="0"/>
    </dxf>
    <dxf>
      <font>
        <i val="0"/>
      </font>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64" formatCode="0000"/>
      <alignment horizontal="center" vertical="center" textRotation="0" indent="0" justifyLastLine="0" shrinkToFit="0" readingOrder="0"/>
    </dxf>
    <dxf>
      <alignment horizontal="left" vertical="center" textRotation="0" wrapText="1" indent="0" justifyLastLine="0" shrinkToFit="0" readingOrder="0"/>
      <border diagonalUp="0" diagonalDown="0" outline="0">
        <left style="thin">
          <color indexed="64"/>
        </left>
        <right/>
        <top style="thin">
          <color indexed="64"/>
        </top>
        <bottom style="thin">
          <color indexed="64"/>
        </bottom>
      </border>
    </dxf>
    <dxf>
      <font>
        <b/>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2"/>
        <color theme="0"/>
        <name val="Calibri"/>
        <scheme val="minor"/>
      </font>
      <fill>
        <patternFill patternType="solid">
          <fgColor indexed="64"/>
          <bgColor theme="2" tint="-0.499984740745262"/>
        </patternFill>
      </fill>
      <alignment horizontal="center" textRotation="0" indent="0" justifyLastLine="0" shrinkToFit="0" readingOrder="0"/>
    </dxf>
    <dxf>
      <font>
        <i val="0"/>
      </font>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64" formatCode="0000"/>
      <alignment horizontal="center" vertical="center" textRotation="0" indent="0" justifyLastLine="0" shrinkToFit="0" readingOrder="0"/>
    </dxf>
    <dxf>
      <alignment horizontal="left" vertical="center" textRotation="0" wrapText="1" indent="0" justifyLastLine="0" shrinkToFit="0" readingOrder="0"/>
      <border diagonalUp="0" diagonalDown="0" outline="0">
        <left style="thin">
          <color indexed="64"/>
        </left>
        <right/>
        <top style="thin">
          <color indexed="64"/>
        </top>
        <bottom style="thin">
          <color indexed="64"/>
        </bottom>
      </border>
    </dxf>
    <dxf>
      <font>
        <b/>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2"/>
        <color theme="0"/>
        <name val="Calibri"/>
        <scheme val="minor"/>
      </font>
      <fill>
        <patternFill patternType="solid">
          <fgColor indexed="64"/>
          <bgColor theme="2" tint="-0.499984740745262"/>
        </patternFill>
      </fill>
      <alignment horizontal="center" textRotation="0" indent="0" justifyLastLine="0" shrinkToFit="0" readingOrder="0"/>
    </dxf>
    <dxf>
      <font>
        <i val="0"/>
      </font>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64" formatCode="0000"/>
      <alignment horizontal="center" vertical="center" textRotation="0" indent="0" justifyLastLine="0" shrinkToFit="0" readingOrder="0"/>
    </dxf>
    <dxf>
      <alignment horizontal="left" vertical="center" textRotation="0" wrapText="1" indent="0" justifyLastLine="0" shrinkToFit="0" readingOrder="0"/>
      <border diagonalUp="0" diagonalDown="0" outline="0">
        <left style="thin">
          <color indexed="64"/>
        </left>
        <right/>
        <top style="thin">
          <color indexed="64"/>
        </top>
        <bottom style="thin">
          <color indexed="64"/>
        </bottom>
      </border>
    </dxf>
    <dxf>
      <font>
        <b/>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2"/>
        <color theme="0"/>
        <name val="Calibri"/>
        <scheme val="minor"/>
      </font>
      <fill>
        <patternFill patternType="solid">
          <fgColor indexed="64"/>
          <bgColor theme="2" tint="-0.499984740745262"/>
        </patternFill>
      </fill>
      <alignment horizontal="center" textRotation="0" indent="0" justifyLastLine="0" shrinkToFit="0" readingOrder="0"/>
    </dxf>
    <dxf>
      <font>
        <i val="0"/>
      </font>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64" formatCode="0000"/>
      <alignment horizontal="center" vertical="center" textRotation="0" indent="0" justifyLastLine="0" shrinkToFit="0" readingOrder="0"/>
    </dxf>
    <dxf>
      <alignment horizontal="left" vertical="center" textRotation="0" wrapText="1" indent="0" justifyLastLine="0" shrinkToFit="0" readingOrder="0"/>
      <border diagonalUp="0" diagonalDown="0" outline="0">
        <left style="thin">
          <color indexed="64"/>
        </left>
        <right/>
        <top style="thin">
          <color indexed="64"/>
        </top>
        <bottom style="thin">
          <color indexed="64"/>
        </bottom>
      </border>
    </dxf>
    <dxf>
      <font>
        <b/>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2"/>
        <color theme="0"/>
        <name val="Calibri"/>
        <scheme val="minor"/>
      </font>
      <fill>
        <patternFill patternType="solid">
          <fgColor indexed="64"/>
          <bgColor theme="2" tint="-0.499984740745262"/>
        </patternFill>
      </fill>
      <alignment horizontal="center" textRotation="0" indent="0" justifyLastLine="0" shrinkToFit="0" readingOrder="0"/>
    </dxf>
    <dxf>
      <font>
        <i val="0"/>
      </font>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64" formatCode="0000"/>
      <alignment horizontal="center" vertical="center" textRotation="0" indent="0" justifyLastLine="0" shrinkToFit="0" readingOrder="0"/>
    </dxf>
    <dxf>
      <alignment horizontal="left" vertical="center" textRotation="0" wrapText="1" indent="0" justifyLastLine="0" shrinkToFit="0" readingOrder="0"/>
      <border diagonalUp="0" diagonalDown="0" outline="0">
        <left style="thin">
          <color indexed="64"/>
        </left>
        <right/>
        <top style="thin">
          <color indexed="64"/>
        </top>
        <bottom style="thin">
          <color indexed="64"/>
        </bottom>
      </border>
    </dxf>
    <dxf>
      <font>
        <b/>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2"/>
        <color theme="0"/>
        <name val="Calibri"/>
        <scheme val="minor"/>
      </font>
      <fill>
        <patternFill patternType="solid">
          <fgColor indexed="64"/>
          <bgColor theme="2" tint="-0.499984740745262"/>
        </patternFill>
      </fill>
      <alignment horizontal="center" textRotation="0" indent="0" justifyLastLine="0" shrinkToFit="0" readingOrder="0"/>
    </dxf>
    <dxf>
      <font>
        <i val="0"/>
      </font>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64" formatCode="0000"/>
      <alignment horizontal="center" vertical="center" textRotation="0" indent="0" justifyLastLine="0" shrinkToFit="0" readingOrder="0"/>
    </dxf>
    <dxf>
      <alignment horizontal="left" vertical="center" textRotation="0" wrapText="1" indent="0" justifyLastLine="0" shrinkToFit="0" readingOrder="0"/>
      <border diagonalUp="0" diagonalDown="0" outline="0">
        <left style="thin">
          <color indexed="64"/>
        </left>
        <right/>
        <top style="thin">
          <color indexed="64"/>
        </top>
        <bottom style="thin">
          <color indexed="64"/>
        </bottom>
      </border>
    </dxf>
    <dxf>
      <font>
        <b/>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2"/>
        <color theme="0"/>
        <name val="Calibri"/>
        <scheme val="minor"/>
      </font>
      <fill>
        <patternFill patternType="solid">
          <fgColor indexed="64"/>
          <bgColor theme="2" tint="-0.499984740745262"/>
        </patternFill>
      </fill>
      <alignment horizontal="center" textRotation="0" indent="0" justifyLastLine="0" shrinkToFit="0" readingOrder="0"/>
    </dxf>
    <dxf>
      <font>
        <i val="0"/>
      </font>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64" formatCode="0000"/>
      <alignment horizontal="center" vertical="center" textRotation="0" indent="0" justifyLastLine="0" shrinkToFit="0" readingOrder="0"/>
    </dxf>
    <dxf>
      <alignment horizontal="left" vertical="center" textRotation="0" wrapText="1" indent="0" justifyLastLine="0" shrinkToFit="0" readingOrder="0"/>
      <border diagonalUp="0" diagonalDown="0" outline="0">
        <left style="thin">
          <color indexed="64"/>
        </left>
        <right/>
        <top style="thin">
          <color indexed="64"/>
        </top>
        <bottom style="thin">
          <color indexed="64"/>
        </bottom>
      </border>
    </dxf>
    <dxf>
      <font>
        <b/>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2"/>
        <color theme="0"/>
        <name val="Calibri"/>
        <scheme val="minor"/>
      </font>
      <fill>
        <patternFill patternType="solid">
          <fgColor indexed="64"/>
          <bgColor theme="2" tint="-0.499984740745262"/>
        </patternFill>
      </fill>
      <alignment horizontal="center" textRotation="0" indent="0" justifyLastLine="0" shrinkToFit="0" readingOrder="0"/>
    </dxf>
    <dxf>
      <font>
        <i val="0"/>
      </font>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64" formatCode="0000"/>
      <alignment horizontal="center" vertical="center" textRotation="0" indent="0" justifyLastLine="0" shrinkToFit="0" readingOrder="0"/>
    </dxf>
    <dxf>
      <alignment horizontal="left" vertical="center" textRotation="0" wrapText="1" indent="0" justifyLastLine="0" shrinkToFit="0" readingOrder="0"/>
      <border diagonalUp="0" diagonalDown="0" outline="0">
        <left style="thin">
          <color indexed="64"/>
        </left>
        <right/>
        <top style="thin">
          <color indexed="64"/>
        </top>
        <bottom style="thin">
          <color indexed="64"/>
        </bottom>
      </border>
    </dxf>
    <dxf>
      <font>
        <b/>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2"/>
        <color theme="0"/>
        <name val="Calibri"/>
        <scheme val="minor"/>
      </font>
      <fill>
        <patternFill patternType="solid">
          <fgColor indexed="64"/>
          <bgColor theme="2" tint="-0.499984740745262"/>
        </patternFill>
      </fill>
      <alignment horizontal="center" textRotation="0" indent="0" justifyLastLine="0" shrinkToFit="0" readingOrder="0"/>
    </dxf>
    <dxf>
      <font>
        <i val="0"/>
      </font>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64" formatCode="0000"/>
      <alignment horizontal="center" vertical="center" textRotation="0" indent="0" justifyLastLine="0" shrinkToFit="0" readingOrder="0"/>
    </dxf>
    <dxf>
      <alignment horizontal="left" vertical="center" textRotation="0" wrapText="1" indent="0" justifyLastLine="0" shrinkToFit="0" readingOrder="0"/>
      <border diagonalUp="0" diagonalDown="0" outline="0">
        <left style="thin">
          <color indexed="64"/>
        </left>
        <right/>
        <top style="thin">
          <color indexed="64"/>
        </top>
        <bottom style="thin">
          <color indexed="64"/>
        </bottom>
      </border>
    </dxf>
    <dxf>
      <font>
        <b/>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2"/>
        <color theme="0"/>
        <name val="Calibri"/>
        <scheme val="minor"/>
      </font>
      <fill>
        <patternFill patternType="solid">
          <fgColor indexed="64"/>
          <bgColor theme="2" tint="-0.499984740745262"/>
        </patternFill>
      </fill>
      <alignment horizontal="center" textRotation="0" indent="0" justifyLastLine="0" shrinkToFit="0" readingOrder="0"/>
    </dxf>
    <dxf>
      <font>
        <i val="0"/>
      </font>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64" formatCode="0000"/>
      <alignment horizontal="center" vertical="center" textRotation="0" indent="0" justifyLastLine="0" shrinkToFit="0" readingOrder="0"/>
    </dxf>
    <dxf>
      <alignment horizontal="left" vertical="center" textRotation="0" wrapText="1" indent="0" justifyLastLine="0" shrinkToFit="0" readingOrder="0"/>
      <border diagonalUp="0" diagonalDown="0" outline="0">
        <left style="thin">
          <color indexed="64"/>
        </left>
        <right/>
        <top style="thin">
          <color indexed="64"/>
        </top>
        <bottom style="thin">
          <color indexed="64"/>
        </bottom>
      </border>
    </dxf>
    <dxf>
      <font>
        <b/>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2"/>
        <color theme="0"/>
        <name val="Calibri"/>
        <scheme val="minor"/>
      </font>
      <fill>
        <patternFill patternType="solid">
          <fgColor indexed="64"/>
          <bgColor theme="2" tint="-0.499984740745262"/>
        </patternFill>
      </fill>
      <alignment horizontal="center" textRotation="0" indent="0" justifyLastLine="0" shrinkToFit="0" readingOrder="0"/>
    </dxf>
    <dxf>
      <font>
        <i val="0"/>
      </font>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64" formatCode="0000"/>
      <alignment horizontal="center" vertical="center" textRotation="0" indent="0" justifyLastLine="0" shrinkToFit="0" readingOrder="0"/>
    </dxf>
    <dxf>
      <alignment horizontal="left" vertical="center" textRotation="0" wrapText="1" indent="0" justifyLastLine="0" shrinkToFit="0" readingOrder="0"/>
      <border diagonalUp="0" diagonalDown="0" outline="0">
        <left style="thin">
          <color indexed="64"/>
        </left>
        <right/>
        <top style="thin">
          <color indexed="64"/>
        </top>
        <bottom style="thin">
          <color indexed="64"/>
        </bottom>
      </border>
    </dxf>
    <dxf>
      <font>
        <b/>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2"/>
        <color theme="0"/>
        <name val="Calibri"/>
        <scheme val="minor"/>
      </font>
      <fill>
        <patternFill patternType="solid">
          <fgColor indexed="64"/>
          <bgColor theme="2" tint="-0.499984740745262"/>
        </patternFill>
      </fill>
      <alignment horizontal="center" textRotation="0" indent="0" justifyLastLine="0" shrinkToFit="0" readingOrder="0"/>
    </dxf>
    <dxf>
      <font>
        <i val="0"/>
      </font>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64" formatCode="0000"/>
      <alignment horizontal="center" vertical="center" textRotation="0" indent="0" justifyLastLine="0" shrinkToFit="0" readingOrder="0"/>
    </dxf>
    <dxf>
      <alignment horizontal="left" vertical="center" textRotation="0" wrapText="1" indent="0" justifyLastLine="0" shrinkToFit="0" readingOrder="0"/>
      <border diagonalUp="0" diagonalDown="0" outline="0">
        <left style="thin">
          <color indexed="64"/>
        </left>
        <right/>
        <top style="thin">
          <color indexed="64"/>
        </top>
        <bottom style="thin">
          <color indexed="64"/>
        </bottom>
      </border>
    </dxf>
    <dxf>
      <font>
        <b/>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2"/>
        <color theme="0"/>
        <name val="Calibri"/>
        <scheme val="minor"/>
      </font>
      <fill>
        <patternFill patternType="solid">
          <fgColor indexed="64"/>
          <bgColor theme="2" tint="-0.499984740745262"/>
        </patternFill>
      </fill>
      <alignment horizontal="center" textRotation="0" indent="0" justifyLastLine="0" shrinkToFit="0" readingOrder="0"/>
    </dxf>
    <dxf>
      <font>
        <i val="0"/>
      </font>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64" formatCode="0000"/>
      <alignment horizontal="center" vertical="center" textRotation="0" indent="0" justifyLastLine="0" shrinkToFit="0" readingOrder="0"/>
    </dxf>
    <dxf>
      <alignment horizontal="left" vertical="center" textRotation="0" wrapText="1" indent="0" justifyLastLine="0" shrinkToFit="0" readingOrder="0"/>
      <border diagonalUp="0" diagonalDown="0" outline="0">
        <left style="thin">
          <color indexed="64"/>
        </left>
        <right/>
        <top style="thin">
          <color indexed="64"/>
        </top>
        <bottom style="thin">
          <color indexed="64"/>
        </bottom>
      </border>
    </dxf>
    <dxf>
      <font>
        <b/>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2"/>
        <color theme="0"/>
        <name val="Calibri"/>
        <scheme val="minor"/>
      </font>
      <fill>
        <patternFill patternType="solid">
          <fgColor indexed="64"/>
          <bgColor theme="2" tint="-0.499984740745262"/>
        </patternFill>
      </fill>
      <alignment horizontal="center" textRotation="0" indent="0" justifyLastLine="0" shrinkToFit="0" readingOrder="0"/>
    </dxf>
    <dxf>
      <font>
        <i val="0"/>
      </font>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64" formatCode="0000"/>
      <alignment horizontal="center" vertical="center" textRotation="0" indent="0" justifyLastLine="0" shrinkToFit="0" readingOrder="0"/>
    </dxf>
    <dxf>
      <alignment horizontal="left" vertical="center" textRotation="0" wrapText="1" indent="0" justifyLastLine="0" shrinkToFit="0" readingOrder="0"/>
      <border diagonalUp="0" diagonalDown="0" outline="0">
        <left style="thin">
          <color indexed="64"/>
        </left>
        <right/>
        <top style="thin">
          <color indexed="64"/>
        </top>
        <bottom style="thin">
          <color indexed="64"/>
        </bottom>
      </border>
    </dxf>
    <dxf>
      <font>
        <b/>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2"/>
        <color theme="0"/>
        <name val="Calibri"/>
        <scheme val="minor"/>
      </font>
      <fill>
        <patternFill patternType="solid">
          <fgColor indexed="64"/>
          <bgColor theme="2" tint="-0.499984740745262"/>
        </patternFill>
      </fill>
      <alignment horizontal="center" textRotation="0" indent="0" justifyLastLine="0" shrinkToFit="0" readingOrder="0"/>
    </dxf>
    <dxf>
      <font>
        <i val="0"/>
      </font>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64" formatCode="0000"/>
      <alignment horizontal="center" vertical="center" textRotation="0" indent="0" justifyLastLine="0" shrinkToFit="0" readingOrder="0"/>
    </dxf>
    <dxf>
      <alignment horizontal="left" vertical="center" textRotation="0" wrapText="1" indent="0" justifyLastLine="0" shrinkToFit="0" readingOrder="0"/>
      <border diagonalUp="0" diagonalDown="0" outline="0">
        <left style="thin">
          <color indexed="64"/>
        </left>
        <right/>
        <top style="thin">
          <color indexed="64"/>
        </top>
        <bottom style="thin">
          <color indexed="64"/>
        </bottom>
      </border>
    </dxf>
    <dxf>
      <font>
        <b/>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2"/>
        <color theme="0"/>
        <name val="Calibri"/>
        <scheme val="minor"/>
      </font>
      <fill>
        <patternFill patternType="solid">
          <fgColor indexed="64"/>
          <bgColor theme="2" tint="-0.499984740745262"/>
        </patternFill>
      </fill>
      <alignment horizontal="center" textRotation="0" indent="0" justifyLastLine="0" shrinkToFit="0" readingOrder="0"/>
    </dxf>
    <dxf>
      <font>
        <i val="0"/>
      </font>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64" formatCode="0000"/>
      <alignment horizontal="center" vertical="center" textRotation="0" indent="0" justifyLastLine="0" shrinkToFit="0" readingOrder="0"/>
    </dxf>
    <dxf>
      <alignment horizontal="left" vertical="center" textRotation="0" wrapText="1" indent="0" justifyLastLine="0" shrinkToFit="0" readingOrder="0"/>
      <border diagonalUp="0" diagonalDown="0" outline="0">
        <left style="thin">
          <color indexed="64"/>
        </left>
        <right/>
        <top style="thin">
          <color indexed="64"/>
        </top>
        <bottom style="thin">
          <color indexed="64"/>
        </bottom>
      </border>
    </dxf>
    <dxf>
      <font>
        <b/>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2"/>
        <color theme="0"/>
        <name val="Calibri"/>
        <scheme val="minor"/>
      </font>
      <fill>
        <patternFill patternType="solid">
          <fgColor indexed="64"/>
          <bgColor theme="2" tint="-0.499984740745262"/>
        </patternFill>
      </fill>
      <alignment horizontal="center" textRotation="0" indent="0" justifyLastLine="0" shrinkToFit="0" readingOrder="0"/>
    </dxf>
    <dxf>
      <font>
        <i val="0"/>
      </font>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64" formatCode="0000"/>
      <alignment horizontal="center" vertical="center" textRotation="0" indent="0" justifyLastLine="0" shrinkToFit="0" readingOrder="0"/>
    </dxf>
    <dxf>
      <alignment horizontal="left" vertical="center" textRotation="0" wrapText="1" indent="0" justifyLastLine="0" shrinkToFit="0" readingOrder="0"/>
      <border diagonalUp="0" diagonalDown="0" outline="0">
        <left style="thin">
          <color indexed="64"/>
        </left>
        <right/>
        <top style="thin">
          <color indexed="64"/>
        </top>
        <bottom style="thin">
          <color indexed="64"/>
        </bottom>
      </border>
    </dxf>
    <dxf>
      <font>
        <b/>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2"/>
        <color theme="0"/>
        <name val="Calibri"/>
        <scheme val="minor"/>
      </font>
      <fill>
        <patternFill patternType="solid">
          <fgColor indexed="64"/>
          <bgColor theme="2" tint="-0.499984740745262"/>
        </patternFill>
      </fill>
      <alignment horizontal="center" textRotation="0" indent="0" justifyLastLine="0" shrinkToFit="0" readingOrder="0"/>
    </dxf>
    <dxf>
      <font>
        <i val="0"/>
      </font>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64" formatCode="0000"/>
      <alignment horizontal="center" vertical="center" textRotation="0" indent="0" justifyLastLine="0" shrinkToFit="0" readingOrder="0"/>
    </dxf>
    <dxf>
      <alignment horizontal="left" vertical="center" textRotation="0" wrapText="1" indent="0" justifyLastLine="0" shrinkToFit="0" readingOrder="0"/>
      <border diagonalUp="0" diagonalDown="0" outline="0">
        <left style="thin">
          <color indexed="64"/>
        </left>
        <right/>
        <top style="thin">
          <color indexed="64"/>
        </top>
        <bottom style="thin">
          <color indexed="64"/>
        </bottom>
      </border>
    </dxf>
    <dxf>
      <font>
        <b/>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2"/>
        <color theme="0"/>
        <name val="Calibri"/>
        <scheme val="minor"/>
      </font>
      <fill>
        <patternFill patternType="solid">
          <fgColor indexed="64"/>
          <bgColor theme="2" tint="-0.499984740745262"/>
        </patternFill>
      </fill>
      <alignment horizontal="center" textRotation="0" indent="0" justifyLastLine="0" shrinkToFit="0" readingOrder="0"/>
    </dxf>
    <dxf>
      <font>
        <i val="0"/>
      </font>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64" formatCode="0000"/>
      <alignment horizontal="center" vertical="center" textRotation="0" indent="0" justifyLastLine="0" shrinkToFit="0" readingOrder="0"/>
    </dxf>
    <dxf>
      <alignment horizontal="left" vertical="center" textRotation="0" wrapText="1" indent="0" justifyLastLine="0" shrinkToFit="0" readingOrder="0"/>
      <border diagonalUp="0" diagonalDown="0" outline="0">
        <left style="thin">
          <color indexed="64"/>
        </left>
        <right/>
        <top style="thin">
          <color indexed="64"/>
        </top>
        <bottom style="thin">
          <color indexed="64"/>
        </bottom>
      </border>
    </dxf>
    <dxf>
      <font>
        <b/>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2"/>
        <color theme="0"/>
        <name val="Calibri"/>
        <scheme val="minor"/>
      </font>
      <fill>
        <patternFill patternType="solid">
          <fgColor indexed="64"/>
          <bgColor theme="2" tint="-0.499984740745262"/>
        </patternFill>
      </fill>
      <alignment horizontal="center" textRotation="0" indent="0" justifyLastLine="0" shrinkToFit="0" readingOrder="0"/>
    </dxf>
    <dxf>
      <font>
        <i val="0"/>
      </font>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64" formatCode="0000"/>
      <alignment horizontal="center" vertical="center" textRotation="0" indent="0" justifyLastLine="0" shrinkToFit="0" readingOrder="0"/>
    </dxf>
    <dxf>
      <alignment horizontal="left" vertical="center" textRotation="0" wrapText="1" indent="0" justifyLastLine="0" shrinkToFit="0" readingOrder="0"/>
      <border diagonalUp="0" diagonalDown="0" outline="0">
        <left style="thin">
          <color indexed="64"/>
        </left>
        <right/>
        <top style="thin">
          <color indexed="64"/>
        </top>
        <bottom style="thin">
          <color indexed="64"/>
        </bottom>
      </border>
    </dxf>
    <dxf>
      <font>
        <b/>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2"/>
        <color theme="0"/>
        <name val="Calibri"/>
        <scheme val="minor"/>
      </font>
      <fill>
        <patternFill patternType="solid">
          <fgColor indexed="64"/>
          <bgColor theme="2" tint="-0.499984740745262"/>
        </patternFill>
      </fill>
      <alignment horizontal="center" textRotation="0" indent="0" justifyLastLine="0" shrinkToFit="0" readingOrder="0"/>
    </dxf>
    <dxf>
      <font>
        <i val="0"/>
      </font>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64" formatCode="0000"/>
      <alignment horizontal="center" vertical="center" textRotation="0" indent="0" justifyLastLine="0" shrinkToFit="0" readingOrder="0"/>
    </dxf>
    <dxf>
      <alignment horizontal="left" vertical="center" textRotation="0" wrapText="1" indent="0" justifyLastLine="0" shrinkToFit="0" readingOrder="0"/>
      <border diagonalUp="0" diagonalDown="0" outline="0">
        <left style="thin">
          <color indexed="64"/>
        </left>
        <right/>
        <top style="thin">
          <color indexed="64"/>
        </top>
        <bottom style="thin">
          <color indexed="64"/>
        </bottom>
      </border>
    </dxf>
    <dxf>
      <font>
        <b/>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2"/>
        <color theme="0"/>
        <name val="Calibri"/>
        <scheme val="minor"/>
      </font>
      <fill>
        <patternFill patternType="solid">
          <fgColor indexed="64"/>
          <bgColor theme="2" tint="-0.499984740745262"/>
        </patternFill>
      </fill>
      <alignment horizontal="center" textRotation="0" indent="0" justifyLastLine="0" shrinkToFit="0" readingOrder="0"/>
    </dxf>
    <dxf>
      <font>
        <i val="0"/>
      </font>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64" formatCode="0000"/>
      <alignment horizontal="center" vertical="center" textRotation="0" indent="0" justifyLastLine="0" shrinkToFit="0" readingOrder="0"/>
    </dxf>
    <dxf>
      <alignment horizontal="left" vertical="center" textRotation="0" wrapText="1" indent="0" justifyLastLine="0" shrinkToFit="0" readingOrder="0"/>
      <border diagonalUp="0" diagonalDown="0" outline="0">
        <left style="thin">
          <color indexed="64"/>
        </left>
        <right/>
        <top style="thin">
          <color indexed="64"/>
        </top>
        <bottom style="thin">
          <color indexed="64"/>
        </bottom>
      </border>
    </dxf>
    <dxf>
      <font>
        <b/>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2"/>
        <color theme="0"/>
        <name val="Calibri"/>
        <scheme val="minor"/>
      </font>
      <fill>
        <patternFill patternType="solid">
          <fgColor indexed="64"/>
          <bgColor theme="2" tint="-0.499984740745262"/>
        </patternFill>
      </fill>
      <alignment horizontal="center" textRotation="0" indent="0" justifyLastLine="0" shrinkToFit="0" readingOrder="0"/>
    </dxf>
    <dxf>
      <font>
        <i val="0"/>
      </font>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64" formatCode="0000"/>
      <alignment horizontal="center" vertical="center" textRotation="0" indent="0" justifyLastLine="0" shrinkToFit="0" readingOrder="0"/>
    </dxf>
    <dxf>
      <alignment horizontal="left" vertical="center" textRotation="0" wrapText="1" indent="0" justifyLastLine="0" shrinkToFit="0" readingOrder="0"/>
      <border diagonalUp="0" diagonalDown="0" outline="0">
        <left style="thin">
          <color indexed="64"/>
        </left>
        <right/>
        <top style="thin">
          <color indexed="64"/>
        </top>
        <bottom style="thin">
          <color indexed="64"/>
        </bottom>
      </border>
    </dxf>
    <dxf>
      <font>
        <b/>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2"/>
        <color theme="0"/>
        <name val="Calibri"/>
        <scheme val="minor"/>
      </font>
      <fill>
        <patternFill patternType="solid">
          <fgColor indexed="64"/>
          <bgColor theme="2" tint="-0.499984740745262"/>
        </patternFill>
      </fill>
      <alignment horizontal="center" textRotation="0" indent="0" justifyLastLine="0" shrinkToFit="0" readingOrder="0"/>
    </dxf>
    <dxf>
      <font>
        <i val="0"/>
      </font>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64" formatCode="0000"/>
      <alignment horizontal="center" vertical="center" textRotation="0" indent="0" justifyLastLine="0" shrinkToFit="0" readingOrder="0"/>
    </dxf>
    <dxf>
      <alignment horizontal="left" vertical="center" textRotation="0" wrapText="1" indent="0" justifyLastLine="0" shrinkToFit="0" readingOrder="0"/>
      <border diagonalUp="0" diagonalDown="0" outline="0">
        <left style="thin">
          <color indexed="64"/>
        </left>
        <right/>
        <top style="thin">
          <color indexed="64"/>
        </top>
        <bottom style="thin">
          <color indexed="64"/>
        </bottom>
      </border>
    </dxf>
    <dxf>
      <font>
        <b/>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2"/>
        <color theme="0"/>
        <name val="Calibri"/>
        <scheme val="minor"/>
      </font>
      <fill>
        <patternFill patternType="solid">
          <fgColor indexed="64"/>
          <bgColor theme="2" tint="-0.499984740745262"/>
        </patternFill>
      </fill>
      <alignment horizontal="center" textRotation="0" indent="0" justifyLastLine="0" shrinkToFit="0" readingOrder="0"/>
    </dxf>
    <dxf>
      <font>
        <i val="0"/>
      </font>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64" formatCode="0000"/>
      <alignment horizontal="center" vertical="center" textRotation="0" indent="0" justifyLastLine="0" shrinkToFit="0" readingOrder="0"/>
    </dxf>
    <dxf>
      <alignment horizontal="left" vertical="center" textRotation="0" wrapText="1" indent="0" justifyLastLine="0" shrinkToFit="0" readingOrder="0"/>
      <border diagonalUp="0" diagonalDown="0" outline="0">
        <left style="thin">
          <color indexed="64"/>
        </left>
        <right/>
        <top style="thin">
          <color indexed="64"/>
        </top>
        <bottom style="thin">
          <color indexed="64"/>
        </bottom>
      </border>
    </dxf>
    <dxf>
      <font>
        <b/>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2"/>
        <color theme="0"/>
        <name val="Calibri"/>
        <scheme val="minor"/>
      </font>
      <fill>
        <patternFill patternType="solid">
          <fgColor indexed="64"/>
          <bgColor theme="2" tint="-0.499984740745262"/>
        </patternFill>
      </fill>
      <alignment horizontal="center" textRotation="0" indent="0" justifyLastLine="0" shrinkToFit="0" readingOrder="0"/>
    </dxf>
    <dxf>
      <font>
        <i val="0"/>
      </font>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64" formatCode="0000"/>
      <alignment horizontal="center" vertical="center" textRotation="0" indent="0" justifyLastLine="0" shrinkToFit="0" readingOrder="0"/>
    </dxf>
    <dxf>
      <alignment horizontal="left" vertical="center" textRotation="0" wrapText="1" indent="0" justifyLastLine="0" shrinkToFit="0" readingOrder="0"/>
      <border diagonalUp="0" diagonalDown="0" outline="0">
        <left style="thin">
          <color indexed="64"/>
        </left>
        <right/>
        <top style="thin">
          <color indexed="64"/>
        </top>
        <bottom style="thin">
          <color indexed="64"/>
        </bottom>
      </border>
    </dxf>
    <dxf>
      <font>
        <b/>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2"/>
        <color theme="0"/>
        <name val="Calibri"/>
        <scheme val="minor"/>
      </font>
      <fill>
        <patternFill patternType="solid">
          <fgColor indexed="64"/>
          <bgColor theme="2" tint="-0.499984740745262"/>
        </patternFill>
      </fill>
      <alignment horizontal="center" textRotation="0" indent="0" justifyLastLine="0" shrinkToFit="0" readingOrder="0"/>
    </dxf>
    <dxf>
      <font>
        <i val="0"/>
      </font>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64" formatCode="0000"/>
      <alignment horizontal="center" vertical="center" textRotation="0" indent="0" justifyLastLine="0" shrinkToFit="0" readingOrder="0"/>
    </dxf>
    <dxf>
      <alignment horizontal="left" vertical="center" textRotation="0" wrapText="1" indent="0" justifyLastLine="0" shrinkToFit="0" readingOrder="0"/>
      <border diagonalUp="0" diagonalDown="0" outline="0">
        <left style="thin">
          <color indexed="64"/>
        </left>
        <right/>
        <top style="thin">
          <color indexed="64"/>
        </top>
        <bottom style="thin">
          <color indexed="64"/>
        </bottom>
      </border>
    </dxf>
    <dxf>
      <font>
        <b/>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2"/>
        <color theme="0"/>
        <name val="Calibri"/>
        <scheme val="minor"/>
      </font>
      <fill>
        <patternFill patternType="solid">
          <fgColor indexed="64"/>
          <bgColor theme="2" tint="-0.499984740745262"/>
        </patternFill>
      </fill>
      <alignment horizontal="center" textRotation="0" indent="0" justifyLastLine="0" shrinkToFit="0" readingOrder="0"/>
    </dxf>
    <dxf>
      <font>
        <i val="0"/>
      </font>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64" formatCode="0000"/>
      <alignment horizontal="center" vertical="center" textRotation="0" indent="0" justifyLastLine="0" shrinkToFit="0" readingOrder="0"/>
    </dxf>
    <dxf>
      <alignment horizontal="left" vertical="center" textRotation="0" wrapText="1" indent="0" justifyLastLine="0" shrinkToFit="0" readingOrder="0"/>
      <border diagonalUp="0" diagonalDown="0" outline="0">
        <left style="thin">
          <color indexed="64"/>
        </left>
        <right/>
        <top style="thin">
          <color indexed="64"/>
        </top>
        <bottom style="thin">
          <color indexed="64"/>
        </bottom>
      </border>
    </dxf>
    <dxf>
      <font>
        <b/>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2"/>
        <color theme="0"/>
        <name val="Calibri"/>
        <scheme val="minor"/>
      </font>
      <fill>
        <patternFill patternType="solid">
          <fgColor indexed="64"/>
          <bgColor theme="2" tint="-0.499984740745262"/>
        </patternFill>
      </fill>
      <alignment horizontal="center" textRotation="0" indent="0" justifyLastLine="0" shrinkToFit="0" readingOrder="0"/>
    </dxf>
    <dxf>
      <font>
        <i val="0"/>
      </font>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64" formatCode="0000"/>
      <alignment horizontal="center" vertical="center" textRotation="0" indent="0" justifyLastLine="0" shrinkToFit="0" readingOrder="0"/>
    </dxf>
    <dxf>
      <alignment horizontal="left" vertical="center" textRotation="0" wrapText="1" indent="0" justifyLastLine="0" shrinkToFit="0" readingOrder="0"/>
      <border diagonalUp="0" diagonalDown="0" outline="0">
        <left style="thin">
          <color indexed="64"/>
        </left>
        <right/>
        <top style="thin">
          <color indexed="64"/>
        </top>
        <bottom style="thin">
          <color indexed="64"/>
        </bottom>
      </border>
    </dxf>
    <dxf>
      <font>
        <b/>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2"/>
        <color theme="0"/>
        <name val="Calibri"/>
        <scheme val="minor"/>
      </font>
      <fill>
        <patternFill patternType="solid">
          <fgColor indexed="64"/>
          <bgColor theme="2" tint="-0.499984740745262"/>
        </patternFill>
      </fill>
      <alignment horizontal="center" textRotation="0" indent="0" justifyLastLine="0" shrinkToFit="0" readingOrder="0"/>
    </dxf>
    <dxf>
      <font>
        <i val="0"/>
      </font>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64" formatCode="0000"/>
      <alignment horizontal="center" vertical="center" textRotation="0" indent="0" justifyLastLine="0" shrinkToFit="0" readingOrder="0"/>
    </dxf>
    <dxf>
      <alignment horizontal="left" vertical="center" textRotation="0" wrapText="1" indent="0" justifyLastLine="0" shrinkToFit="0" readingOrder="0"/>
      <border diagonalUp="0" diagonalDown="0" outline="0">
        <left style="thin">
          <color indexed="64"/>
        </left>
        <right/>
        <top style="thin">
          <color indexed="64"/>
        </top>
        <bottom style="thin">
          <color indexed="64"/>
        </bottom>
      </border>
    </dxf>
    <dxf>
      <font>
        <b/>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2"/>
        <color theme="0"/>
        <name val="Calibri"/>
        <scheme val="minor"/>
      </font>
      <fill>
        <patternFill patternType="solid">
          <fgColor indexed="64"/>
          <bgColor theme="2" tint="-0.499984740745262"/>
        </patternFill>
      </fill>
      <alignment horizontal="center" textRotation="0" indent="0" justifyLastLine="0" shrinkToFit="0" readingOrder="0"/>
    </dxf>
    <dxf>
      <font>
        <i val="0"/>
      </font>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64" formatCode="0000"/>
      <alignment horizontal="center" vertical="center" textRotation="0" indent="0" justifyLastLine="0" shrinkToFit="0" readingOrder="0"/>
    </dxf>
    <dxf>
      <alignment horizontal="left" vertical="center" textRotation="0" wrapText="1" indent="0" justifyLastLine="0" shrinkToFit="0" readingOrder="0"/>
      <border diagonalUp="0" diagonalDown="0" outline="0">
        <left style="thin">
          <color indexed="64"/>
        </left>
        <right/>
        <top style="thin">
          <color indexed="64"/>
        </top>
        <bottom style="thin">
          <color indexed="64"/>
        </bottom>
      </border>
    </dxf>
    <dxf>
      <font>
        <b/>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2"/>
        <color theme="0"/>
        <name val="Calibri"/>
        <scheme val="minor"/>
      </font>
      <fill>
        <patternFill patternType="solid">
          <fgColor indexed="64"/>
          <bgColor theme="2" tint="-0.499984740745262"/>
        </patternFill>
      </fill>
      <alignment horizontal="center" textRotation="0" indent="0" justifyLastLine="0" shrinkToFit="0" readingOrder="0"/>
    </dxf>
    <dxf>
      <font>
        <i val="0"/>
      </font>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64" formatCode="0000"/>
      <alignment horizontal="center" vertical="center" textRotation="0" indent="0" justifyLastLine="0" shrinkToFit="0" readingOrder="0"/>
    </dxf>
    <dxf>
      <alignment horizontal="left" vertical="center" textRotation="0" wrapText="1" indent="0" justifyLastLine="0" shrinkToFit="0" readingOrder="0"/>
      <border diagonalUp="0" diagonalDown="0" outline="0">
        <left style="thin">
          <color indexed="64"/>
        </left>
        <right/>
        <top style="thin">
          <color indexed="64"/>
        </top>
        <bottom style="thin">
          <color indexed="64"/>
        </bottom>
      </border>
    </dxf>
    <dxf>
      <font>
        <b/>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2"/>
        <color theme="0"/>
        <name val="Calibri"/>
        <scheme val="minor"/>
      </font>
      <fill>
        <patternFill patternType="solid">
          <fgColor indexed="64"/>
          <bgColor theme="2" tint="-0.499984740745262"/>
        </patternFill>
      </fill>
      <alignment horizontal="center" textRotation="0" indent="0" justifyLastLine="0" shrinkToFit="0" readingOrder="0"/>
    </dxf>
    <dxf>
      <font>
        <i val="0"/>
      </font>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64" formatCode="0000"/>
      <alignment horizontal="center" vertical="center" textRotation="0" indent="0" justifyLastLine="0" shrinkToFit="0" readingOrder="0"/>
    </dxf>
    <dxf>
      <alignment horizontal="left" vertical="center" textRotation="0" wrapText="1" indent="0" justifyLastLine="0" shrinkToFit="0" readingOrder="0"/>
      <border diagonalUp="0" diagonalDown="0" outline="0">
        <left style="thin">
          <color indexed="64"/>
        </left>
        <right/>
        <top style="thin">
          <color indexed="64"/>
        </top>
        <bottom style="thin">
          <color indexed="64"/>
        </bottom>
      </border>
    </dxf>
    <dxf>
      <font>
        <b/>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2"/>
        <color theme="0"/>
        <name val="Calibri"/>
        <scheme val="minor"/>
      </font>
      <fill>
        <patternFill patternType="solid">
          <fgColor indexed="64"/>
          <bgColor theme="2" tint="-0.499984740745262"/>
        </patternFill>
      </fill>
      <alignment horizontal="center" textRotation="0" indent="0" justifyLastLine="0" shrinkToFit="0" readingOrder="0"/>
    </dxf>
    <dxf>
      <font>
        <i val="0"/>
      </font>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64" formatCode="0000"/>
      <alignment horizontal="center" vertical="center" textRotation="0" indent="0" justifyLastLine="0" shrinkToFit="0" readingOrder="0"/>
    </dxf>
    <dxf>
      <alignment horizontal="left" vertical="center" textRotation="0" wrapText="1" indent="0" justifyLastLine="0" shrinkToFit="0" readingOrder="0"/>
      <border diagonalUp="0" diagonalDown="0" outline="0">
        <left style="thin">
          <color indexed="64"/>
        </left>
        <right/>
        <top style="thin">
          <color indexed="64"/>
        </top>
        <bottom style="thin">
          <color indexed="64"/>
        </bottom>
      </border>
    </dxf>
    <dxf>
      <font>
        <b/>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2"/>
        <color theme="0"/>
        <name val="Calibri"/>
        <scheme val="minor"/>
      </font>
      <fill>
        <patternFill patternType="solid">
          <fgColor indexed="64"/>
          <bgColor theme="2" tint="-0.499984740745262"/>
        </patternFill>
      </fill>
      <alignment horizontal="center" textRotation="0" indent="0" justifyLastLine="0" shrinkToFit="0" readingOrder="0"/>
    </dxf>
    <dxf>
      <font>
        <i val="0"/>
      </font>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64" formatCode="0000"/>
      <alignment horizontal="center" vertical="center" textRotation="0" indent="0" justifyLastLine="0" shrinkToFit="0" readingOrder="0"/>
    </dxf>
    <dxf>
      <alignment horizontal="left" vertical="center" textRotation="0" wrapText="1" indent="0" justifyLastLine="0" shrinkToFit="0" readingOrder="0"/>
      <border diagonalUp="0" diagonalDown="0" outline="0">
        <left style="thin">
          <color indexed="64"/>
        </left>
        <right/>
        <top style="thin">
          <color indexed="64"/>
        </top>
        <bottom style="thin">
          <color indexed="64"/>
        </bottom>
      </border>
    </dxf>
    <dxf>
      <font>
        <b/>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2"/>
        <color theme="0"/>
        <name val="Calibri"/>
        <scheme val="minor"/>
      </font>
      <fill>
        <patternFill patternType="solid">
          <fgColor indexed="64"/>
          <bgColor theme="2" tint="-0.499984740745262"/>
        </patternFill>
      </fill>
      <alignment horizontal="center" textRotation="0" indent="0" justifyLastLine="0" shrinkToFit="0" readingOrder="0"/>
    </dxf>
    <dxf>
      <font>
        <i val="0"/>
      </font>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64" formatCode="0000"/>
      <alignment horizontal="center" vertical="center" textRotation="0" indent="0" justifyLastLine="0" shrinkToFit="0" readingOrder="0"/>
    </dxf>
    <dxf>
      <alignment horizontal="left" vertical="center" textRotation="0" wrapText="1" indent="0" justifyLastLine="0" shrinkToFit="0" readingOrder="0"/>
      <border diagonalUp="0" diagonalDown="0" outline="0">
        <left style="thin">
          <color indexed="64"/>
        </left>
        <right/>
        <top style="thin">
          <color indexed="64"/>
        </top>
        <bottom style="thin">
          <color indexed="64"/>
        </bottom>
      </border>
    </dxf>
    <dxf>
      <font>
        <b/>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2"/>
        <color theme="0"/>
        <name val="Calibri"/>
        <scheme val="minor"/>
      </font>
      <fill>
        <patternFill patternType="solid">
          <fgColor indexed="64"/>
          <bgColor theme="2" tint="-0.499984740745262"/>
        </patternFill>
      </fill>
      <alignment horizontal="center" textRotation="0" indent="0" justifyLastLine="0" shrinkToFit="0" readingOrder="0"/>
    </dxf>
    <dxf>
      <font>
        <i val="0"/>
      </font>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64" formatCode="0000"/>
      <alignment horizontal="center" vertical="center" textRotation="0" indent="0" justifyLastLine="0" shrinkToFit="0" readingOrder="0"/>
    </dxf>
    <dxf>
      <alignment horizontal="left" vertical="center" textRotation="0" wrapText="1" indent="0" justifyLastLine="0" shrinkToFit="0" readingOrder="0"/>
      <border diagonalUp="0" diagonalDown="0" outline="0">
        <left style="thin">
          <color indexed="64"/>
        </left>
        <right/>
        <top style="thin">
          <color indexed="64"/>
        </top>
        <bottom style="thin">
          <color indexed="64"/>
        </bottom>
      </border>
    </dxf>
    <dxf>
      <font>
        <b/>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2"/>
        <color theme="0"/>
        <name val="Calibri"/>
        <scheme val="minor"/>
      </font>
      <fill>
        <patternFill patternType="solid">
          <fgColor indexed="64"/>
          <bgColor theme="2" tint="-0.499984740745262"/>
        </patternFill>
      </fill>
      <alignment horizontal="center" textRotation="0" indent="0" justifyLastLine="0" shrinkToFit="0" readingOrder="0"/>
    </dxf>
    <dxf>
      <font>
        <i val="0"/>
      </font>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64" formatCode="0000"/>
      <alignment horizontal="center" vertical="center" textRotation="0" indent="0" justifyLastLine="0" shrinkToFit="0" readingOrder="0"/>
    </dxf>
    <dxf>
      <alignment horizontal="left" vertical="center" textRotation="0" wrapText="1" indent="0" justifyLastLine="0" shrinkToFit="0" readingOrder="0"/>
      <border diagonalUp="0" diagonalDown="0" outline="0">
        <left style="thin">
          <color indexed="64"/>
        </left>
        <right/>
        <top style="thin">
          <color indexed="64"/>
        </top>
        <bottom style="thin">
          <color indexed="64"/>
        </bottom>
      </border>
    </dxf>
    <dxf>
      <font>
        <b/>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2"/>
        <color theme="0"/>
        <name val="Calibri"/>
        <scheme val="minor"/>
      </font>
      <fill>
        <patternFill patternType="solid">
          <fgColor indexed="64"/>
          <bgColor theme="2" tint="-0.499984740745262"/>
        </patternFill>
      </fill>
      <alignment horizontal="center" textRotation="0" indent="0" justifyLastLine="0" shrinkToFit="0" readingOrder="0"/>
    </dxf>
    <dxf>
      <font>
        <i val="0"/>
      </font>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64" formatCode="0000"/>
      <alignment horizontal="center" vertical="center" textRotation="0" indent="0" justifyLastLine="0" shrinkToFit="0" readingOrder="0"/>
    </dxf>
    <dxf>
      <alignment horizontal="left" vertical="center" textRotation="0" wrapText="1" indent="0" justifyLastLine="0" shrinkToFit="0" readingOrder="0"/>
      <border diagonalUp="0" diagonalDown="0" outline="0">
        <left style="thin">
          <color indexed="64"/>
        </left>
        <right/>
        <top style="thin">
          <color indexed="64"/>
        </top>
        <bottom style="thin">
          <color indexed="64"/>
        </bottom>
      </border>
    </dxf>
    <dxf>
      <font>
        <b/>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2"/>
        <color theme="0"/>
        <name val="Calibri"/>
        <scheme val="minor"/>
      </font>
      <fill>
        <patternFill patternType="solid">
          <fgColor indexed="64"/>
          <bgColor theme="2" tint="-0.499984740745262"/>
        </patternFill>
      </fill>
      <alignment horizontal="center" textRotation="0" indent="0" justifyLastLine="0" shrinkToFit="0" readingOrder="0"/>
    </dxf>
    <dxf>
      <font>
        <i val="0"/>
      </font>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64" formatCode="0000"/>
      <alignment horizontal="center" vertical="center" textRotation="0" indent="0" justifyLastLine="0" shrinkToFit="0" readingOrder="0"/>
    </dxf>
    <dxf>
      <alignment horizontal="left" vertical="center" textRotation="0" wrapText="1" indent="0" justifyLastLine="0" shrinkToFit="0" readingOrder="0"/>
      <border diagonalUp="0" diagonalDown="0" outline="0">
        <left style="thin">
          <color indexed="64"/>
        </left>
        <right/>
        <top style="thin">
          <color indexed="64"/>
        </top>
        <bottom style="thin">
          <color indexed="64"/>
        </bottom>
      </border>
    </dxf>
    <dxf>
      <font>
        <b/>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2"/>
        <color theme="0"/>
        <name val="Calibri"/>
        <scheme val="minor"/>
      </font>
      <fill>
        <patternFill patternType="solid">
          <fgColor indexed="64"/>
          <bgColor theme="2" tint="-0.499984740745262"/>
        </patternFill>
      </fill>
      <alignment horizontal="center" textRotation="0" indent="0" justifyLastLine="0" shrinkToFit="0" readingOrder="0"/>
    </dxf>
    <dxf>
      <font>
        <i val="0"/>
      </font>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64" formatCode="0000"/>
      <alignment horizontal="center" vertical="center" textRotation="0" indent="0" justifyLastLine="0" shrinkToFit="0" readingOrder="0"/>
    </dxf>
    <dxf>
      <alignment horizontal="left" vertical="center" textRotation="0" wrapText="1" indent="0" justifyLastLine="0" shrinkToFit="0" readingOrder="0"/>
      <border diagonalUp="0" diagonalDown="0" outline="0">
        <left style="thin">
          <color indexed="64"/>
        </left>
        <right/>
        <top style="thin">
          <color indexed="64"/>
        </top>
        <bottom style="thin">
          <color indexed="64"/>
        </bottom>
      </border>
    </dxf>
    <dxf>
      <font>
        <b/>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2"/>
        <color theme="0"/>
        <name val="Calibri"/>
        <scheme val="minor"/>
      </font>
      <fill>
        <patternFill patternType="solid">
          <fgColor indexed="64"/>
          <bgColor theme="2" tint="-0.499984740745262"/>
        </patternFill>
      </fill>
      <alignment horizontal="center" textRotation="0" indent="0" justifyLastLine="0" shrinkToFit="0" readingOrder="0"/>
    </dxf>
    <dxf>
      <font>
        <i val="0"/>
      </font>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64" formatCode="0000"/>
      <alignment horizontal="center" vertical="center" textRotation="0" indent="0" justifyLastLine="0" shrinkToFit="0" readingOrder="0"/>
    </dxf>
    <dxf>
      <alignment horizontal="left" vertical="center" textRotation="0" wrapText="1" indent="0" justifyLastLine="0" shrinkToFit="0" readingOrder="0"/>
      <border diagonalUp="0" diagonalDown="0" outline="0">
        <left style="thin">
          <color indexed="64"/>
        </left>
        <right/>
        <top style="thin">
          <color indexed="64"/>
        </top>
        <bottom style="thin">
          <color indexed="64"/>
        </bottom>
      </border>
    </dxf>
    <dxf>
      <font>
        <b/>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2"/>
        <color theme="0"/>
        <name val="Calibri"/>
        <scheme val="minor"/>
      </font>
      <fill>
        <patternFill patternType="solid">
          <fgColor indexed="64"/>
          <bgColor theme="2" tint="-0.499984740745262"/>
        </patternFill>
      </fill>
      <alignment horizontal="center" textRotation="0" indent="0" justifyLastLine="0" shrinkToFit="0" readingOrder="0"/>
    </dxf>
    <dxf>
      <font>
        <i val="0"/>
      </font>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64" formatCode="0000"/>
      <alignment horizontal="center" vertical="center" textRotation="0" indent="0" justifyLastLine="0" shrinkToFit="0" readingOrder="0"/>
    </dxf>
    <dxf>
      <alignment horizontal="left" vertical="center" textRotation="0" wrapText="1" indent="0" justifyLastLine="0" shrinkToFit="0" readingOrder="0"/>
      <border diagonalUp="0" diagonalDown="0" outline="0">
        <left style="thin">
          <color indexed="64"/>
        </left>
        <right/>
        <top style="thin">
          <color indexed="64"/>
        </top>
        <bottom style="thin">
          <color indexed="64"/>
        </bottom>
      </border>
    </dxf>
    <dxf>
      <font>
        <b/>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2"/>
        <color theme="0"/>
        <name val="Calibri"/>
        <scheme val="minor"/>
      </font>
      <fill>
        <patternFill patternType="solid">
          <fgColor indexed="64"/>
          <bgColor theme="2" tint="-0.499984740745262"/>
        </patternFill>
      </fill>
      <alignment horizontal="center" textRotation="0" indent="0" justifyLastLine="0" shrinkToFit="0" readingOrder="0"/>
    </dxf>
    <dxf>
      <font>
        <i val="0"/>
      </font>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64" formatCode="0000"/>
      <alignment horizontal="center" vertical="center" textRotation="0" indent="0" justifyLastLine="0" shrinkToFit="0" readingOrder="0"/>
    </dxf>
    <dxf>
      <alignment horizontal="left" vertical="center" textRotation="0" wrapText="1" indent="0" justifyLastLine="0" shrinkToFit="0" readingOrder="0"/>
      <border diagonalUp="0" diagonalDown="0" outline="0">
        <left style="thin">
          <color indexed="64"/>
        </left>
        <right/>
        <top style="thin">
          <color indexed="64"/>
        </top>
        <bottom style="thin">
          <color indexed="64"/>
        </bottom>
      </border>
    </dxf>
    <dxf>
      <font>
        <b/>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2"/>
        <color theme="0"/>
        <name val="Calibri"/>
        <scheme val="minor"/>
      </font>
      <fill>
        <patternFill patternType="solid">
          <fgColor indexed="64"/>
          <bgColor theme="2" tint="-0.499984740745262"/>
        </patternFill>
      </fill>
      <alignment horizontal="center" textRotation="0" indent="0" justifyLastLine="0" shrinkToFit="0" readingOrder="0"/>
    </dxf>
    <dxf>
      <font>
        <i val="0"/>
      </font>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64" formatCode="0000"/>
      <alignment horizontal="center" vertical="center" textRotation="0" indent="0" justifyLastLine="0" shrinkToFit="0" readingOrder="0"/>
    </dxf>
    <dxf>
      <alignment horizontal="left" vertical="center" textRotation="0" wrapText="1" indent="0" justifyLastLine="0" shrinkToFit="0" readingOrder="0"/>
      <border diagonalUp="0" diagonalDown="0" outline="0">
        <left style="thin">
          <color indexed="64"/>
        </left>
        <right/>
        <top style="thin">
          <color indexed="64"/>
        </top>
        <bottom style="thin">
          <color indexed="64"/>
        </bottom>
      </border>
    </dxf>
    <dxf>
      <font>
        <b/>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2"/>
        <color theme="0"/>
        <name val="Calibri"/>
        <scheme val="minor"/>
      </font>
      <fill>
        <patternFill patternType="solid">
          <fgColor indexed="64"/>
          <bgColor theme="2" tint="-0.499984740745262"/>
        </patternFill>
      </fill>
      <alignment horizontal="center" textRotation="0" indent="0" justifyLastLine="0" shrinkToFit="0" readingOrder="0"/>
    </dxf>
    <dxf>
      <font>
        <i val="0"/>
      </font>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64" formatCode="0000"/>
      <alignment horizontal="center" vertical="center" textRotation="0" indent="0" justifyLastLine="0" shrinkToFit="0" readingOrder="0"/>
    </dxf>
    <dxf>
      <alignment horizontal="left" vertical="center" textRotation="0" wrapText="1" indent="0" justifyLastLine="0" shrinkToFit="0" readingOrder="0"/>
      <border diagonalUp="0" diagonalDown="0" outline="0">
        <left style="thin">
          <color indexed="64"/>
        </left>
        <right/>
        <top style="thin">
          <color indexed="64"/>
        </top>
        <bottom style="thin">
          <color indexed="64"/>
        </bottom>
      </border>
    </dxf>
    <dxf>
      <font>
        <b/>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2"/>
        <color theme="0"/>
        <name val="Calibri"/>
        <scheme val="minor"/>
      </font>
      <fill>
        <patternFill patternType="solid">
          <fgColor indexed="64"/>
          <bgColor theme="2" tint="-0.499984740745262"/>
        </patternFill>
      </fill>
      <alignment horizontal="center" textRotation="0" indent="0" justifyLastLine="0" shrinkToFit="0" readingOrder="0"/>
    </dxf>
    <dxf>
      <font>
        <i val="0"/>
      </font>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64" formatCode="0000"/>
      <alignment horizontal="center" vertical="center" textRotation="0" indent="0" justifyLastLine="0" shrinkToFit="0" readingOrder="0"/>
    </dxf>
    <dxf>
      <alignment horizontal="left" vertical="center" textRotation="0" wrapText="1" indent="0" justifyLastLine="0" shrinkToFit="0" readingOrder="0"/>
      <border diagonalUp="0" diagonalDown="0" outline="0">
        <left style="thin">
          <color indexed="64"/>
        </left>
        <right/>
        <top style="thin">
          <color indexed="64"/>
        </top>
        <bottom style="thin">
          <color indexed="64"/>
        </bottom>
      </border>
    </dxf>
    <dxf>
      <font>
        <b/>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2"/>
        <color theme="0"/>
        <name val="Calibri"/>
        <scheme val="minor"/>
      </font>
      <fill>
        <patternFill patternType="solid">
          <fgColor indexed="64"/>
          <bgColor theme="2" tint="-0.499984740745262"/>
        </patternFill>
      </fill>
      <alignment horizontal="center" textRotation="0" indent="0" justifyLastLine="0" shrinkToFit="0" readingOrder="0"/>
    </dxf>
    <dxf>
      <font>
        <i val="0"/>
      </font>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64" formatCode="0000"/>
      <alignment horizontal="center" vertical="center" textRotation="0" indent="0" justifyLastLine="0" shrinkToFit="0" readingOrder="0"/>
    </dxf>
    <dxf>
      <alignment horizontal="left" vertical="center" textRotation="0" wrapText="1" indent="0" justifyLastLine="0" shrinkToFit="0" readingOrder="0"/>
      <border diagonalUp="0" diagonalDown="0" outline="0">
        <left style="thin">
          <color indexed="64"/>
        </left>
        <right/>
        <top style="thin">
          <color indexed="64"/>
        </top>
        <bottom style="thin">
          <color indexed="64"/>
        </bottom>
      </border>
    </dxf>
    <dxf>
      <font>
        <b/>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2"/>
        <color theme="0"/>
        <name val="Calibri"/>
        <scheme val="minor"/>
      </font>
      <fill>
        <patternFill patternType="solid">
          <fgColor indexed="64"/>
          <bgColor theme="2" tint="-0.499984740745262"/>
        </patternFill>
      </fill>
      <alignment horizontal="center" textRotation="0" indent="0" justifyLastLine="0" shrinkToFit="0" readingOrder="0"/>
    </dxf>
    <dxf>
      <font>
        <i val="0"/>
      </font>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64" formatCode="0000"/>
      <alignment horizontal="center" vertical="center" textRotation="0" indent="0" justifyLastLine="0" shrinkToFit="0" readingOrder="0"/>
    </dxf>
    <dxf>
      <alignment horizontal="left" vertical="center" textRotation="0" wrapText="1" indent="0" justifyLastLine="0" shrinkToFit="0" readingOrder="0"/>
      <border diagonalUp="0" diagonalDown="0" outline="0">
        <left style="thin">
          <color indexed="64"/>
        </left>
        <right/>
        <top style="thin">
          <color indexed="64"/>
        </top>
        <bottom style="thin">
          <color indexed="64"/>
        </bottom>
      </border>
    </dxf>
    <dxf>
      <font>
        <b/>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2"/>
        <color theme="0"/>
        <name val="Calibri"/>
        <scheme val="minor"/>
      </font>
      <fill>
        <patternFill patternType="solid">
          <fgColor indexed="64"/>
          <bgColor theme="2" tint="-0.499984740745262"/>
        </patternFill>
      </fill>
      <alignment horizontal="center" textRotation="0" indent="0" justifyLastLine="0" shrinkToFit="0" readingOrder="0"/>
    </dxf>
    <dxf>
      <font>
        <i val="0"/>
      </font>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64" formatCode="0000"/>
      <alignment horizontal="center" vertical="center" textRotation="0" indent="0" justifyLastLine="0" shrinkToFit="0" readingOrder="0"/>
    </dxf>
    <dxf>
      <alignment horizontal="left" vertical="center" textRotation="0" wrapText="1" indent="0" justifyLastLine="0" shrinkToFit="0" readingOrder="0"/>
      <border diagonalUp="0" diagonalDown="0" outline="0">
        <left style="thin">
          <color indexed="64"/>
        </left>
        <right/>
        <top style="thin">
          <color indexed="64"/>
        </top>
        <bottom style="thin">
          <color indexed="64"/>
        </bottom>
      </border>
    </dxf>
    <dxf>
      <font>
        <b/>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2"/>
        <color theme="0"/>
        <name val="Calibri"/>
        <scheme val="minor"/>
      </font>
      <fill>
        <patternFill patternType="solid">
          <fgColor indexed="64"/>
          <bgColor theme="2" tint="-0.499984740745262"/>
        </patternFill>
      </fill>
      <alignment horizontal="center" textRotation="0" indent="0" justifyLastLine="0" shrinkToFit="0" readingOrder="0"/>
    </dxf>
    <dxf>
      <font>
        <i val="0"/>
      </font>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64" formatCode="0000"/>
      <alignment horizontal="center" vertical="center" textRotation="0" indent="0" justifyLastLine="0" shrinkToFit="0" readingOrder="0"/>
    </dxf>
    <dxf>
      <alignment horizontal="left" vertical="center" textRotation="0" wrapText="1" indent="0" justifyLastLine="0" shrinkToFit="0" readingOrder="0"/>
      <border diagonalUp="0" diagonalDown="0" outline="0">
        <left style="thin">
          <color indexed="64"/>
        </left>
        <right/>
        <top style="thin">
          <color indexed="64"/>
        </top>
        <bottom style="thin">
          <color indexed="64"/>
        </bottom>
      </border>
    </dxf>
    <dxf>
      <font>
        <b/>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2"/>
        <color theme="0"/>
        <name val="Calibri"/>
        <scheme val="minor"/>
      </font>
      <fill>
        <patternFill patternType="solid">
          <fgColor indexed="64"/>
          <bgColor theme="2" tint="-0.499984740745262"/>
        </patternFill>
      </fill>
      <alignment horizontal="center" textRotation="0" indent="0" justifyLastLine="0" shrinkToFit="0" readingOrder="0"/>
    </dxf>
    <dxf>
      <font>
        <i val="0"/>
      </font>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64" formatCode="0000"/>
      <alignment horizontal="center" vertical="center" textRotation="0" indent="0" justifyLastLine="0" shrinkToFit="0" readingOrder="0"/>
    </dxf>
    <dxf>
      <alignment horizontal="left" vertical="center" textRotation="0" wrapText="1" indent="0" justifyLastLine="0" shrinkToFit="0" readingOrder="0"/>
      <border diagonalUp="0" diagonalDown="0" outline="0">
        <left style="thin">
          <color indexed="64"/>
        </left>
        <right/>
        <top style="thin">
          <color indexed="64"/>
        </top>
        <bottom style="thin">
          <color indexed="64"/>
        </bottom>
      </border>
    </dxf>
    <dxf>
      <font>
        <b/>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2"/>
        <color theme="0"/>
        <name val="Calibri"/>
        <scheme val="minor"/>
      </font>
      <fill>
        <patternFill patternType="solid">
          <fgColor indexed="64"/>
          <bgColor theme="2" tint="-0.499984740745262"/>
        </patternFill>
      </fill>
      <alignment horizontal="center" textRotation="0" indent="0" justifyLastLine="0" shrinkToFit="0" readingOrder="0"/>
    </dxf>
    <dxf>
      <font>
        <i val="0"/>
      </font>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64" formatCode="0000"/>
      <alignment horizontal="center" vertical="center" textRotation="0" indent="0" justifyLastLine="0" shrinkToFit="0" readingOrder="0"/>
    </dxf>
    <dxf>
      <alignment horizontal="left" vertical="center" textRotation="0" wrapText="1" indent="0" justifyLastLine="0" shrinkToFit="0" readingOrder="0"/>
      <border diagonalUp="0" diagonalDown="0" outline="0">
        <left style="thin">
          <color indexed="64"/>
        </left>
        <right/>
        <top style="thin">
          <color indexed="64"/>
        </top>
        <bottom style="thin">
          <color indexed="64"/>
        </bottom>
      </border>
    </dxf>
    <dxf>
      <font>
        <b/>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2"/>
        <color theme="0"/>
        <name val="Calibri"/>
        <scheme val="minor"/>
      </font>
      <fill>
        <patternFill patternType="solid">
          <fgColor indexed="64"/>
          <bgColor theme="2" tint="-0.499984740745262"/>
        </patternFill>
      </fill>
      <alignment horizontal="center" textRotation="0" indent="0" justifyLastLine="0" shrinkToFit="0" readingOrder="0"/>
    </dxf>
    <dxf>
      <font>
        <i val="0"/>
      </font>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64" formatCode="0000"/>
      <alignment horizontal="center" vertical="center" textRotation="0" indent="0" justifyLastLine="0" shrinkToFit="0" readingOrder="0"/>
    </dxf>
    <dxf>
      <alignment horizontal="left" vertical="center" textRotation="0" wrapText="1" indent="0" justifyLastLine="0" shrinkToFit="0" readingOrder="0"/>
      <border diagonalUp="0" diagonalDown="0" outline="0">
        <left style="thin">
          <color indexed="64"/>
        </left>
        <right/>
        <top style="thin">
          <color indexed="64"/>
        </top>
        <bottom style="thin">
          <color indexed="64"/>
        </bottom>
      </border>
    </dxf>
    <dxf>
      <font>
        <b/>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2"/>
        <color theme="0"/>
        <name val="Calibri"/>
        <scheme val="minor"/>
      </font>
      <fill>
        <patternFill patternType="solid">
          <fgColor indexed="64"/>
          <bgColor theme="2" tint="-0.499984740745262"/>
        </patternFill>
      </fill>
      <alignment horizontal="center" textRotation="0" indent="0" justifyLastLine="0" shrinkToFit="0" readingOrder="0"/>
    </dxf>
    <dxf>
      <font>
        <i val="0"/>
      </font>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64" formatCode="0000"/>
      <alignment horizontal="center" vertical="center" textRotation="0" indent="0" justifyLastLine="0" shrinkToFit="0" readingOrder="0"/>
    </dxf>
    <dxf>
      <alignment horizontal="left" vertical="center" textRotation="0" wrapText="1" indent="0" justifyLastLine="0" shrinkToFit="0" readingOrder="0"/>
      <border diagonalUp="0" diagonalDown="0" outline="0">
        <left style="thin">
          <color indexed="64"/>
        </left>
        <right/>
        <top style="thin">
          <color indexed="64"/>
        </top>
        <bottom style="thin">
          <color indexed="64"/>
        </bottom>
      </border>
    </dxf>
    <dxf>
      <font>
        <b/>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2"/>
        <color theme="0"/>
        <name val="Calibri"/>
        <scheme val="minor"/>
      </font>
      <fill>
        <patternFill patternType="solid">
          <fgColor indexed="64"/>
          <bgColor theme="2" tint="-0.499984740745262"/>
        </patternFill>
      </fill>
      <alignment horizontal="center" textRotation="0" indent="0" justifyLastLine="0" shrinkToFit="0" readingOrder="0"/>
    </dxf>
    <dxf>
      <font>
        <i val="0"/>
      </font>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64" formatCode="0000"/>
      <alignment horizontal="center" vertical="center" textRotation="0" indent="0" justifyLastLine="0" shrinkToFit="0" readingOrder="0"/>
    </dxf>
    <dxf>
      <alignment horizontal="left" vertical="center" textRotation="0" wrapText="1" indent="0" justifyLastLine="0" shrinkToFit="0" readingOrder="0"/>
      <border diagonalUp="0" diagonalDown="0" outline="0">
        <left style="thin">
          <color indexed="64"/>
        </left>
        <right/>
        <top style="thin">
          <color indexed="64"/>
        </top>
        <bottom style="thin">
          <color indexed="64"/>
        </bottom>
      </border>
    </dxf>
    <dxf>
      <font>
        <b/>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2"/>
        <color theme="0"/>
        <name val="Calibri"/>
        <scheme val="minor"/>
      </font>
      <fill>
        <patternFill patternType="solid">
          <fgColor indexed="64"/>
          <bgColor theme="2" tint="-0.499984740745262"/>
        </patternFill>
      </fill>
      <alignment horizontal="center" textRotation="0" indent="0" justifyLastLine="0" shrinkToFit="0" readingOrder="0"/>
    </dxf>
    <dxf>
      <font>
        <i val="0"/>
      </font>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64" formatCode="0000"/>
      <alignment horizontal="center" vertical="center" textRotation="0" indent="0" justifyLastLine="0" shrinkToFit="0" readingOrder="0"/>
    </dxf>
    <dxf>
      <alignment horizontal="left" vertical="center" textRotation="0" wrapText="1" indent="0" justifyLastLine="0" shrinkToFit="0" readingOrder="0"/>
      <border diagonalUp="0" diagonalDown="0" outline="0">
        <left style="thin">
          <color indexed="64"/>
        </left>
        <right/>
        <top style="thin">
          <color indexed="64"/>
        </top>
        <bottom style="thin">
          <color indexed="64"/>
        </bottom>
      </border>
    </dxf>
    <dxf>
      <font>
        <b/>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2"/>
        <color theme="0"/>
        <name val="Calibri"/>
        <scheme val="minor"/>
      </font>
      <fill>
        <patternFill patternType="solid">
          <fgColor indexed="64"/>
          <bgColor theme="2" tint="-0.499984740745262"/>
        </patternFill>
      </fill>
      <alignment horizontal="center" textRotation="0" indent="0" justifyLastLine="0" shrinkToFit="0" readingOrder="0"/>
    </dxf>
    <dxf>
      <font>
        <i val="0"/>
      </font>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64" formatCode="0000"/>
      <alignment horizontal="center" vertical="center" textRotation="0" indent="0" justifyLastLine="0" shrinkToFit="0" readingOrder="0"/>
    </dxf>
    <dxf>
      <alignment horizontal="left" vertical="center" textRotation="0" wrapText="1" indent="0" justifyLastLine="0" shrinkToFit="0" readingOrder="0"/>
      <border diagonalUp="0" diagonalDown="0" outline="0">
        <left style="thin">
          <color indexed="64"/>
        </left>
        <right/>
        <top style="thin">
          <color indexed="64"/>
        </top>
        <bottom style="thin">
          <color indexed="64"/>
        </bottom>
      </border>
    </dxf>
    <dxf>
      <font>
        <b/>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2"/>
        <color theme="0"/>
        <name val="Calibri"/>
        <scheme val="minor"/>
      </font>
      <fill>
        <patternFill patternType="solid">
          <fgColor indexed="64"/>
          <bgColor theme="2" tint="-0.499984740745262"/>
        </patternFill>
      </fill>
      <alignment horizontal="center" textRotation="0" indent="0" justifyLastLine="0" shrinkToFit="0" readingOrder="0"/>
    </dxf>
    <dxf>
      <font>
        <i val="0"/>
      </font>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64" formatCode="0000"/>
      <alignment horizontal="center" vertical="center" textRotation="0" indent="0" justifyLastLine="0" shrinkToFit="0" readingOrder="0"/>
    </dxf>
    <dxf>
      <alignment horizontal="left" vertical="center" textRotation="0" wrapText="1" indent="0" justifyLastLine="0" shrinkToFit="0" readingOrder="0"/>
      <border diagonalUp="0" diagonalDown="0" outline="0">
        <left style="thin">
          <color indexed="64"/>
        </left>
        <right/>
        <top style="thin">
          <color indexed="64"/>
        </top>
        <bottom style="thin">
          <color indexed="64"/>
        </bottom>
      </border>
    </dxf>
    <dxf>
      <font>
        <b/>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2"/>
        <color theme="0"/>
        <name val="Calibri"/>
        <scheme val="minor"/>
      </font>
      <fill>
        <patternFill patternType="solid">
          <fgColor indexed="64"/>
          <bgColor theme="2" tint="-0.499984740745262"/>
        </patternFill>
      </fill>
      <alignment horizontal="center" textRotation="0" indent="0" justifyLastLine="0" shrinkToFit="0" readingOrder="0"/>
    </dxf>
    <dxf>
      <font>
        <i val="0"/>
      </font>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64" formatCode="0000"/>
      <alignment horizontal="center" vertical="center" textRotation="0" indent="0" justifyLastLine="0" shrinkToFit="0" readingOrder="0"/>
    </dxf>
    <dxf>
      <alignment horizontal="left" vertical="center" textRotation="0" wrapText="1" indent="0" justifyLastLine="0" shrinkToFit="0" readingOrder="0"/>
      <border diagonalUp="0" diagonalDown="0" outline="0">
        <left style="thin">
          <color indexed="64"/>
        </left>
        <right/>
        <top style="thin">
          <color indexed="64"/>
        </top>
        <bottom style="thin">
          <color indexed="64"/>
        </bottom>
      </border>
    </dxf>
    <dxf>
      <font>
        <b/>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2"/>
        <color theme="0"/>
        <name val="Calibri"/>
        <scheme val="minor"/>
      </font>
      <fill>
        <patternFill patternType="solid">
          <fgColor indexed="64"/>
          <bgColor theme="2" tint="-0.499984740745262"/>
        </patternFill>
      </fill>
      <alignment horizontal="center" textRotation="0" indent="0" justifyLastLine="0" shrinkToFit="0" readingOrder="0"/>
    </dxf>
    <dxf>
      <font>
        <i val="0"/>
      </font>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64" formatCode="0000"/>
      <alignment horizontal="center" vertical="center" textRotation="0" indent="0" justifyLastLine="0" shrinkToFit="0" readingOrder="0"/>
    </dxf>
    <dxf>
      <alignment horizontal="left" vertical="center" textRotation="0" wrapText="1" indent="0" justifyLastLine="0" shrinkToFit="0" readingOrder="0"/>
      <border diagonalUp="0" diagonalDown="0" outline="0">
        <left style="thin">
          <color indexed="64"/>
        </left>
        <right/>
        <top style="thin">
          <color indexed="64"/>
        </top>
        <bottom style="thin">
          <color indexed="64"/>
        </bottom>
      </border>
    </dxf>
    <dxf>
      <font>
        <b/>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2"/>
        <color theme="0"/>
        <name val="Calibri"/>
        <scheme val="minor"/>
      </font>
      <fill>
        <patternFill patternType="solid">
          <fgColor indexed="64"/>
          <bgColor theme="2" tint="-0.499984740745262"/>
        </patternFill>
      </fill>
      <alignment horizontal="center" textRotation="0" indent="0" justifyLastLine="0" shrinkToFit="0" readingOrder="0"/>
    </dxf>
    <dxf>
      <font>
        <i val="0"/>
      </font>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64" formatCode="0000"/>
      <alignment horizontal="center" vertical="center" textRotation="0" indent="0" justifyLastLine="0" shrinkToFit="0" readingOrder="0"/>
    </dxf>
    <dxf>
      <alignment horizontal="left" vertical="center" textRotation="0" wrapText="1" indent="0" justifyLastLine="0" shrinkToFit="0" readingOrder="0"/>
      <border diagonalUp="0" diagonalDown="0" outline="0">
        <left style="thin">
          <color indexed="64"/>
        </left>
        <right/>
        <top style="thin">
          <color indexed="64"/>
        </top>
        <bottom style="thin">
          <color indexed="64"/>
        </bottom>
      </border>
    </dxf>
    <dxf>
      <font>
        <b/>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2"/>
        <color theme="0"/>
        <name val="Calibri"/>
        <scheme val="minor"/>
      </font>
      <fill>
        <patternFill patternType="solid">
          <fgColor indexed="64"/>
          <bgColor theme="2" tint="-0.499984740745262"/>
        </patternFill>
      </fill>
      <alignment horizontal="center" textRotation="0" indent="0" justifyLastLine="0" shrinkToFit="0" readingOrder="0"/>
    </dxf>
    <dxf>
      <font>
        <i val="0"/>
      </font>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64" formatCode="0000"/>
      <alignment horizontal="center" vertical="center" textRotation="0" indent="0" justifyLastLine="0" shrinkToFit="0" readingOrder="0"/>
    </dxf>
    <dxf>
      <alignment horizontal="left" vertical="center" textRotation="0" wrapText="1" indent="0" justifyLastLine="0" shrinkToFit="0" readingOrder="0"/>
      <border diagonalUp="0" diagonalDown="0" outline="0">
        <left style="thin">
          <color indexed="64"/>
        </left>
        <right/>
        <top style="thin">
          <color indexed="64"/>
        </top>
        <bottom style="thin">
          <color indexed="64"/>
        </bottom>
      </border>
    </dxf>
    <dxf>
      <font>
        <b/>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2"/>
        <color theme="0"/>
        <name val="Calibri"/>
        <scheme val="minor"/>
      </font>
      <fill>
        <patternFill patternType="solid">
          <fgColor indexed="64"/>
          <bgColor theme="2" tint="-0.499984740745262"/>
        </patternFill>
      </fill>
      <alignment horizontal="center" textRotation="0" indent="0" justifyLastLine="0" shrinkToFit="0" readingOrder="0"/>
    </dxf>
    <dxf>
      <font>
        <i val="0"/>
      </font>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64" formatCode="0000"/>
      <alignment horizontal="center" vertical="center" textRotation="0" indent="0" justifyLastLine="0" shrinkToFit="0" readingOrder="0"/>
    </dxf>
    <dxf>
      <alignment horizontal="left" vertical="center" textRotation="0" wrapText="1" indent="0" justifyLastLine="0" shrinkToFit="0" readingOrder="0"/>
      <border diagonalUp="0" diagonalDown="0" outline="0">
        <left style="thin">
          <color indexed="64"/>
        </left>
        <right/>
        <top style="thin">
          <color indexed="64"/>
        </top>
        <bottom style="thin">
          <color indexed="64"/>
        </bottom>
      </border>
    </dxf>
    <dxf>
      <font>
        <b/>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2"/>
        <color theme="0"/>
        <name val="Calibri"/>
        <scheme val="minor"/>
      </font>
      <fill>
        <patternFill patternType="solid">
          <fgColor indexed="64"/>
          <bgColor theme="2" tint="-0.499984740745262"/>
        </patternFill>
      </fill>
      <alignment horizontal="center" textRotation="0" indent="0" justifyLastLine="0" shrinkToFit="0" readingOrder="0"/>
    </dxf>
    <dxf>
      <font>
        <i val="0"/>
      </font>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64" formatCode="0000"/>
      <alignment horizontal="center" vertical="center" textRotation="0" indent="0" justifyLastLine="0" shrinkToFit="0" readingOrder="0"/>
    </dxf>
    <dxf>
      <alignment horizontal="left" vertical="center" textRotation="0" wrapText="1" indent="0" justifyLastLine="0" shrinkToFit="0" readingOrder="0"/>
      <border diagonalUp="0" diagonalDown="0" outline="0">
        <left style="thin">
          <color indexed="64"/>
        </left>
        <right/>
        <top style="thin">
          <color indexed="64"/>
        </top>
        <bottom style="thin">
          <color indexed="64"/>
        </bottom>
      </border>
    </dxf>
    <dxf>
      <font>
        <b/>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2"/>
        <color theme="0"/>
        <name val="Calibri"/>
        <scheme val="minor"/>
      </font>
      <fill>
        <patternFill patternType="solid">
          <fgColor indexed="64"/>
          <bgColor theme="2" tint="-0.499984740745262"/>
        </patternFill>
      </fill>
      <alignment horizontal="center" textRotation="0" indent="0" justifyLastLine="0" shrinkToFit="0" readingOrder="0"/>
    </dxf>
    <dxf>
      <font>
        <i val="0"/>
      </font>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64" formatCode="0000"/>
      <alignment horizontal="center" vertical="center" textRotation="0" indent="0" justifyLastLine="0" shrinkToFit="0" readingOrder="0"/>
    </dxf>
    <dxf>
      <alignment horizontal="left" vertical="center" textRotation="0" wrapText="1" indent="0" justifyLastLine="0" shrinkToFit="0" readingOrder="0"/>
      <border diagonalUp="0" diagonalDown="0" outline="0">
        <left style="thin">
          <color indexed="64"/>
        </left>
        <right/>
        <top style="thin">
          <color indexed="64"/>
        </top>
        <bottom style="thin">
          <color indexed="64"/>
        </bottom>
      </border>
    </dxf>
    <dxf>
      <font>
        <b/>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2"/>
        <color theme="0"/>
        <name val="Calibri"/>
        <scheme val="minor"/>
      </font>
      <fill>
        <patternFill patternType="solid">
          <fgColor indexed="64"/>
          <bgColor theme="2" tint="-0.499984740745262"/>
        </patternFill>
      </fill>
      <alignment horizontal="center" textRotation="0" indent="0" justifyLastLine="0" shrinkToFit="0" readingOrder="0"/>
    </dxf>
    <dxf>
      <font>
        <i val="0"/>
      </font>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64" formatCode="0000"/>
      <alignment horizontal="center" vertical="center" textRotation="0" indent="0" justifyLastLine="0" shrinkToFit="0" readingOrder="0"/>
    </dxf>
    <dxf>
      <alignment horizontal="left" vertical="center" textRotation="0" wrapText="1" indent="0" justifyLastLine="0" shrinkToFit="0" readingOrder="0"/>
      <border diagonalUp="0" diagonalDown="0" outline="0">
        <left style="thin">
          <color indexed="64"/>
        </left>
        <right/>
        <top style="thin">
          <color indexed="64"/>
        </top>
        <bottom style="thin">
          <color indexed="64"/>
        </bottom>
      </border>
    </dxf>
    <dxf>
      <font>
        <b/>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2"/>
        <color theme="0"/>
        <name val="Calibri"/>
        <scheme val="minor"/>
      </font>
      <fill>
        <patternFill patternType="solid">
          <fgColor indexed="64"/>
          <bgColor theme="2" tint="-0.499984740745262"/>
        </patternFill>
      </fill>
      <alignment horizontal="center" textRotation="0" indent="0" justifyLastLine="0" shrinkToFit="0" readingOrder="0"/>
    </dxf>
    <dxf>
      <font>
        <i val="0"/>
      </font>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64" formatCode="0000"/>
      <alignment horizontal="center" vertical="center" textRotation="0" indent="0" justifyLastLine="0" shrinkToFit="0" readingOrder="0"/>
    </dxf>
    <dxf>
      <alignment horizontal="left" vertical="center" textRotation="0" wrapText="1" indent="0" justifyLastLine="0" shrinkToFit="0" readingOrder="0"/>
      <border diagonalUp="0" diagonalDown="0" outline="0">
        <left style="thin">
          <color indexed="64"/>
        </left>
        <right/>
        <top style="thin">
          <color indexed="64"/>
        </top>
        <bottom style="thin">
          <color indexed="64"/>
        </bottom>
      </border>
    </dxf>
    <dxf>
      <font>
        <b/>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2"/>
        <color theme="0"/>
        <name val="Calibri"/>
        <scheme val="minor"/>
      </font>
      <fill>
        <patternFill patternType="solid">
          <fgColor indexed="64"/>
          <bgColor theme="2" tint="-0.499984740745262"/>
        </patternFill>
      </fill>
      <alignment horizontal="center" textRotation="0" indent="0" justifyLastLine="0" shrinkToFit="0" readingOrder="0"/>
    </dxf>
    <dxf>
      <font>
        <i val="0"/>
      </font>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64" formatCode="0000"/>
      <alignment horizontal="center" vertical="center" textRotation="0" indent="0" justifyLastLine="0" shrinkToFit="0" readingOrder="0"/>
    </dxf>
    <dxf>
      <alignment horizontal="left" vertical="center" textRotation="0" wrapText="1" indent="0" justifyLastLine="0" shrinkToFit="0" readingOrder="0"/>
      <border diagonalUp="0" diagonalDown="0" outline="0">
        <left style="thin">
          <color indexed="64"/>
        </left>
        <right/>
        <top style="thin">
          <color indexed="64"/>
        </top>
        <bottom style="thin">
          <color indexed="64"/>
        </bottom>
      </border>
    </dxf>
    <dxf>
      <font>
        <b/>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2"/>
        <color theme="0"/>
        <name val="Calibri"/>
        <scheme val="minor"/>
      </font>
      <fill>
        <patternFill patternType="solid">
          <fgColor indexed="64"/>
          <bgColor theme="2" tint="-0.499984740745262"/>
        </patternFill>
      </fill>
      <alignment horizontal="center" textRotation="0" indent="0" justifyLastLine="0" shrinkToFit="0" readingOrder="0"/>
    </dxf>
    <dxf>
      <font>
        <i val="0"/>
      </font>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64" formatCode="0000"/>
      <alignment horizontal="center" vertical="center" textRotation="0" indent="0" justifyLastLine="0" shrinkToFit="0" readingOrder="0"/>
    </dxf>
    <dxf>
      <alignment horizontal="left" vertical="center" textRotation="0" wrapText="1" indent="0" justifyLastLine="0" shrinkToFit="0" readingOrder="0"/>
      <border diagonalUp="0" diagonalDown="0" outline="0">
        <left style="thin">
          <color indexed="64"/>
        </left>
        <right/>
        <top style="thin">
          <color indexed="64"/>
        </top>
        <bottom style="thin">
          <color indexed="64"/>
        </bottom>
      </border>
    </dxf>
    <dxf>
      <font>
        <b/>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2"/>
        <color theme="0"/>
        <name val="Calibri"/>
        <scheme val="minor"/>
      </font>
      <fill>
        <patternFill patternType="solid">
          <fgColor indexed="64"/>
          <bgColor theme="2" tint="-0.499984740745262"/>
        </patternFill>
      </fill>
      <alignment horizontal="center" textRotation="0" indent="0" justifyLastLine="0" shrinkToFit="0" readingOrder="0"/>
    </dxf>
    <dxf>
      <font>
        <i val="0"/>
      </font>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64" formatCode="0000"/>
      <alignment horizontal="center" vertical="center" textRotation="0" indent="0" justifyLastLine="0" shrinkToFit="0" readingOrder="0"/>
    </dxf>
    <dxf>
      <alignment horizontal="left" vertical="center" textRotation="0" wrapText="1" indent="0" justifyLastLine="0" shrinkToFit="0" readingOrder="0"/>
      <border diagonalUp="0" diagonalDown="0" outline="0">
        <left style="thin">
          <color indexed="64"/>
        </left>
        <right/>
        <top style="thin">
          <color indexed="64"/>
        </top>
        <bottom style="thin">
          <color indexed="64"/>
        </bottom>
      </border>
    </dxf>
    <dxf>
      <font>
        <b/>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2"/>
        <color theme="0"/>
        <name val="Calibri"/>
        <scheme val="minor"/>
      </font>
      <fill>
        <patternFill patternType="solid">
          <fgColor indexed="64"/>
          <bgColor theme="2" tint="-0.499984740745262"/>
        </patternFill>
      </fill>
      <alignment horizontal="center" textRotation="0" indent="0" justifyLastLine="0" shrinkToFit="0" readingOrder="0"/>
    </dxf>
    <dxf>
      <font>
        <i val="0"/>
      </font>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64" formatCode="0000"/>
      <alignment horizontal="center" vertical="center" textRotation="0" indent="0" justifyLastLine="0" shrinkToFit="0" readingOrder="0"/>
    </dxf>
    <dxf>
      <alignment horizontal="left" vertical="center" textRotation="0" wrapText="1" indent="0" justifyLastLine="0" shrinkToFit="0" readingOrder="0"/>
      <border diagonalUp="0" diagonalDown="0" outline="0">
        <left style="thin">
          <color indexed="64"/>
        </left>
        <right/>
        <top style="thin">
          <color indexed="64"/>
        </top>
        <bottom style="thin">
          <color indexed="64"/>
        </bottom>
      </border>
    </dxf>
    <dxf>
      <font>
        <b/>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2"/>
        <color theme="0"/>
        <name val="Calibri"/>
        <scheme val="minor"/>
      </font>
      <fill>
        <patternFill patternType="solid">
          <fgColor indexed="64"/>
          <bgColor theme="2" tint="-0.499984740745262"/>
        </patternFill>
      </fill>
      <alignment horizontal="center" textRotation="0" indent="0" justifyLastLine="0" shrinkToFit="0" readingOrder="0"/>
    </dxf>
    <dxf>
      <font>
        <i val="0"/>
      </font>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64" formatCode="0000"/>
      <alignment horizontal="center" vertical="center" textRotation="0" indent="0" justifyLastLine="0" shrinkToFit="0" readingOrder="0"/>
    </dxf>
    <dxf>
      <alignment horizontal="left" vertical="center" textRotation="0" wrapText="1" indent="0" justifyLastLine="0" shrinkToFit="0" readingOrder="0"/>
      <border diagonalUp="0" diagonalDown="0" outline="0">
        <left style="thin">
          <color indexed="64"/>
        </left>
        <right/>
        <top style="thin">
          <color indexed="64"/>
        </top>
        <bottom style="thin">
          <color indexed="64"/>
        </bottom>
      </border>
    </dxf>
    <dxf>
      <font>
        <b/>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2"/>
        <color theme="0"/>
        <name val="Calibri"/>
        <scheme val="minor"/>
      </font>
      <fill>
        <patternFill patternType="solid">
          <fgColor indexed="64"/>
          <bgColor theme="2" tint="-0.499984740745262"/>
        </patternFill>
      </fill>
      <alignment horizontal="center" textRotation="0" indent="0" justifyLastLine="0" shrinkToFit="0" readingOrder="0"/>
    </dxf>
    <dxf>
      <font>
        <i val="0"/>
      </font>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64" formatCode="0000"/>
      <alignment horizontal="center" vertical="center" textRotation="0" indent="0" justifyLastLine="0" shrinkToFit="0" readingOrder="0"/>
    </dxf>
    <dxf>
      <alignment horizontal="left" vertical="center" textRotation="0" wrapText="1" indent="0" justifyLastLine="0" shrinkToFit="0" readingOrder="0"/>
      <border diagonalUp="0" diagonalDown="0" outline="0">
        <left style="thin">
          <color indexed="64"/>
        </left>
        <right/>
        <top style="thin">
          <color indexed="64"/>
        </top>
        <bottom style="thin">
          <color indexed="64"/>
        </bottom>
      </border>
    </dxf>
    <dxf>
      <font>
        <b/>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2"/>
        <color theme="0"/>
        <name val="Calibri"/>
        <scheme val="minor"/>
      </font>
      <fill>
        <patternFill patternType="solid">
          <fgColor indexed="64"/>
          <bgColor theme="2" tint="-0.499984740745262"/>
        </patternFill>
      </fill>
      <alignment horizontal="center" textRotation="0" indent="0" justifyLastLine="0" shrinkToFit="0" readingOrder="0"/>
    </dxf>
    <dxf>
      <font>
        <i val="0"/>
      </font>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64" formatCode="0000"/>
      <alignment horizontal="center" vertical="center" textRotation="0" indent="0" justifyLastLine="0" shrinkToFit="0" readingOrder="0"/>
    </dxf>
    <dxf>
      <alignment horizontal="left" vertical="center" textRotation="0" wrapText="1" indent="0" justifyLastLine="0" shrinkToFit="0" readingOrder="0"/>
      <border diagonalUp="0" diagonalDown="0" outline="0">
        <left style="thin">
          <color indexed="64"/>
        </left>
        <right/>
        <top style="thin">
          <color indexed="64"/>
        </top>
        <bottom style="thin">
          <color indexed="64"/>
        </bottom>
      </border>
    </dxf>
    <dxf>
      <font>
        <b/>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2"/>
        <color theme="0"/>
        <name val="Calibri"/>
        <scheme val="minor"/>
      </font>
      <fill>
        <patternFill patternType="solid">
          <fgColor indexed="64"/>
          <bgColor theme="2" tint="-0.499984740745262"/>
        </patternFill>
      </fill>
      <alignment horizontal="center" textRotation="0" indent="0" justifyLastLine="0" shrinkToFit="0" readingOrder="0"/>
    </dxf>
    <dxf>
      <font>
        <i val="0"/>
      </font>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64" formatCode="0000"/>
      <alignment horizontal="center" vertical="center" textRotation="0" indent="0" justifyLastLine="0" shrinkToFit="0" readingOrder="0"/>
    </dxf>
    <dxf>
      <alignment horizontal="left" vertical="center" textRotation="0" wrapText="1" indent="0" justifyLastLine="0" shrinkToFit="0" readingOrder="0"/>
      <border diagonalUp="0" diagonalDown="0" outline="0">
        <left style="thin">
          <color indexed="64"/>
        </left>
        <right/>
        <top style="thin">
          <color indexed="64"/>
        </top>
        <bottom style="thin">
          <color indexed="64"/>
        </bottom>
      </border>
    </dxf>
    <dxf>
      <font>
        <b/>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2"/>
        <color theme="0"/>
        <name val="Calibri"/>
        <scheme val="minor"/>
      </font>
      <fill>
        <patternFill patternType="solid">
          <fgColor indexed="64"/>
          <bgColor theme="2" tint="-0.499984740745262"/>
        </patternFill>
      </fill>
      <alignment horizontal="center" textRotation="0" indent="0" justifyLastLine="0" shrinkToFit="0" readingOrder="0"/>
    </dxf>
    <dxf>
      <font>
        <i val="0"/>
      </font>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64" formatCode="0000"/>
      <alignment horizontal="center" vertical="center" textRotation="0" indent="0" justifyLastLine="0" shrinkToFit="0" readingOrder="0"/>
    </dxf>
    <dxf>
      <alignment horizontal="left" vertical="center" textRotation="0" wrapText="1" indent="0" justifyLastLine="0" shrinkToFit="0" readingOrder="0"/>
      <border diagonalUp="0" diagonalDown="0" outline="0">
        <left style="thin">
          <color indexed="64"/>
        </left>
        <right/>
        <top style="thin">
          <color indexed="64"/>
        </top>
        <bottom style="thin">
          <color indexed="64"/>
        </bottom>
      </border>
    </dxf>
    <dxf>
      <font>
        <b/>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2"/>
        <color theme="0"/>
        <name val="Calibri"/>
        <scheme val="minor"/>
      </font>
      <fill>
        <patternFill patternType="solid">
          <fgColor indexed="64"/>
          <bgColor theme="2" tint="-0.499984740745262"/>
        </patternFill>
      </fill>
      <alignment horizontal="center" textRotation="0" indent="0" justifyLastLine="0" shrinkToFit="0" readingOrder="0"/>
    </dxf>
    <dxf>
      <font>
        <i val="0"/>
      </font>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64" formatCode="0000"/>
      <alignment horizontal="center" vertical="center" textRotation="0" indent="0" justifyLastLine="0" shrinkToFit="0" readingOrder="0"/>
    </dxf>
    <dxf>
      <alignment horizontal="left" vertical="center" textRotation="0" wrapText="1" indent="0" justifyLastLine="0" shrinkToFit="0" readingOrder="0"/>
      <border diagonalUp="0" diagonalDown="0" outline="0">
        <left style="thin">
          <color indexed="64"/>
        </left>
        <right/>
        <top style="thin">
          <color indexed="64"/>
        </top>
        <bottom style="thin">
          <color indexed="64"/>
        </bottom>
      </border>
    </dxf>
    <dxf>
      <font>
        <b/>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2"/>
        <color theme="0"/>
        <name val="Calibri"/>
        <scheme val="minor"/>
      </font>
      <fill>
        <patternFill patternType="solid">
          <fgColor indexed="64"/>
          <bgColor theme="2" tint="-0.499984740745262"/>
        </patternFill>
      </fill>
      <alignment horizontal="center" textRotation="0" indent="0" justifyLastLine="0" shrinkToFit="0" readingOrder="0"/>
    </dxf>
    <dxf>
      <font>
        <i val="0"/>
      </font>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64" formatCode="0000"/>
      <alignment horizontal="center" vertical="center" textRotation="0" indent="0" justifyLastLine="0" shrinkToFit="0" readingOrder="0"/>
    </dxf>
    <dxf>
      <alignment horizontal="left" vertical="center" textRotation="0" wrapText="1" indent="0" justifyLastLine="0" shrinkToFit="0" readingOrder="0"/>
      <border diagonalUp="0" diagonalDown="0" outline="0">
        <left style="thin">
          <color indexed="64"/>
        </left>
        <right/>
        <top style="thin">
          <color indexed="64"/>
        </top>
        <bottom style="thin">
          <color indexed="64"/>
        </bottom>
      </border>
    </dxf>
    <dxf>
      <font>
        <b/>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2"/>
        <color theme="0"/>
        <name val="Calibri"/>
        <scheme val="minor"/>
      </font>
      <fill>
        <patternFill patternType="solid">
          <fgColor indexed="64"/>
          <bgColor theme="2" tint="-0.499984740745262"/>
        </patternFill>
      </fill>
      <alignment horizontal="center" textRotation="0" indent="0" justifyLastLine="0" shrinkToFit="0" readingOrder="0"/>
    </dxf>
    <dxf>
      <font>
        <i val="0"/>
      </font>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64" formatCode="0000"/>
      <alignment horizontal="center" vertical="center" textRotation="0" indent="0" justifyLastLine="0" shrinkToFit="0" readingOrder="0"/>
    </dxf>
    <dxf>
      <alignment horizontal="left" vertical="center" textRotation="0" wrapText="1" indent="0" justifyLastLine="0" shrinkToFit="0" readingOrder="0"/>
      <border diagonalUp="0" diagonalDown="0" outline="0">
        <left style="thin">
          <color indexed="64"/>
        </left>
        <right/>
        <top style="thin">
          <color indexed="64"/>
        </top>
        <bottom style="thin">
          <color indexed="64"/>
        </bottom>
      </border>
    </dxf>
    <dxf>
      <font>
        <b/>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2"/>
        <color theme="0"/>
        <name val="Calibri"/>
        <scheme val="minor"/>
      </font>
      <fill>
        <patternFill patternType="solid">
          <fgColor indexed="64"/>
          <bgColor theme="2" tint="-0.499984740745262"/>
        </patternFill>
      </fill>
      <alignment horizontal="center" textRotation="0" indent="0" justifyLastLine="0" shrinkToFit="0" readingOrder="0"/>
    </dxf>
    <dxf>
      <font>
        <i val="0"/>
      </font>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64" formatCode="0000"/>
      <alignment horizontal="center" vertical="center" textRotation="0" indent="0" justifyLastLine="0" shrinkToFit="0" readingOrder="0"/>
    </dxf>
    <dxf>
      <alignment horizontal="left" vertical="center" textRotation="0" wrapText="1" indent="0" justifyLastLine="0" shrinkToFit="0" readingOrder="0"/>
      <border diagonalUp="0" diagonalDown="0" outline="0">
        <left style="thin">
          <color indexed="64"/>
        </left>
        <right/>
        <top style="thin">
          <color indexed="64"/>
        </top>
        <bottom style="thin">
          <color indexed="64"/>
        </bottom>
      </border>
    </dxf>
    <dxf>
      <font>
        <b/>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2"/>
        <color theme="0"/>
        <name val="Calibri"/>
        <scheme val="minor"/>
      </font>
      <fill>
        <patternFill patternType="solid">
          <fgColor indexed="64"/>
          <bgColor theme="2" tint="-0.499984740745262"/>
        </patternFill>
      </fill>
      <alignment horizontal="center" textRotation="0" indent="0" justifyLastLine="0" shrinkToFit="0" readingOrder="0"/>
    </dxf>
    <dxf>
      <font>
        <i val="0"/>
      </font>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64" formatCode="0000"/>
      <alignment horizontal="center" vertical="center" textRotation="0" indent="0" justifyLastLine="0" shrinkToFit="0" readingOrder="0"/>
    </dxf>
    <dxf>
      <alignment horizontal="left" vertical="center" textRotation="0" wrapText="1" indent="0" justifyLastLine="0" shrinkToFit="0" readingOrder="0"/>
      <border diagonalUp="0" diagonalDown="0" outline="0">
        <left style="thin">
          <color indexed="64"/>
        </left>
        <right/>
        <top style="thin">
          <color indexed="64"/>
        </top>
        <bottom style="thin">
          <color indexed="64"/>
        </bottom>
      </border>
    </dxf>
    <dxf>
      <font>
        <b/>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2"/>
        <color theme="0"/>
        <name val="Calibri"/>
        <scheme val="minor"/>
      </font>
      <fill>
        <patternFill patternType="solid">
          <fgColor indexed="64"/>
          <bgColor theme="2" tint="-0.499984740745262"/>
        </patternFill>
      </fill>
      <alignment horizontal="center" textRotation="0" indent="0" justifyLastLine="0" shrinkToFit="0" readingOrder="0"/>
    </dxf>
    <dxf>
      <font>
        <i val="0"/>
      </font>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64" formatCode="0000"/>
      <alignment horizontal="center" vertical="center" textRotation="0" indent="0" justifyLastLine="0" shrinkToFit="0" readingOrder="0"/>
    </dxf>
    <dxf>
      <alignment horizontal="left" vertical="center" textRotation="0" wrapText="1" indent="0" justifyLastLine="0" shrinkToFit="0" readingOrder="0"/>
      <border diagonalUp="0" diagonalDown="0" outline="0">
        <left style="thin">
          <color indexed="64"/>
        </left>
        <right/>
        <top style="thin">
          <color indexed="64"/>
        </top>
        <bottom style="thin">
          <color indexed="64"/>
        </bottom>
      </border>
    </dxf>
    <dxf>
      <font>
        <b/>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2"/>
        <color theme="0"/>
        <name val="Calibri"/>
        <scheme val="minor"/>
      </font>
      <fill>
        <patternFill patternType="solid">
          <fgColor indexed="64"/>
          <bgColor theme="2" tint="-0.499984740745262"/>
        </patternFill>
      </fill>
      <alignment horizontal="center" textRotation="0" indent="0" justifyLastLine="0" shrinkToFit="0" readingOrder="0"/>
    </dxf>
    <dxf>
      <font>
        <i val="0"/>
      </font>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64" formatCode="0000"/>
      <alignment horizontal="center" vertical="center" textRotation="0" indent="0" justifyLastLine="0" shrinkToFit="0" readingOrder="0"/>
    </dxf>
    <dxf>
      <alignment horizontal="left" vertical="center" textRotation="0" wrapText="1" indent="0" justifyLastLine="0" shrinkToFit="0" readingOrder="0"/>
      <border diagonalUp="0" diagonalDown="0" outline="0">
        <left style="thin">
          <color indexed="64"/>
        </left>
        <right/>
        <top style="thin">
          <color indexed="64"/>
        </top>
        <bottom style="thin">
          <color indexed="64"/>
        </bottom>
      </border>
    </dxf>
    <dxf>
      <font>
        <b/>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2"/>
        <color theme="0"/>
        <name val="Calibri"/>
        <scheme val="minor"/>
      </font>
      <fill>
        <patternFill patternType="solid">
          <fgColor indexed="64"/>
          <bgColor theme="2" tint="-0.499984740745262"/>
        </patternFill>
      </fill>
      <alignment horizontal="center" textRotation="0" indent="0" justifyLastLine="0" shrinkToFit="0" readingOrder="0"/>
    </dxf>
    <dxf>
      <font>
        <i val="0"/>
      </font>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64" formatCode="0000"/>
      <alignment horizontal="center" vertical="center" textRotation="0" indent="0" justifyLastLine="0" shrinkToFit="0" readingOrder="0"/>
    </dxf>
    <dxf>
      <alignment horizontal="left" vertical="center" textRotation="0" wrapText="1" indent="0" justifyLastLine="0" shrinkToFit="0" readingOrder="0"/>
      <border diagonalUp="0" diagonalDown="0" outline="0">
        <left style="thin">
          <color indexed="64"/>
        </left>
        <right/>
        <top style="thin">
          <color indexed="64"/>
        </top>
        <bottom style="thin">
          <color indexed="64"/>
        </bottom>
      </border>
    </dxf>
    <dxf>
      <font>
        <b/>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2"/>
        <color theme="0"/>
        <name val="Calibri"/>
        <scheme val="minor"/>
      </font>
      <fill>
        <patternFill patternType="solid">
          <fgColor indexed="64"/>
          <bgColor theme="2" tint="-0.499984740745262"/>
        </patternFill>
      </fill>
      <alignment horizontal="center" textRotation="0" indent="0" justifyLastLine="0" shrinkToFit="0" readingOrder="0"/>
    </dxf>
    <dxf>
      <font>
        <i val="0"/>
      </font>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64" formatCode="0000"/>
      <alignment horizontal="center" vertical="center" textRotation="0" indent="0" justifyLastLine="0" shrinkToFit="0" readingOrder="0"/>
    </dxf>
    <dxf>
      <alignment horizontal="left" vertical="center" textRotation="0" wrapText="1" indent="0" justifyLastLine="0" shrinkToFit="0" readingOrder="0"/>
      <border diagonalUp="0" diagonalDown="0" outline="0">
        <left style="thin">
          <color indexed="64"/>
        </left>
        <right/>
        <top style="thin">
          <color indexed="64"/>
        </top>
        <bottom style="thin">
          <color indexed="64"/>
        </bottom>
      </border>
    </dxf>
    <dxf>
      <font>
        <b/>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2"/>
        <color theme="0"/>
        <name val="Calibri"/>
        <scheme val="minor"/>
      </font>
      <fill>
        <patternFill patternType="solid">
          <fgColor indexed="64"/>
          <bgColor theme="2" tint="-0.499984740745262"/>
        </patternFill>
      </fill>
      <alignment horizontal="center" textRotation="0" indent="0" justifyLastLine="0" shrinkToFit="0" readingOrder="0"/>
    </dxf>
    <dxf>
      <font>
        <i val="0"/>
      </font>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64" formatCode="0000"/>
      <alignment horizontal="center" vertical="center" textRotation="0" indent="0" justifyLastLine="0" shrinkToFit="0" readingOrder="0"/>
    </dxf>
    <dxf>
      <alignment horizontal="left" vertical="center" textRotation="0" wrapText="1" indent="0" justifyLastLine="0" shrinkToFit="0" readingOrder="0"/>
      <border diagonalUp="0" diagonalDown="0" outline="0">
        <left style="thin">
          <color indexed="64"/>
        </left>
        <right/>
        <top style="thin">
          <color indexed="64"/>
        </top>
        <bottom style="thin">
          <color indexed="64"/>
        </bottom>
      </border>
    </dxf>
    <dxf>
      <font>
        <b/>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2"/>
        <color theme="0"/>
        <name val="Calibri"/>
        <scheme val="minor"/>
      </font>
      <fill>
        <patternFill patternType="solid">
          <fgColor indexed="64"/>
          <bgColor theme="2" tint="-0.499984740745262"/>
        </patternFill>
      </fill>
      <alignment horizontal="center" textRotation="0" indent="0" justifyLastLine="0" shrinkToFit="0" readingOrder="0"/>
    </dxf>
    <dxf>
      <font>
        <i val="0"/>
      </font>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64" formatCode="0000"/>
      <alignment horizontal="center" vertical="center" textRotation="0" indent="0" justifyLastLine="0" shrinkToFit="0" readingOrder="0"/>
    </dxf>
    <dxf>
      <alignment horizontal="left" vertical="center" textRotation="0" wrapText="1" indent="0" justifyLastLine="0" shrinkToFit="0" readingOrder="0"/>
      <border diagonalUp="0" diagonalDown="0" outline="0">
        <left style="thin">
          <color indexed="64"/>
        </left>
        <right/>
        <top style="thin">
          <color indexed="64"/>
        </top>
        <bottom style="thin">
          <color indexed="64"/>
        </bottom>
      </border>
    </dxf>
    <dxf>
      <font>
        <b/>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2"/>
        <color theme="0"/>
        <name val="Calibri"/>
        <scheme val="minor"/>
      </font>
      <fill>
        <patternFill patternType="solid">
          <fgColor indexed="64"/>
          <bgColor theme="2" tint="-0.499984740745262"/>
        </patternFill>
      </fill>
      <alignment horizontal="center" textRotation="0" indent="0" justifyLastLine="0" shrinkToFit="0" readingOrder="0"/>
    </dxf>
    <dxf>
      <font>
        <i val="0"/>
      </font>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64" formatCode="0000"/>
      <alignment horizontal="center" vertical="center" textRotation="0" indent="0" justifyLastLine="0" shrinkToFit="0" readingOrder="0"/>
    </dxf>
    <dxf>
      <alignment horizontal="left" vertical="center" textRotation="0" wrapText="1" indent="0" justifyLastLine="0" shrinkToFit="0" readingOrder="0"/>
      <border diagonalUp="0" diagonalDown="0" outline="0">
        <left style="thin">
          <color indexed="64"/>
        </left>
        <right/>
        <top style="thin">
          <color indexed="64"/>
        </top>
        <bottom style="thin">
          <color indexed="64"/>
        </bottom>
      </border>
    </dxf>
    <dxf>
      <font>
        <b/>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2"/>
        <color theme="0"/>
        <name val="Calibri"/>
        <scheme val="minor"/>
      </font>
      <fill>
        <patternFill patternType="solid">
          <fgColor indexed="64"/>
          <bgColor theme="2" tint="-0.499984740745262"/>
        </patternFill>
      </fill>
      <alignment horizontal="center" textRotation="0" indent="0" justifyLastLine="0" shrinkToFit="0" readingOrder="0"/>
    </dxf>
    <dxf>
      <font>
        <i val="0"/>
      </font>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64" formatCode="0000"/>
      <alignment horizontal="center" vertical="center" textRotation="0" indent="0" justifyLastLine="0" shrinkToFit="0" readingOrder="0"/>
    </dxf>
    <dxf>
      <alignment horizontal="left" vertical="center" textRotation="0" wrapText="1" indent="0" justifyLastLine="0" shrinkToFit="0" readingOrder="0"/>
      <border diagonalUp="0" diagonalDown="0" outline="0">
        <left style="thin">
          <color indexed="64"/>
        </left>
        <right/>
        <top style="thin">
          <color indexed="64"/>
        </top>
        <bottom style="thin">
          <color indexed="64"/>
        </bottom>
      </border>
    </dxf>
    <dxf>
      <font>
        <b/>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2"/>
        <color theme="0"/>
        <name val="Calibri"/>
        <scheme val="minor"/>
      </font>
      <fill>
        <patternFill patternType="solid">
          <fgColor indexed="64"/>
          <bgColor theme="2" tint="-0.499984740745262"/>
        </patternFill>
      </fill>
      <alignment horizontal="center" textRotation="0" indent="0" justifyLastLine="0" shrinkToFit="0" readingOrder="0"/>
    </dxf>
    <dxf>
      <font>
        <i val="0"/>
      </font>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64" formatCode="0000"/>
      <alignment horizontal="center" vertical="center" textRotation="0" indent="0" justifyLastLine="0" shrinkToFit="0" readingOrder="0"/>
    </dxf>
    <dxf>
      <alignment horizontal="left" vertical="center" textRotation="0" wrapText="1" indent="0" justifyLastLine="0" shrinkToFit="0" readingOrder="0"/>
      <border diagonalUp="0" diagonalDown="0" outline="0">
        <left style="thin">
          <color indexed="64"/>
        </left>
        <right/>
        <top style="thin">
          <color indexed="64"/>
        </top>
        <bottom style="thin">
          <color indexed="64"/>
        </bottom>
      </border>
    </dxf>
    <dxf>
      <font>
        <b/>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2"/>
        <color theme="0"/>
        <name val="Calibri"/>
        <scheme val="minor"/>
      </font>
      <fill>
        <patternFill patternType="solid">
          <fgColor indexed="64"/>
          <bgColor theme="2" tint="-0.499984740745262"/>
        </patternFill>
      </fill>
      <alignment horizontal="center" textRotation="0" indent="0" justifyLastLine="0" shrinkToFit="0" readingOrder="0"/>
    </dxf>
    <dxf>
      <font>
        <i val="0"/>
      </font>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64" formatCode="0000"/>
      <alignment horizontal="center" vertical="center" textRotation="0" indent="0" justifyLastLine="0" shrinkToFit="0" readingOrder="0"/>
    </dxf>
    <dxf>
      <alignment horizontal="left" vertical="center" textRotation="0" wrapText="1" indent="0" justifyLastLine="0" shrinkToFit="0" readingOrder="0"/>
      <border diagonalUp="0" diagonalDown="0" outline="0">
        <left style="thin">
          <color indexed="64"/>
        </left>
        <right/>
        <top style="thin">
          <color indexed="64"/>
        </top>
        <bottom style="thin">
          <color indexed="64"/>
        </bottom>
      </border>
    </dxf>
    <dxf>
      <font>
        <b/>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2"/>
        <color theme="0"/>
        <name val="Calibri"/>
        <scheme val="minor"/>
      </font>
      <fill>
        <patternFill patternType="solid">
          <fgColor indexed="64"/>
          <bgColor theme="2" tint="-0.499984740745262"/>
        </patternFill>
      </fill>
      <alignment horizontal="center" textRotation="0" indent="0" justifyLastLine="0" shrinkToFit="0" readingOrder="0"/>
    </dxf>
    <dxf>
      <font>
        <i val="0"/>
      </font>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64" formatCode="0000"/>
      <alignment horizontal="center" vertical="center" textRotation="0" indent="0" justifyLastLine="0" shrinkToFit="0" readingOrder="0"/>
    </dxf>
    <dxf>
      <alignment horizontal="left" vertical="center" textRotation="0" wrapText="1" indent="0" justifyLastLine="0" shrinkToFit="0" readingOrder="0"/>
      <border diagonalUp="0" diagonalDown="0" outline="0">
        <left style="thin">
          <color indexed="64"/>
        </left>
        <right/>
        <top style="thin">
          <color indexed="64"/>
        </top>
        <bottom style="thin">
          <color indexed="64"/>
        </bottom>
      </border>
    </dxf>
    <dxf>
      <font>
        <b/>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2"/>
        <color theme="0"/>
        <name val="Calibri"/>
        <scheme val="minor"/>
      </font>
      <fill>
        <patternFill patternType="solid">
          <fgColor indexed="64"/>
          <bgColor theme="2" tint="-0.499984740745262"/>
        </patternFill>
      </fill>
      <alignment horizontal="center" textRotation="0" indent="0" justifyLastLine="0" shrinkToFit="0" readingOrder="0"/>
    </dxf>
    <dxf>
      <font>
        <i val="0"/>
      </font>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64" formatCode="0000"/>
      <alignment horizontal="center" vertical="center" textRotation="0" indent="0" justifyLastLine="0" shrinkToFit="0" readingOrder="0"/>
    </dxf>
    <dxf>
      <alignment horizontal="left" vertical="center" textRotation="0" wrapText="1" indent="0" justifyLastLine="0" shrinkToFit="0" readingOrder="0"/>
      <border diagonalUp="0" diagonalDown="0" outline="0">
        <left style="thin">
          <color indexed="64"/>
        </left>
        <right/>
        <top style="thin">
          <color indexed="64"/>
        </top>
        <bottom style="thin">
          <color indexed="64"/>
        </bottom>
      </border>
    </dxf>
    <dxf>
      <font>
        <b/>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2"/>
        <color theme="0"/>
        <name val="Calibri"/>
        <scheme val="minor"/>
      </font>
      <fill>
        <patternFill patternType="solid">
          <fgColor indexed="64"/>
          <bgColor theme="2" tint="-0.499984740745262"/>
        </patternFill>
      </fill>
      <alignment horizontal="center" textRotation="0" indent="0" justifyLastLine="0" shrinkToFit="0" readingOrder="0"/>
    </dxf>
    <dxf>
      <font>
        <i val="0"/>
      </font>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64" formatCode="0000"/>
      <alignment horizontal="center" vertical="center" textRotation="0" indent="0" justifyLastLine="0" shrinkToFit="0" readingOrder="0"/>
    </dxf>
    <dxf>
      <alignment horizontal="left" vertical="center" textRotation="0" wrapText="1" indent="0" justifyLastLine="0" shrinkToFit="0" readingOrder="0"/>
      <border diagonalUp="0" diagonalDown="0" outline="0">
        <left style="thin">
          <color indexed="64"/>
        </left>
        <right/>
        <top style="thin">
          <color indexed="64"/>
        </top>
        <bottom style="thin">
          <color indexed="64"/>
        </bottom>
      </border>
    </dxf>
    <dxf>
      <font>
        <b/>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2"/>
        <color theme="0"/>
        <name val="Calibri"/>
        <scheme val="minor"/>
      </font>
      <fill>
        <patternFill patternType="solid">
          <fgColor indexed="64"/>
          <bgColor theme="2" tint="-0.499984740745262"/>
        </patternFill>
      </fill>
      <alignment horizontal="center" textRotation="0" indent="0" justifyLastLine="0" shrinkToFit="0" readingOrder="0"/>
    </dxf>
    <dxf>
      <font>
        <i val="0"/>
      </font>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64" formatCode="0000"/>
      <alignment horizontal="center" vertical="center" textRotation="0" indent="0" justifyLastLine="0" shrinkToFit="0" readingOrder="0"/>
    </dxf>
    <dxf>
      <alignment horizontal="left" vertical="center" textRotation="0" wrapText="1" indent="0" justifyLastLine="0" shrinkToFit="0" readingOrder="0"/>
      <border diagonalUp="0" diagonalDown="0" outline="0">
        <left style="thin">
          <color indexed="64"/>
        </left>
        <right/>
        <top style="thin">
          <color indexed="64"/>
        </top>
        <bottom style="thin">
          <color indexed="64"/>
        </bottom>
      </border>
    </dxf>
    <dxf>
      <font>
        <b/>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2"/>
        <color theme="0"/>
        <name val="Calibri"/>
        <scheme val="minor"/>
      </font>
      <fill>
        <patternFill patternType="solid">
          <fgColor indexed="64"/>
          <bgColor theme="2" tint="-0.499984740745262"/>
        </patternFill>
      </fill>
      <alignment horizontal="center" textRotation="0" indent="0" justifyLastLine="0" shrinkToFit="0" readingOrder="0"/>
    </dxf>
    <dxf>
      <font>
        <i val="0"/>
      </font>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64" formatCode="0000"/>
      <alignment horizontal="center" vertical="center" textRotation="0" indent="0" justifyLastLine="0" shrinkToFit="0" readingOrder="0"/>
    </dxf>
    <dxf>
      <alignment horizontal="left" vertical="center" textRotation="0" wrapText="1" indent="0" justifyLastLine="0" shrinkToFit="0" readingOrder="0"/>
      <border diagonalUp="0" diagonalDown="0" outline="0">
        <left style="thin">
          <color indexed="64"/>
        </left>
        <right/>
        <top style="thin">
          <color indexed="64"/>
        </top>
        <bottom style="thin">
          <color indexed="64"/>
        </bottom>
      </border>
    </dxf>
    <dxf>
      <font>
        <b/>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2"/>
        <color theme="0"/>
        <name val="Calibri"/>
        <scheme val="minor"/>
      </font>
      <fill>
        <patternFill patternType="solid">
          <fgColor indexed="64"/>
          <bgColor theme="2" tint="-0.499984740745262"/>
        </patternFill>
      </fill>
      <alignment horizontal="center" textRotation="0" indent="0" justifyLastLine="0" shrinkToFit="0" readingOrder="0"/>
    </dxf>
    <dxf>
      <font>
        <i val="0"/>
      </font>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64" formatCode="0000"/>
      <alignment horizontal="center" vertical="center" textRotation="0" indent="0" justifyLastLine="0" shrinkToFit="0" readingOrder="0"/>
    </dxf>
    <dxf>
      <alignment horizontal="left" vertical="center" textRotation="0" wrapText="1" indent="0" justifyLastLine="0" shrinkToFit="0" readingOrder="0"/>
      <border diagonalUp="0" diagonalDown="0" outline="0">
        <left style="thin">
          <color indexed="64"/>
        </left>
        <right/>
        <top style="thin">
          <color indexed="64"/>
        </top>
        <bottom style="thin">
          <color indexed="64"/>
        </bottom>
      </border>
    </dxf>
    <dxf>
      <font>
        <b/>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2"/>
        <color theme="0"/>
        <name val="Calibri"/>
        <scheme val="minor"/>
      </font>
      <fill>
        <patternFill patternType="solid">
          <fgColor indexed="64"/>
          <bgColor theme="2" tint="-0.499984740745262"/>
        </patternFill>
      </fill>
      <alignment horizontal="center" textRotation="0" indent="0" justifyLastLine="0" shrinkToFit="0" readingOrder="0"/>
    </dxf>
    <dxf>
      <font>
        <i val="0"/>
      </font>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64" formatCode="0000"/>
      <alignment horizontal="center" vertical="center" textRotation="0" indent="0" justifyLastLine="0" shrinkToFit="0" readingOrder="0"/>
    </dxf>
    <dxf>
      <alignment horizontal="left" vertical="center" textRotation="0" wrapText="1" indent="0" justifyLastLine="0" shrinkToFit="0" readingOrder="0"/>
      <border diagonalUp="0" diagonalDown="0" outline="0">
        <left style="thin">
          <color indexed="64"/>
        </left>
        <right/>
        <top style="thin">
          <color indexed="64"/>
        </top>
        <bottom style="thin">
          <color indexed="64"/>
        </bottom>
      </border>
    </dxf>
    <dxf>
      <font>
        <b/>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2"/>
        <color theme="0"/>
        <name val="Calibri"/>
        <scheme val="minor"/>
      </font>
      <fill>
        <patternFill patternType="solid">
          <fgColor indexed="64"/>
          <bgColor theme="2" tint="-0.499984740745262"/>
        </patternFill>
      </fill>
      <alignment horizontal="center" textRotation="0" indent="0" justifyLastLine="0" shrinkToFit="0" readingOrder="0"/>
    </dxf>
    <dxf>
      <font>
        <i val="0"/>
      </font>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64" formatCode="0000"/>
      <alignment horizontal="center" vertical="center" textRotation="0" indent="0" justifyLastLine="0" shrinkToFit="0" readingOrder="0"/>
    </dxf>
    <dxf>
      <alignment horizontal="left" vertical="center" textRotation="0" wrapText="1" indent="0" justifyLastLine="0" shrinkToFit="0" readingOrder="0"/>
      <border diagonalUp="0" diagonalDown="0" outline="0">
        <left style="thin">
          <color indexed="64"/>
        </left>
        <right/>
        <top style="thin">
          <color indexed="64"/>
        </top>
        <bottom style="thin">
          <color indexed="64"/>
        </bottom>
      </border>
    </dxf>
    <dxf>
      <font>
        <b/>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2"/>
        <color theme="0"/>
        <name val="Calibri"/>
        <scheme val="minor"/>
      </font>
      <fill>
        <patternFill patternType="solid">
          <fgColor indexed="64"/>
          <bgColor theme="2" tint="-0.499984740745262"/>
        </patternFill>
      </fill>
      <alignment horizontal="center" textRotation="0" indent="0" justifyLastLine="0" shrinkToFit="0" readingOrder="0"/>
    </dxf>
    <dxf>
      <font>
        <i val="0"/>
      </font>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64" formatCode="0000"/>
      <alignment horizontal="center" vertical="center" textRotation="0" indent="0" justifyLastLine="0" shrinkToFit="0" readingOrder="0"/>
    </dxf>
    <dxf>
      <alignment horizontal="left" vertical="center" textRotation="0" wrapText="1" indent="0" justifyLastLine="0" shrinkToFit="0" readingOrder="0"/>
      <border diagonalUp="0" diagonalDown="0" outline="0">
        <left style="thin">
          <color indexed="64"/>
        </left>
        <right/>
        <top style="thin">
          <color indexed="64"/>
        </top>
        <bottom style="thin">
          <color indexed="64"/>
        </bottom>
      </border>
    </dxf>
    <dxf>
      <font>
        <b/>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2"/>
        <color theme="0"/>
        <name val="Calibri"/>
        <scheme val="minor"/>
      </font>
      <fill>
        <patternFill patternType="solid">
          <fgColor indexed="64"/>
          <bgColor theme="2" tint="-0.499984740745262"/>
        </patternFill>
      </fill>
      <alignment horizontal="center" textRotation="0" indent="0" justifyLastLine="0" shrinkToFit="0" readingOrder="0"/>
    </dxf>
    <dxf>
      <font>
        <i val="0"/>
      </font>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64" formatCode="0000"/>
      <alignment horizontal="center" vertical="center" textRotation="0" indent="0" justifyLastLine="0" shrinkToFit="0" readingOrder="0"/>
    </dxf>
    <dxf>
      <alignment horizontal="left" vertical="center" textRotation="0" wrapText="1" indent="0" justifyLastLine="0" shrinkToFit="0" readingOrder="0"/>
      <border diagonalUp="0" diagonalDown="0" outline="0">
        <left style="thin">
          <color indexed="64"/>
        </left>
        <right/>
        <top style="thin">
          <color indexed="64"/>
        </top>
        <bottom style="thin">
          <color indexed="64"/>
        </bottom>
      </border>
    </dxf>
    <dxf>
      <font>
        <b/>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2"/>
        <color theme="0"/>
        <name val="Calibri"/>
        <scheme val="minor"/>
      </font>
      <fill>
        <patternFill patternType="solid">
          <fgColor indexed="64"/>
          <bgColor theme="2" tint="-0.499984740745262"/>
        </patternFill>
      </fill>
      <alignment horizontal="center" textRotation="0" indent="0" justifyLastLine="0" shrinkToFit="0" readingOrder="0"/>
    </dxf>
    <dxf>
      <font>
        <i val="0"/>
      </font>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64" formatCode="0000"/>
      <alignment horizontal="center" vertical="center" textRotation="0" indent="0" justifyLastLine="0" shrinkToFit="0" readingOrder="0"/>
    </dxf>
    <dxf>
      <alignment horizontal="left" vertical="center" textRotation="0" wrapText="1" indent="0" justifyLastLine="0" shrinkToFit="0" readingOrder="0"/>
      <border diagonalUp="0" diagonalDown="0" outline="0">
        <left style="thin">
          <color indexed="64"/>
        </left>
        <right/>
        <top style="thin">
          <color indexed="64"/>
        </top>
        <bottom style="thin">
          <color indexed="64"/>
        </bottom>
      </border>
    </dxf>
    <dxf>
      <font>
        <b/>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2"/>
        <color theme="0"/>
        <name val="Calibri"/>
        <scheme val="minor"/>
      </font>
      <fill>
        <patternFill patternType="solid">
          <fgColor indexed="64"/>
          <bgColor theme="2" tint="-0.499984740745262"/>
        </patternFill>
      </fill>
      <alignment horizontal="center" textRotation="0" indent="0" justifyLastLine="0" shrinkToFit="0" readingOrder="0"/>
    </dxf>
    <dxf>
      <font>
        <i val="0"/>
      </font>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64" formatCode="0000"/>
      <alignment horizontal="center" vertical="center" textRotation="0" indent="0" justifyLastLine="0" shrinkToFit="0" readingOrder="0"/>
    </dxf>
    <dxf>
      <alignment horizontal="left" vertical="center" textRotation="0" wrapText="1" indent="0" justifyLastLine="0" shrinkToFit="0" readingOrder="0"/>
      <border diagonalUp="0" diagonalDown="0" outline="0">
        <left style="thin">
          <color indexed="64"/>
        </left>
        <right/>
        <top style="thin">
          <color indexed="64"/>
        </top>
        <bottom style="thin">
          <color indexed="64"/>
        </bottom>
      </border>
    </dxf>
    <dxf>
      <font>
        <b/>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2"/>
        <color theme="0"/>
        <name val="Calibri"/>
        <scheme val="minor"/>
      </font>
      <fill>
        <patternFill patternType="solid">
          <fgColor indexed="64"/>
          <bgColor theme="2" tint="-0.499984740745262"/>
        </patternFill>
      </fill>
      <alignment horizontal="center" textRotation="0" indent="0" justifyLastLine="0" shrinkToFit="0" readingOrder="0"/>
    </dxf>
    <dxf>
      <font>
        <i val="0"/>
      </font>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64" formatCode="0000"/>
      <alignment horizontal="center" vertical="center" textRotation="0" indent="0" justifyLastLine="0" shrinkToFit="0" readingOrder="0"/>
    </dxf>
    <dxf>
      <alignment horizontal="left" vertical="center" textRotation="0" wrapText="1" indent="0" justifyLastLine="0" shrinkToFit="0" readingOrder="0"/>
      <border diagonalUp="0" diagonalDown="0" outline="0">
        <left style="thin">
          <color indexed="64"/>
        </left>
        <right/>
        <top style="thin">
          <color indexed="64"/>
        </top>
        <bottom style="thin">
          <color indexed="64"/>
        </bottom>
      </border>
    </dxf>
    <dxf>
      <font>
        <b/>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2"/>
        <color theme="0"/>
        <name val="Calibri"/>
        <scheme val="minor"/>
      </font>
      <fill>
        <patternFill patternType="solid">
          <fgColor indexed="64"/>
          <bgColor theme="2" tint="-0.499984740745262"/>
        </patternFill>
      </fill>
      <alignment horizontal="center" textRotation="0" indent="0" justifyLastLine="0" shrinkToFit="0" readingOrder="0"/>
    </dxf>
    <dxf>
      <font>
        <i val="0"/>
      </font>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64" formatCode="0000"/>
      <alignment horizontal="center" vertical="center" textRotation="0" indent="0" justifyLastLine="0" shrinkToFit="0" readingOrder="0"/>
    </dxf>
    <dxf>
      <alignment horizontal="left" vertical="center" textRotation="0" wrapText="1" indent="0" justifyLastLine="0" shrinkToFit="0" readingOrder="0"/>
      <border diagonalUp="0" diagonalDown="0" outline="0">
        <left style="thin">
          <color indexed="64"/>
        </left>
        <right/>
        <top style="thin">
          <color indexed="64"/>
        </top>
        <bottom style="thin">
          <color indexed="64"/>
        </bottom>
      </border>
    </dxf>
    <dxf>
      <font>
        <b/>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2"/>
        <color theme="0"/>
        <name val="Calibri"/>
        <scheme val="minor"/>
      </font>
      <fill>
        <patternFill patternType="solid">
          <fgColor indexed="64"/>
          <bgColor theme="2" tint="-0.499984740745262"/>
        </patternFill>
      </fill>
      <alignment horizontal="center" textRotation="0" indent="0" justifyLastLine="0" shrinkToFit="0" readingOrder="0"/>
    </dxf>
    <dxf>
      <font>
        <i val="0"/>
      </font>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64" formatCode="0000"/>
      <alignment horizontal="center" vertical="center" textRotation="0" indent="0" justifyLastLine="0" shrinkToFit="0" readingOrder="0"/>
    </dxf>
    <dxf>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2"/>
        <color theme="0"/>
        <name val="Calibri"/>
        <scheme val="minor"/>
      </font>
      <fill>
        <patternFill patternType="solid">
          <fgColor indexed="64"/>
          <bgColor theme="2" tint="-0.499984740745262"/>
        </patternFill>
      </fill>
      <alignment horizontal="center" textRotation="0" indent="0" justifyLastLine="0" shrinkToFit="0" readingOrder="0"/>
    </dxf>
    <dxf>
      <font>
        <i val="0"/>
      </font>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64" formatCode="0000"/>
      <alignment horizontal="center" vertical="center" textRotation="0" indent="0" justifyLastLine="0" shrinkToFit="0" readingOrder="0"/>
    </dxf>
    <dxf>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2"/>
        <color theme="0"/>
        <name val="Calibri"/>
        <scheme val="minor"/>
      </font>
      <fill>
        <patternFill patternType="solid">
          <fgColor indexed="64"/>
          <bgColor theme="2" tint="-0.499984740745262"/>
        </patternFill>
      </fill>
      <alignment horizontal="center" textRotation="0" indent="0" justifyLastLine="0" shrinkToFit="0" readingOrder="0"/>
    </dxf>
    <dxf>
      <font>
        <i val="0"/>
      </font>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64" formatCode="0000"/>
      <alignment horizontal="center" vertical="center" textRotation="0" indent="0" justifyLastLine="0" shrinkToFit="0" readingOrder="0"/>
    </dxf>
    <dxf>
      <alignment horizontal="left" vertical="center" textRotation="0" wrapText="1" indent="0" justifyLastLine="0" shrinkToFit="0" readingOrder="0"/>
      <border diagonalUp="0" diagonalDown="0" outline="0">
        <left style="thin">
          <color indexed="64"/>
        </left>
        <right/>
        <top style="thin">
          <color indexed="64"/>
        </top>
        <bottom style="thin">
          <color indexed="64"/>
        </bottom>
      </border>
    </dxf>
    <dxf>
      <font>
        <b/>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2"/>
        <color theme="0"/>
        <name val="Calibri"/>
        <scheme val="minor"/>
      </font>
      <fill>
        <patternFill patternType="solid">
          <fgColor indexed="64"/>
          <bgColor theme="2" tint="-0.499984740745262"/>
        </patternFill>
      </fill>
      <alignment horizontal="center" textRotation="0" indent="0" justifyLastLine="0" shrinkToFit="0" readingOrder="0"/>
    </dxf>
    <dxf>
      <font>
        <i val="0"/>
      </font>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64" formatCode="0000"/>
      <alignment horizontal="center" vertical="center" textRotation="0" indent="0" justifyLastLine="0" shrinkToFit="0" readingOrder="0"/>
    </dxf>
    <dxf>
      <alignment horizontal="left" vertical="center" textRotation="0" wrapText="1" indent="0" justifyLastLine="0" shrinkToFit="0" readingOrder="0"/>
      <border diagonalUp="0" diagonalDown="0" outline="0">
        <left style="thin">
          <color indexed="64"/>
        </left>
        <right/>
        <top style="thin">
          <color indexed="64"/>
        </top>
        <bottom style="thin">
          <color indexed="64"/>
        </bottom>
      </border>
    </dxf>
    <dxf>
      <font>
        <b/>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2"/>
        <color theme="0"/>
        <name val="Calibri"/>
        <scheme val="minor"/>
      </font>
      <fill>
        <patternFill patternType="solid">
          <fgColor indexed="64"/>
          <bgColor theme="2" tint="-0.499984740745262"/>
        </patternFill>
      </fill>
      <alignment horizontal="center" textRotation="0" indent="0" justifyLastLine="0" shrinkToFit="0" readingOrder="0"/>
    </dxf>
    <dxf>
      <font>
        <i val="0"/>
      </font>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64" formatCode="0000"/>
      <alignment horizontal="center" vertical="center" textRotation="0" indent="0" justifyLastLine="0" shrinkToFit="0" readingOrder="0"/>
    </dxf>
    <dxf>
      <alignment horizontal="left" vertical="center" textRotation="0" wrapText="1" indent="0" justifyLastLine="0" shrinkToFit="0" readingOrder="0"/>
      <border diagonalUp="0" diagonalDown="0" outline="0">
        <left style="thin">
          <color indexed="64"/>
        </left>
        <right/>
        <top style="thin">
          <color indexed="64"/>
        </top>
        <bottom style="thin">
          <color indexed="64"/>
        </bottom>
      </border>
    </dxf>
    <dxf>
      <font>
        <b/>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2"/>
        <color theme="0"/>
        <name val="Calibri"/>
        <scheme val="minor"/>
      </font>
      <fill>
        <patternFill patternType="solid">
          <fgColor indexed="64"/>
          <bgColor theme="2" tint="-0.499984740745262"/>
        </patternFill>
      </fill>
      <alignment horizontal="center" textRotation="0" indent="0" justifyLastLine="0" shrinkToFit="0" readingOrder="0"/>
    </dxf>
    <dxf>
      <font>
        <i val="0"/>
      </font>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64" formatCode="0000"/>
      <alignment horizontal="center" vertical="center" textRotation="0" indent="0" justifyLastLine="0" shrinkToFit="0" readingOrder="0"/>
    </dxf>
    <dxf>
      <alignment horizontal="left" vertical="center" textRotation="0" wrapText="1" indent="0" justifyLastLine="0" shrinkToFit="0" readingOrder="0"/>
      <border diagonalUp="0" diagonalDown="0" outline="0">
        <left style="thin">
          <color indexed="64"/>
        </left>
        <right/>
        <top style="thin">
          <color indexed="64"/>
        </top>
        <bottom style="thin">
          <color indexed="64"/>
        </bottom>
      </border>
    </dxf>
    <dxf>
      <font>
        <b/>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2"/>
        <color theme="0"/>
        <name val="Calibri"/>
        <scheme val="minor"/>
      </font>
      <fill>
        <patternFill patternType="solid">
          <fgColor indexed="64"/>
          <bgColor theme="2" tint="-0.499984740745262"/>
        </patternFill>
      </fill>
      <alignment horizontal="center" textRotation="0" indent="0" justifyLastLine="0" shrinkToFit="0" readingOrder="0"/>
    </dxf>
    <dxf>
      <font>
        <i val="0"/>
      </font>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64" formatCode="0000"/>
      <alignment horizontal="center" vertical="center" textRotation="0" indent="0" justifyLastLine="0" shrinkToFit="0" readingOrder="0"/>
    </dxf>
    <dxf>
      <alignment horizontal="left" vertical="center" textRotation="0" wrapText="1" indent="0" justifyLastLine="0" shrinkToFit="0" readingOrder="0"/>
      <border diagonalUp="0" diagonalDown="0" outline="0">
        <left style="thin">
          <color indexed="64"/>
        </left>
        <right/>
        <top style="thin">
          <color indexed="64"/>
        </top>
        <bottom style="thin">
          <color indexed="64"/>
        </bottom>
      </border>
    </dxf>
    <dxf>
      <font>
        <b/>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2"/>
        <color theme="0"/>
        <name val="Calibri"/>
        <scheme val="minor"/>
      </font>
      <fill>
        <patternFill patternType="solid">
          <fgColor indexed="64"/>
          <bgColor theme="2" tint="-0.499984740745262"/>
        </patternFill>
      </fill>
      <alignment horizontal="center" textRotation="0" indent="0" justifyLastLine="0" shrinkToFit="0" readingOrder="0"/>
    </dxf>
    <dxf>
      <font>
        <i val="0"/>
      </font>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64" formatCode="0000"/>
      <alignment horizontal="center" vertical="center" textRotation="0" indent="0" justifyLastLine="0" shrinkToFit="0" readingOrder="0"/>
    </dxf>
    <dxf>
      <alignment horizontal="left" vertical="center" textRotation="0" wrapText="1" indent="0" justifyLastLine="0" shrinkToFit="0" readingOrder="0"/>
      <border diagonalUp="0" diagonalDown="0" outline="0">
        <left style="thin">
          <color indexed="64"/>
        </left>
        <right/>
        <top style="thin">
          <color indexed="64"/>
        </top>
        <bottom style="thin">
          <color indexed="64"/>
        </bottom>
      </border>
    </dxf>
    <dxf>
      <font>
        <b/>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2"/>
        <color theme="0"/>
        <name val="Calibri"/>
        <scheme val="minor"/>
      </font>
      <fill>
        <patternFill patternType="solid">
          <fgColor indexed="64"/>
          <bgColor theme="2" tint="-0.499984740745262"/>
        </patternFill>
      </fill>
      <alignment horizontal="center" textRotation="0" indent="0" justifyLastLine="0" shrinkToFit="0" readingOrder="0"/>
    </dxf>
    <dxf>
      <font>
        <i val="0"/>
      </font>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64" formatCode="0000"/>
      <alignment horizontal="center" vertical="center" textRotation="0" indent="0" justifyLastLine="0" shrinkToFit="0" readingOrder="0"/>
    </dxf>
    <dxf>
      <alignment horizontal="left" vertical="center" textRotation="0" wrapText="1" indent="0" justifyLastLine="0" shrinkToFit="0" readingOrder="0"/>
      <border diagonalUp="0" diagonalDown="0" outline="0">
        <left style="thin">
          <color indexed="64"/>
        </left>
        <right/>
        <top style="thin">
          <color indexed="64"/>
        </top>
        <bottom style="thin">
          <color indexed="64"/>
        </bottom>
      </border>
    </dxf>
    <dxf>
      <font>
        <b/>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2"/>
        <color theme="0"/>
        <name val="Calibri"/>
        <scheme val="minor"/>
      </font>
      <fill>
        <patternFill patternType="solid">
          <fgColor indexed="64"/>
          <bgColor theme="2" tint="-0.499984740745262"/>
        </patternFill>
      </fill>
      <alignment horizontal="center" textRotation="0" indent="0" justifyLastLine="0" shrinkToFit="0" readingOrder="0"/>
    </dxf>
    <dxf>
      <font>
        <i val="0"/>
      </font>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64" formatCode="0000"/>
      <alignment horizontal="center" vertical="center" textRotation="0" indent="0" justifyLastLine="0" shrinkToFit="0" readingOrder="0"/>
    </dxf>
    <dxf>
      <alignment horizontal="left" vertical="center" textRotation="0" wrapText="1" indent="0" justifyLastLine="0" shrinkToFit="0" readingOrder="0"/>
      <border diagonalUp="0" diagonalDown="0" outline="0">
        <left style="thin">
          <color indexed="64"/>
        </left>
        <right/>
        <top style="thin">
          <color indexed="64"/>
        </top>
        <bottom style="thin">
          <color indexed="64"/>
        </bottom>
      </border>
    </dxf>
    <dxf>
      <font>
        <b/>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2"/>
        <color theme="0"/>
        <name val="Calibri"/>
        <scheme val="minor"/>
      </font>
      <fill>
        <patternFill patternType="solid">
          <fgColor indexed="64"/>
          <bgColor theme="2" tint="-0.499984740745262"/>
        </patternFill>
      </fill>
      <alignment horizontal="center" textRotation="0" indent="0" justifyLastLine="0" shrinkToFit="0" readingOrder="0"/>
    </dxf>
    <dxf>
      <font>
        <i val="0"/>
      </font>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64" formatCode="0000"/>
      <alignment horizontal="center" vertical="center" textRotation="0" indent="0" justifyLastLine="0" shrinkToFit="0" readingOrder="0"/>
    </dxf>
    <dxf>
      <alignment horizontal="left" vertical="center" textRotation="0" wrapText="1" indent="0" justifyLastLine="0" shrinkToFit="0" readingOrder="0"/>
      <border diagonalUp="0" diagonalDown="0" outline="0">
        <left style="thin">
          <color indexed="64"/>
        </left>
        <right/>
        <top style="thin">
          <color indexed="64"/>
        </top>
        <bottom style="thin">
          <color indexed="64"/>
        </bottom>
      </border>
    </dxf>
    <dxf>
      <font>
        <b/>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2"/>
        <color theme="0"/>
        <name val="Calibri"/>
        <scheme val="minor"/>
      </font>
      <fill>
        <patternFill patternType="solid">
          <fgColor indexed="64"/>
          <bgColor theme="2" tint="-0.499984740745262"/>
        </patternFill>
      </fill>
      <alignment horizontal="center" textRotation="0" indent="0" justifyLastLine="0" shrinkToFit="0" readingOrder="0"/>
    </dxf>
    <dxf>
      <font>
        <i val="0"/>
      </font>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64" formatCode="0000"/>
      <alignment horizontal="center" vertical="center" textRotation="0" indent="0" justifyLastLine="0" shrinkToFit="0" readingOrder="0"/>
    </dxf>
    <dxf>
      <alignment horizontal="left" vertical="center" textRotation="0" wrapText="1" indent="0" justifyLastLine="0" shrinkToFit="0" readingOrder="0"/>
      <border diagonalUp="0" diagonalDown="0" outline="0">
        <left style="thin">
          <color indexed="64"/>
        </left>
        <right/>
        <top style="thin">
          <color indexed="64"/>
        </top>
        <bottom style="thin">
          <color indexed="64"/>
        </bottom>
      </border>
    </dxf>
    <dxf>
      <font>
        <b/>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2"/>
        <color theme="0"/>
        <name val="Calibri"/>
        <scheme val="minor"/>
      </font>
      <fill>
        <patternFill patternType="solid">
          <fgColor indexed="64"/>
          <bgColor theme="2" tint="-0.499984740745262"/>
        </patternFill>
      </fill>
      <alignment horizontal="center" textRotation="0" indent="0" justifyLastLine="0" shrinkToFit="0" readingOrder="0"/>
    </dxf>
    <dxf>
      <font>
        <i val="0"/>
      </font>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64" formatCode="0000"/>
      <alignment horizontal="center" vertical="center" textRotation="0" indent="0" justifyLastLine="0" shrinkToFit="0" readingOrder="0"/>
    </dxf>
    <dxf>
      <alignment horizontal="left" vertical="center" textRotation="0" wrapText="1" indent="0" justifyLastLine="0" shrinkToFit="0" readingOrder="0"/>
      <border diagonalUp="0" diagonalDown="0" outline="0">
        <left style="thin">
          <color indexed="64"/>
        </left>
        <right/>
        <top style="thin">
          <color indexed="64"/>
        </top>
        <bottom style="thin">
          <color indexed="64"/>
        </bottom>
      </border>
    </dxf>
    <dxf>
      <font>
        <b/>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2"/>
        <color theme="0"/>
        <name val="Calibri"/>
        <scheme val="minor"/>
      </font>
      <fill>
        <patternFill patternType="solid">
          <fgColor indexed="64"/>
          <bgColor theme="2" tint="-0.499984740745262"/>
        </patternFill>
      </fill>
      <alignment horizontal="center" textRotation="0" indent="0" justifyLastLine="0" shrinkToFit="0" readingOrder="0"/>
    </dxf>
    <dxf>
      <font>
        <i val="0"/>
      </font>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64" formatCode="0000"/>
      <alignment horizontal="center" vertical="center" textRotation="0" indent="0" justifyLastLine="0" shrinkToFit="0" readingOrder="0"/>
    </dxf>
    <dxf>
      <alignment horizontal="left" vertical="center" textRotation="0" wrapText="1" indent="0" justifyLastLine="0" shrinkToFit="0" readingOrder="0"/>
      <border diagonalUp="0" diagonalDown="0" outline="0">
        <left style="thin">
          <color indexed="64"/>
        </left>
        <right/>
        <top style="thin">
          <color indexed="64"/>
        </top>
        <bottom style="thin">
          <color indexed="64"/>
        </bottom>
      </border>
    </dxf>
    <dxf>
      <font>
        <b/>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2"/>
        <color theme="0"/>
        <name val="Calibri"/>
        <scheme val="minor"/>
      </font>
      <fill>
        <patternFill patternType="solid">
          <fgColor indexed="64"/>
          <bgColor theme="2" tint="-0.499984740745262"/>
        </patternFill>
      </fill>
      <alignment horizontal="center" textRotation="0" indent="0" justifyLastLine="0" shrinkToFit="0" readingOrder="0"/>
    </dxf>
    <dxf>
      <font>
        <i val="0"/>
      </font>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64" formatCode="0000"/>
      <alignment horizontal="center" vertical="center" textRotation="0" indent="0" justifyLastLine="0" shrinkToFit="0" readingOrder="0"/>
    </dxf>
    <dxf>
      <alignment horizontal="left" vertical="center" textRotation="0" wrapText="1" indent="0" justifyLastLine="0" shrinkToFit="0" readingOrder="0"/>
      <border diagonalUp="0" diagonalDown="0" outline="0">
        <left style="thin">
          <color indexed="64"/>
        </left>
        <right/>
        <top style="thin">
          <color indexed="64"/>
        </top>
        <bottom style="thin">
          <color indexed="64"/>
        </bottom>
      </border>
    </dxf>
    <dxf>
      <font>
        <b/>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2"/>
        <color theme="0"/>
        <name val="Calibri"/>
        <scheme val="minor"/>
      </font>
      <fill>
        <patternFill patternType="solid">
          <fgColor indexed="64"/>
          <bgColor theme="2" tint="-0.499984740745262"/>
        </patternFill>
      </fill>
      <alignment horizontal="center" textRotation="0" indent="0" justifyLastLine="0" shrinkToFit="0" readingOrder="0"/>
    </dxf>
    <dxf>
      <font>
        <i val="0"/>
      </font>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64" formatCode="0000"/>
      <alignment horizontal="center" vertical="center" textRotation="0" indent="0" justifyLastLine="0" shrinkToFit="0" readingOrder="0"/>
    </dxf>
    <dxf>
      <alignment horizontal="left" vertical="center" textRotation="0" wrapText="1" indent="0" justifyLastLine="0" shrinkToFit="0" readingOrder="0"/>
      <border diagonalUp="0" diagonalDown="0" outline="0">
        <left style="thin">
          <color indexed="64"/>
        </left>
        <right/>
        <top style="thin">
          <color indexed="64"/>
        </top>
        <bottom style="thin">
          <color indexed="64"/>
        </bottom>
      </border>
    </dxf>
    <dxf>
      <font>
        <b/>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2"/>
        <color theme="0"/>
        <name val="Calibri"/>
        <scheme val="minor"/>
      </font>
      <fill>
        <patternFill patternType="solid">
          <fgColor indexed="64"/>
          <bgColor theme="2" tint="-0.499984740745262"/>
        </patternFill>
      </fill>
      <alignment horizontal="center" textRotation="0" indent="0" justifyLastLine="0" shrinkToFit="0" readingOrder="0"/>
    </dxf>
    <dxf>
      <font>
        <i val="0"/>
      </font>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font>
        <color auto="1"/>
      </font>
      <numFmt numFmtId="164" formatCode="0000"/>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center" textRotation="0" wrapText="1" indent="0" justifyLastLine="0" shrinkToFit="0" readingOrder="0"/>
      <border diagonalUp="0" diagonalDown="0" outline="0">
        <left style="thin">
          <color indexed="64"/>
        </left>
        <right/>
        <top style="thin">
          <color indexed="64"/>
        </top>
        <bottom style="thin">
          <color indexed="64"/>
        </bottom>
      </border>
    </dxf>
    <dxf>
      <font>
        <b/>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2"/>
        <color theme="0"/>
        <name val="Calibri"/>
        <scheme val="minor"/>
      </font>
      <fill>
        <patternFill patternType="solid">
          <fgColor indexed="64"/>
          <bgColor theme="2" tint="-0.499984740745262"/>
        </patternFill>
      </fill>
      <alignment horizontal="center" textRotation="0" indent="0" justifyLastLine="0" shrinkToFit="0" readingOrder="0"/>
    </dxf>
    <dxf>
      <font>
        <i val="0"/>
      </font>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64" formatCode="0000"/>
      <alignment horizontal="center" vertical="center" textRotation="0" indent="0" justifyLastLine="0" shrinkToFit="0" readingOrder="0"/>
    </dxf>
    <dxf>
      <alignment horizontal="left" vertical="center" textRotation="0" wrapText="1" indent="0" justifyLastLine="0" shrinkToFit="0" readingOrder="0"/>
      <border diagonalUp="0" diagonalDown="0" outline="0">
        <left style="thin">
          <color indexed="64"/>
        </left>
        <right/>
        <top style="thin">
          <color indexed="64"/>
        </top>
        <bottom style="thin">
          <color indexed="64"/>
        </bottom>
      </border>
    </dxf>
    <dxf>
      <font>
        <b/>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2"/>
        <color theme="0"/>
        <name val="Calibri"/>
        <scheme val="minor"/>
      </font>
      <fill>
        <patternFill patternType="solid">
          <fgColor indexed="64"/>
          <bgColor theme="2" tint="-0.499984740745262"/>
        </patternFill>
      </fill>
      <alignment horizontal="center" textRotation="0" indent="0" justifyLastLine="0" shrinkToFit="0" readingOrder="0"/>
    </dxf>
    <dxf>
      <font>
        <i val="0"/>
      </font>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64" formatCode="0000"/>
      <alignment horizontal="center" vertical="center" textRotation="0" indent="0" justifyLastLine="0" shrinkToFit="0" readingOrder="0"/>
    </dxf>
    <dxf>
      <alignment horizontal="left" vertical="center" textRotation="0" wrapText="1" indent="0" justifyLastLine="0" shrinkToFit="0" readingOrder="0"/>
      <border diagonalUp="0" diagonalDown="0" outline="0">
        <left style="thin">
          <color indexed="64"/>
        </left>
        <right/>
        <top style="thin">
          <color indexed="64"/>
        </top>
        <bottom style="thin">
          <color indexed="64"/>
        </bottom>
      </border>
    </dxf>
    <dxf>
      <font>
        <b/>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2"/>
        <color theme="0"/>
        <name val="Calibri"/>
        <scheme val="minor"/>
      </font>
      <fill>
        <patternFill patternType="solid">
          <fgColor indexed="64"/>
          <bgColor theme="2" tint="-0.499984740745262"/>
        </patternFill>
      </fill>
      <alignment horizontal="center" textRotation="0" indent="0" justifyLastLine="0" shrinkToFit="0" readingOrder="0"/>
    </dxf>
    <dxf>
      <font>
        <i val="0"/>
      </font>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64" formatCode="0000"/>
      <alignment horizontal="center" vertical="center" textRotation="0" indent="0" justifyLastLine="0" shrinkToFit="0" readingOrder="0"/>
    </dxf>
    <dxf>
      <alignment horizontal="left" vertical="center" textRotation="0" wrapText="1" indent="0" justifyLastLine="0" shrinkToFit="0" readingOrder="0"/>
      <border diagonalUp="0" diagonalDown="0" outline="0">
        <left style="thin">
          <color indexed="64"/>
        </left>
        <right/>
        <top style="thin">
          <color indexed="64"/>
        </top>
        <bottom style="thin">
          <color indexed="64"/>
        </bottom>
      </border>
    </dxf>
    <dxf>
      <font>
        <b/>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2"/>
        <color theme="0"/>
        <name val="Calibri"/>
        <scheme val="minor"/>
      </font>
      <fill>
        <patternFill patternType="solid">
          <fgColor indexed="64"/>
          <bgColor theme="2" tint="-0.499984740745262"/>
        </patternFill>
      </fill>
      <alignment horizontal="center" textRotation="0" indent="0" justifyLastLine="0" shrinkToFit="0" readingOrder="0"/>
    </dxf>
    <dxf>
      <font>
        <i val="0"/>
      </font>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64" formatCode="0000"/>
      <alignment horizontal="center" vertical="center" textRotation="0" indent="0" justifyLastLine="0" shrinkToFit="0" readingOrder="0"/>
    </dxf>
    <dxf>
      <alignment horizontal="left" vertical="center" textRotation="0" wrapText="1" indent="0" justifyLastLine="0" shrinkToFit="0" readingOrder="0"/>
      <border diagonalUp="0" diagonalDown="0" outline="0">
        <left style="thin">
          <color indexed="64"/>
        </left>
        <right/>
        <top style="thin">
          <color indexed="64"/>
        </top>
        <bottom style="thin">
          <color indexed="64"/>
        </bottom>
      </border>
    </dxf>
    <dxf>
      <font>
        <b/>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2"/>
        <color theme="0"/>
        <name val="Calibri"/>
        <scheme val="minor"/>
      </font>
      <fill>
        <patternFill patternType="solid">
          <fgColor indexed="64"/>
          <bgColor theme="2" tint="-0.499984740745262"/>
        </patternFill>
      </fill>
      <alignment horizontal="center" textRotation="0" indent="0" justifyLastLine="0" shrinkToFit="0" readingOrder="0"/>
    </dxf>
    <dxf>
      <font>
        <i val="0"/>
      </font>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64" formatCode="0000"/>
      <alignment horizontal="center" vertical="center" textRotation="0" indent="0" justifyLastLine="0" shrinkToFit="0" readingOrder="0"/>
    </dxf>
    <dxf>
      <alignment horizontal="left" vertical="center" textRotation="0" wrapText="1" indent="0" justifyLastLine="0" shrinkToFit="0" readingOrder="0"/>
      <border diagonalUp="0" diagonalDown="0" outline="0">
        <left style="thin">
          <color indexed="64"/>
        </left>
        <right/>
        <top style="thin">
          <color indexed="64"/>
        </top>
        <bottom style="thin">
          <color indexed="64"/>
        </bottom>
      </border>
    </dxf>
    <dxf>
      <font>
        <b/>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2"/>
        <color theme="0"/>
        <name val="Calibri"/>
        <scheme val="minor"/>
      </font>
      <fill>
        <patternFill patternType="solid">
          <fgColor indexed="64"/>
          <bgColor theme="2" tint="-0.499984740745262"/>
        </patternFill>
      </fill>
      <alignment horizontal="center" textRotation="0" indent="0" justifyLastLine="0" shrinkToFit="0" readingOrder="0"/>
    </dxf>
    <dxf>
      <font>
        <i val="0"/>
      </font>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64" formatCode="0000"/>
      <alignment horizontal="center" vertical="center" textRotation="0" indent="0" justifyLastLine="0" shrinkToFit="0" readingOrder="0"/>
    </dxf>
    <dxf>
      <alignment horizontal="left" vertical="center" textRotation="0" wrapText="1" indent="0" justifyLastLine="0" shrinkToFit="0" readingOrder="0"/>
      <border diagonalUp="0" diagonalDown="0" outline="0">
        <left style="thin">
          <color indexed="64"/>
        </left>
        <right/>
        <top style="thin">
          <color indexed="64"/>
        </top>
        <bottom style="thin">
          <color indexed="64"/>
        </bottom>
      </border>
    </dxf>
    <dxf>
      <font>
        <b/>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2"/>
        <color theme="0"/>
        <name val="Calibri"/>
        <scheme val="minor"/>
      </font>
      <fill>
        <patternFill patternType="solid">
          <fgColor indexed="64"/>
          <bgColor theme="2" tint="-0.499984740745262"/>
        </patternFill>
      </fill>
      <alignment horizontal="center" textRotation="0" indent="0" justifyLastLine="0" shrinkToFit="0" readingOrder="0"/>
    </dxf>
    <dxf>
      <font>
        <i val="0"/>
      </font>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64" formatCode="0000"/>
      <alignment horizontal="center" vertical="center" textRotation="0" indent="0" justifyLastLine="0" shrinkToFit="0" readingOrder="0"/>
    </dxf>
    <dxf>
      <alignment horizontal="left" vertical="center" textRotation="0" wrapText="1" indent="0" justifyLastLine="0" shrinkToFit="0" readingOrder="0"/>
      <border diagonalUp="0" diagonalDown="0" outline="0">
        <left style="thin">
          <color indexed="64"/>
        </left>
        <right/>
        <top style="thin">
          <color indexed="64"/>
        </top>
        <bottom style="thin">
          <color indexed="64"/>
        </bottom>
      </border>
    </dxf>
    <dxf>
      <font>
        <b/>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2"/>
        <color theme="0"/>
        <name val="Calibri"/>
        <scheme val="minor"/>
      </font>
      <fill>
        <patternFill patternType="solid">
          <fgColor indexed="64"/>
          <bgColor theme="2" tint="-0.499984740745262"/>
        </patternFill>
      </fill>
      <alignment horizontal="center" textRotation="0" indent="0" justifyLastLine="0" shrinkToFit="0" readingOrder="0"/>
    </dxf>
    <dxf>
      <font>
        <i val="0"/>
      </font>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64" formatCode="0000"/>
      <alignment horizontal="center" vertical="center" textRotation="0" indent="0" justifyLastLine="0" shrinkToFit="0" readingOrder="0"/>
    </dxf>
    <dxf>
      <alignment horizontal="left" vertical="center" textRotation="0" wrapText="1" indent="0" justifyLastLine="0" shrinkToFit="0" readingOrder="0"/>
      <border diagonalUp="0" diagonalDown="0" outline="0">
        <left style="thin">
          <color indexed="64"/>
        </left>
        <right/>
        <top style="thin">
          <color indexed="64"/>
        </top>
        <bottom style="thin">
          <color indexed="64"/>
        </bottom>
      </border>
    </dxf>
    <dxf>
      <font>
        <b/>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2"/>
        <color theme="0"/>
        <name val="Calibri"/>
        <scheme val="minor"/>
      </font>
      <fill>
        <patternFill patternType="solid">
          <fgColor indexed="64"/>
          <bgColor theme="2" tint="-0.499984740745262"/>
        </patternFill>
      </fill>
      <alignment horizontal="center" textRotation="0" indent="0" justifyLastLine="0" shrinkToFit="0" readingOrder="0"/>
    </dxf>
    <dxf>
      <font>
        <i val="0"/>
      </font>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64" formatCode="0000"/>
      <alignment horizontal="center" vertical="center" textRotation="0" indent="0" justifyLastLine="0" shrinkToFit="0" readingOrder="0"/>
    </dxf>
    <dxf>
      <alignment horizontal="left" vertical="center" textRotation="0" wrapText="1" indent="0" justifyLastLine="0" shrinkToFit="0" readingOrder="0"/>
      <border diagonalUp="0" diagonalDown="0" outline="0">
        <left style="thin">
          <color indexed="64"/>
        </left>
        <right/>
        <top style="thin">
          <color indexed="64"/>
        </top>
        <bottom style="thin">
          <color indexed="64"/>
        </bottom>
      </border>
    </dxf>
    <dxf>
      <font>
        <b/>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2"/>
        <color theme="0"/>
        <name val="Calibri"/>
        <scheme val="minor"/>
      </font>
      <fill>
        <patternFill patternType="solid">
          <fgColor indexed="64"/>
          <bgColor theme="2" tint="-0.499984740745262"/>
        </patternFill>
      </fill>
      <alignment horizontal="center" textRotation="0" indent="0" justifyLastLine="0" shrinkToFit="0" readingOrder="0"/>
    </dxf>
    <dxf>
      <font>
        <i val="0"/>
      </font>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64" formatCode="0000"/>
      <alignment horizontal="center" vertical="center" textRotation="0" indent="0" justifyLastLine="0" shrinkToFit="0" readingOrder="0"/>
    </dxf>
    <dxf>
      <alignment horizontal="left" vertical="center" textRotation="0" wrapText="1" indent="0" justifyLastLine="0" shrinkToFit="0" readingOrder="0"/>
      <border diagonalUp="0" diagonalDown="0" outline="0">
        <left style="thin">
          <color indexed="64"/>
        </left>
        <right/>
        <top style="thin">
          <color indexed="64"/>
        </top>
        <bottom style="thin">
          <color indexed="64"/>
        </bottom>
      </border>
    </dxf>
    <dxf>
      <font>
        <b/>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2"/>
        <color theme="0"/>
        <name val="Calibri"/>
        <scheme val="minor"/>
      </font>
      <fill>
        <patternFill patternType="solid">
          <fgColor indexed="64"/>
          <bgColor theme="2" tint="-0.499984740745262"/>
        </patternFill>
      </fill>
      <alignment horizontal="center" textRotation="0" indent="0" justifyLastLine="0" shrinkToFit="0" readingOrder="0"/>
    </dxf>
    <dxf>
      <font>
        <i val="0"/>
      </font>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64" formatCode="0000"/>
      <alignment horizontal="center" vertical="center" textRotation="0" indent="0" justifyLastLine="0" shrinkToFit="0" readingOrder="0"/>
    </dxf>
    <dxf>
      <alignment horizontal="left" vertical="center" textRotation="0" wrapText="1" indent="0" justifyLastLine="0" shrinkToFit="0" readingOrder="0"/>
      <border diagonalUp="0" diagonalDown="0" outline="0">
        <left style="thin">
          <color indexed="64"/>
        </left>
        <right/>
        <top style="thin">
          <color indexed="64"/>
        </top>
        <bottom style="thin">
          <color indexed="64"/>
        </bottom>
      </border>
    </dxf>
    <dxf>
      <font>
        <b/>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2"/>
        <color theme="0"/>
        <name val="Calibri"/>
        <scheme val="minor"/>
      </font>
      <fill>
        <patternFill patternType="solid">
          <fgColor indexed="64"/>
          <bgColor theme="2" tint="-0.499984740745262"/>
        </patternFill>
      </fill>
      <alignment horizontal="center" textRotation="0" indent="0" justifyLastLine="0" shrinkToFit="0" readingOrder="0"/>
    </dxf>
    <dxf>
      <font>
        <i val="0"/>
      </font>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64" formatCode="0000"/>
      <alignment horizontal="center" vertical="center" textRotation="0" indent="0" justifyLastLine="0" shrinkToFit="0" readingOrder="0"/>
    </dxf>
    <dxf>
      <alignment horizontal="left" vertical="center" textRotation="0" wrapText="1" indent="0" justifyLastLine="0" shrinkToFit="0" readingOrder="0"/>
      <border diagonalUp="0" diagonalDown="0" outline="0">
        <left style="thin">
          <color indexed="64"/>
        </left>
        <right/>
        <top style="thin">
          <color indexed="64"/>
        </top>
        <bottom style="thin">
          <color indexed="64"/>
        </bottom>
      </border>
    </dxf>
    <dxf>
      <font>
        <b/>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2"/>
        <color theme="0"/>
        <name val="Calibri"/>
        <scheme val="minor"/>
      </font>
      <fill>
        <patternFill patternType="solid">
          <fgColor indexed="64"/>
          <bgColor theme="2" tint="-0.499984740745262"/>
        </patternFill>
      </fill>
      <alignment horizontal="center" textRotation="0" indent="0" justifyLastLine="0" shrinkToFit="0" readingOrder="0"/>
    </dxf>
    <dxf>
      <font>
        <i val="0"/>
      </font>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64" formatCode="0000"/>
      <alignment horizontal="center" vertical="center" textRotation="0" indent="0" justifyLastLine="0" shrinkToFit="0" readingOrder="0"/>
    </dxf>
    <dxf>
      <alignment horizontal="left" vertical="center" textRotation="0" wrapText="1" indent="0" justifyLastLine="0" shrinkToFit="0" readingOrder="0"/>
      <border diagonalUp="0" diagonalDown="0" outline="0">
        <left style="thin">
          <color indexed="64"/>
        </left>
        <right/>
        <top style="thin">
          <color indexed="64"/>
        </top>
        <bottom style="thin">
          <color indexed="64"/>
        </bottom>
      </border>
    </dxf>
    <dxf>
      <font>
        <b/>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2"/>
        <color theme="0"/>
        <name val="Calibri"/>
        <scheme val="minor"/>
      </font>
      <fill>
        <patternFill patternType="solid">
          <fgColor indexed="64"/>
          <bgColor theme="2" tint="-0.499984740745262"/>
        </patternFill>
      </fill>
      <alignment horizontal="center" textRotation="0" indent="0" justifyLastLine="0" shrinkToFit="0" readingOrder="0"/>
    </dxf>
    <dxf>
      <font>
        <i val="0"/>
      </font>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64" formatCode="0000"/>
      <alignment horizontal="center" vertical="center" textRotation="0" indent="0" justifyLastLine="0" shrinkToFit="0" readingOrder="0"/>
    </dxf>
    <dxf>
      <alignment horizontal="left" vertical="center" textRotation="0" wrapText="1" indent="0" justifyLastLine="0" shrinkToFit="0" readingOrder="0"/>
      <border diagonalUp="0" diagonalDown="0" outline="0">
        <left style="thin">
          <color indexed="64"/>
        </left>
        <right/>
        <top style="thin">
          <color indexed="64"/>
        </top>
        <bottom style="thin">
          <color indexed="64"/>
        </bottom>
      </border>
    </dxf>
    <dxf>
      <font>
        <b/>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2"/>
        <color theme="0"/>
        <name val="Calibri"/>
        <scheme val="minor"/>
      </font>
      <fill>
        <patternFill patternType="solid">
          <fgColor indexed="64"/>
          <bgColor theme="2" tint="-0.499984740745262"/>
        </patternFill>
      </fill>
      <alignment horizontal="center" textRotation="0" indent="0" justifyLastLine="0" shrinkToFit="0" readingOrder="0"/>
    </dxf>
    <dxf>
      <font>
        <i val="0"/>
      </font>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64" formatCode="0000"/>
      <alignment horizontal="center" vertical="center" textRotation="0" indent="0" justifyLastLine="0" shrinkToFit="0" readingOrder="0"/>
    </dxf>
    <dxf>
      <alignment horizontal="left" vertical="center" textRotation="0" wrapText="1" indent="0" justifyLastLine="0" shrinkToFit="0" readingOrder="0"/>
      <border diagonalUp="0" diagonalDown="0" outline="0">
        <left style="thin">
          <color indexed="64"/>
        </left>
        <right/>
        <top style="thin">
          <color indexed="64"/>
        </top>
        <bottom style="thin">
          <color indexed="64"/>
        </bottom>
      </border>
    </dxf>
    <dxf>
      <font>
        <b/>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2"/>
        <color theme="0"/>
        <name val="Calibri"/>
        <scheme val="minor"/>
      </font>
      <fill>
        <patternFill patternType="solid">
          <fgColor indexed="64"/>
          <bgColor theme="2" tint="-0.499984740745262"/>
        </patternFill>
      </fill>
      <alignment horizontal="center" textRotation="0" indent="0" justifyLastLine="0" shrinkToFit="0" readingOrder="0"/>
    </dxf>
    <dxf>
      <font>
        <i val="0"/>
      </font>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64" formatCode="0000"/>
      <alignment horizontal="center" vertical="center" textRotation="0" indent="0" justifyLastLine="0" shrinkToFit="0" readingOrder="0"/>
    </dxf>
    <dxf>
      <alignment horizontal="left" vertical="center" textRotation="0" wrapText="1" indent="0" justifyLastLine="0" shrinkToFit="0" readingOrder="0"/>
      <border diagonalUp="0" diagonalDown="0" outline="0">
        <left style="thin">
          <color indexed="64"/>
        </left>
        <right/>
        <top style="thin">
          <color indexed="64"/>
        </top>
        <bottom style="thin">
          <color indexed="64"/>
        </bottom>
      </border>
    </dxf>
    <dxf>
      <font>
        <b/>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2"/>
        <color theme="0"/>
        <name val="Calibri"/>
        <scheme val="minor"/>
      </font>
      <fill>
        <patternFill patternType="solid">
          <fgColor indexed="64"/>
          <bgColor theme="2" tint="-0.499984740745262"/>
        </patternFill>
      </fill>
      <alignment horizontal="center" textRotation="0" indent="0" justifyLastLine="0" shrinkToFit="0" readingOrder="0"/>
    </dxf>
    <dxf>
      <font>
        <i val="0"/>
      </font>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64" formatCode="0000"/>
      <alignment horizontal="center" vertical="center" textRotation="0" indent="0" justifyLastLine="0" shrinkToFit="0" readingOrder="0"/>
    </dxf>
    <dxf>
      <alignment horizontal="left" vertical="center" textRotation="0" wrapText="1" indent="0" justifyLastLine="0" shrinkToFit="0" readingOrder="0"/>
      <border diagonalUp="0" diagonalDown="0" outline="0">
        <left style="thin">
          <color indexed="64"/>
        </left>
        <right/>
        <top style="thin">
          <color indexed="64"/>
        </top>
        <bottom style="thin">
          <color indexed="64"/>
        </bottom>
      </border>
    </dxf>
    <dxf>
      <font>
        <b/>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2"/>
        <color theme="0"/>
        <name val="Calibri"/>
        <scheme val="minor"/>
      </font>
      <fill>
        <patternFill patternType="solid">
          <fgColor indexed="64"/>
          <bgColor theme="2" tint="-0.499984740745262"/>
        </patternFill>
      </fill>
      <alignment horizontal="center" textRotation="0" indent="0" justifyLastLine="0" shrinkToFit="0" readingOrder="0"/>
    </dxf>
    <dxf>
      <font>
        <i val="0"/>
      </font>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64" formatCode="0000"/>
      <alignment horizontal="center" vertical="center" textRotation="0" indent="0" justifyLastLine="0" shrinkToFit="0" readingOrder="0"/>
    </dxf>
    <dxf>
      <alignment horizontal="left" vertical="center" textRotation="0" wrapText="1" indent="0" justifyLastLine="0" shrinkToFit="0" readingOrder="0"/>
      <border diagonalUp="0" diagonalDown="0" outline="0">
        <left style="thin">
          <color indexed="64"/>
        </left>
        <right/>
        <top style="thin">
          <color indexed="64"/>
        </top>
        <bottom style="thin">
          <color indexed="64"/>
        </bottom>
      </border>
    </dxf>
    <dxf>
      <font>
        <b/>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2"/>
        <color theme="0"/>
        <name val="Calibri"/>
        <scheme val="minor"/>
      </font>
      <fill>
        <patternFill patternType="solid">
          <fgColor indexed="64"/>
          <bgColor theme="2" tint="-0.499984740745262"/>
        </patternFill>
      </fill>
      <alignment horizontal="center" textRotation="0" indent="0" justifyLastLine="0" shrinkToFit="0" readingOrder="0"/>
    </dxf>
    <dxf>
      <font>
        <i val="0"/>
      </font>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64" formatCode="0000"/>
      <alignment horizontal="center" vertical="center" textRotation="0" indent="0" justifyLastLine="0" shrinkToFit="0" readingOrder="0"/>
    </dxf>
    <dxf>
      <alignment horizontal="left" vertical="center" textRotation="0" wrapText="1" indent="0" justifyLastLine="0" shrinkToFit="0" readingOrder="0"/>
      <border diagonalUp="0" diagonalDown="0" outline="0">
        <left style="thin">
          <color indexed="64"/>
        </left>
        <right/>
        <top style="thin">
          <color indexed="64"/>
        </top>
        <bottom style="thin">
          <color indexed="64"/>
        </bottom>
      </border>
    </dxf>
    <dxf>
      <font>
        <b/>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2"/>
        <color theme="0"/>
        <name val="Calibri"/>
        <scheme val="minor"/>
      </font>
      <fill>
        <patternFill patternType="solid">
          <fgColor indexed="64"/>
          <bgColor theme="2" tint="-0.499984740745262"/>
        </patternFill>
      </fill>
      <alignment horizontal="center" textRotation="0" indent="0" justifyLastLine="0" shrinkToFit="0" readingOrder="0"/>
    </dxf>
    <dxf>
      <font>
        <i val="0"/>
      </font>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64" formatCode="0000"/>
      <alignment horizontal="center" vertical="center" textRotation="0" indent="0" justifyLastLine="0" shrinkToFit="0" readingOrder="0"/>
    </dxf>
    <dxf>
      <alignment horizontal="left" vertical="center" textRotation="0" wrapText="1" indent="0" justifyLastLine="0" shrinkToFit="0" readingOrder="0"/>
      <border diagonalUp="0" diagonalDown="0" outline="0">
        <left style="thin">
          <color indexed="64"/>
        </left>
        <right/>
        <top style="thin">
          <color indexed="64"/>
        </top>
        <bottom style="thin">
          <color indexed="64"/>
        </bottom>
      </border>
    </dxf>
    <dxf>
      <font>
        <b/>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2"/>
        <color theme="0"/>
        <name val="Calibri"/>
        <scheme val="minor"/>
      </font>
      <fill>
        <patternFill patternType="solid">
          <fgColor indexed="64"/>
          <bgColor theme="2" tint="-0.499984740745262"/>
        </patternFill>
      </fill>
      <alignment horizontal="center" textRotation="0" indent="0" justifyLastLine="0" shrinkToFit="0" readingOrder="0"/>
    </dxf>
    <dxf>
      <font>
        <i val="0"/>
      </font>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64" formatCode="0000"/>
      <alignment horizontal="center" vertical="center" textRotation="0" indent="0" justifyLastLine="0" shrinkToFit="0" readingOrder="0"/>
    </dxf>
    <dxf>
      <alignment horizontal="left" vertical="center" textRotation="0" wrapText="1" indent="0" justifyLastLine="0" shrinkToFit="0" readingOrder="0"/>
      <border diagonalUp="0" diagonalDown="0" outline="0">
        <left style="thin">
          <color indexed="64"/>
        </left>
        <right/>
        <top style="thin">
          <color indexed="64"/>
        </top>
        <bottom style="thin">
          <color indexed="64"/>
        </bottom>
      </border>
    </dxf>
    <dxf>
      <font>
        <b/>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2"/>
        <color theme="0"/>
        <name val="Calibri"/>
        <scheme val="minor"/>
      </font>
      <fill>
        <patternFill patternType="solid">
          <fgColor indexed="64"/>
          <bgColor theme="2" tint="-0.499984740745262"/>
        </patternFill>
      </fill>
      <alignment horizontal="center" textRotation="0" indent="0" justifyLastLine="0" shrinkToFit="0" readingOrder="0"/>
    </dxf>
    <dxf>
      <font>
        <i val="0"/>
      </font>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64" formatCode="0000"/>
      <alignment horizontal="center" vertical="center" textRotation="0" indent="0" justifyLastLine="0" shrinkToFit="0" readingOrder="0"/>
    </dxf>
    <dxf>
      <alignment horizontal="left" vertical="center" textRotation="0" wrapText="1" indent="0" justifyLastLine="0" shrinkToFit="0" readingOrder="0"/>
      <border diagonalUp="0" diagonalDown="0" outline="0">
        <left style="thin">
          <color indexed="64"/>
        </left>
        <right/>
        <top style="thin">
          <color indexed="64"/>
        </top>
        <bottom style="thin">
          <color indexed="64"/>
        </bottom>
      </border>
    </dxf>
    <dxf>
      <font>
        <b/>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2"/>
        <color theme="0"/>
        <name val="Calibri"/>
        <scheme val="minor"/>
      </font>
      <fill>
        <patternFill patternType="solid">
          <fgColor indexed="64"/>
          <bgColor theme="2" tint="-0.499984740745262"/>
        </patternFill>
      </fill>
      <alignment horizontal="center" textRotation="0" indent="0" justifyLastLine="0" shrinkToFit="0" readingOrder="0"/>
    </dxf>
    <dxf>
      <font>
        <i val="0"/>
      </font>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64" formatCode="0000"/>
      <alignment horizontal="center" vertical="center" textRotation="0" indent="0" justifyLastLine="0" shrinkToFit="0" readingOrder="0"/>
    </dxf>
    <dxf>
      <alignment horizontal="left" vertical="center" textRotation="0" wrapText="1" indent="0" justifyLastLine="0" shrinkToFit="0" readingOrder="0"/>
      <border diagonalUp="0" diagonalDown="0" outline="0">
        <left style="thin">
          <color indexed="64"/>
        </left>
        <right/>
        <top style="thin">
          <color indexed="64"/>
        </top>
        <bottom style="thin">
          <color indexed="64"/>
        </bottom>
      </border>
    </dxf>
    <dxf>
      <font>
        <b/>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2"/>
        <color theme="0"/>
        <name val="Calibri"/>
        <scheme val="minor"/>
      </font>
      <fill>
        <patternFill patternType="solid">
          <fgColor indexed="64"/>
          <bgColor theme="2" tint="-0.499984740745262"/>
        </patternFill>
      </fill>
      <alignment horizontal="center" textRotation="0" indent="0" justifyLastLine="0" shrinkToFit="0" readingOrder="0"/>
    </dxf>
    <dxf>
      <font>
        <i val="0"/>
      </font>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64" formatCode="0000"/>
      <alignment horizontal="center" vertical="center" textRotation="0" indent="0" justifyLastLine="0" shrinkToFit="0" readingOrder="0"/>
    </dxf>
    <dxf>
      <alignment horizontal="left" vertical="center" textRotation="0" wrapText="1" indent="0" justifyLastLine="0" shrinkToFit="0" readingOrder="0"/>
      <border diagonalUp="0" diagonalDown="0" outline="0">
        <left style="thin">
          <color indexed="64"/>
        </left>
        <right/>
        <top style="thin">
          <color indexed="64"/>
        </top>
        <bottom style="thin">
          <color indexed="64"/>
        </bottom>
      </border>
    </dxf>
    <dxf>
      <font>
        <b/>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2"/>
        <color theme="0"/>
        <name val="Calibri"/>
        <scheme val="minor"/>
      </font>
      <fill>
        <patternFill patternType="solid">
          <fgColor indexed="64"/>
          <bgColor theme="2" tint="-0.499984740745262"/>
        </patternFill>
      </fill>
      <alignment horizontal="center" textRotation="0" indent="0" justifyLastLine="0" shrinkToFit="0" readingOrder="0"/>
    </dxf>
    <dxf>
      <font>
        <i val="0"/>
      </font>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64" formatCode="0000"/>
      <alignment horizontal="center" vertical="center" textRotation="0" indent="0" justifyLastLine="0" shrinkToFit="0" readingOrder="0"/>
    </dxf>
    <dxf>
      <alignment horizontal="left" vertical="center" textRotation="0" wrapText="1" indent="0" justifyLastLine="0" shrinkToFit="0" readingOrder="0"/>
      <border diagonalUp="0" diagonalDown="0" outline="0">
        <left style="thin">
          <color indexed="64"/>
        </left>
        <right/>
        <top style="thin">
          <color indexed="64"/>
        </top>
        <bottom style="thin">
          <color indexed="64"/>
        </bottom>
      </border>
    </dxf>
    <dxf>
      <font>
        <b/>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2"/>
        <color theme="0"/>
        <name val="Calibri"/>
        <scheme val="minor"/>
      </font>
      <fill>
        <patternFill patternType="solid">
          <fgColor indexed="64"/>
          <bgColor theme="2" tint="-0.499984740745262"/>
        </patternFill>
      </fill>
      <alignment horizontal="center" textRotation="0" indent="0" justifyLastLine="0" shrinkToFit="0" readingOrder="0"/>
    </dxf>
    <dxf>
      <font>
        <i val="0"/>
      </font>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64" formatCode="0000"/>
      <alignment horizontal="center" vertical="center" textRotation="0" indent="0" justifyLastLine="0" shrinkToFit="0" readingOrder="0"/>
    </dxf>
    <dxf>
      <alignment horizontal="left" vertical="center" textRotation="0" wrapText="1" indent="0" justifyLastLine="0" shrinkToFit="0" readingOrder="0"/>
      <border diagonalUp="0" diagonalDown="0" outline="0">
        <left style="thin">
          <color indexed="64"/>
        </left>
        <right/>
        <top style="thin">
          <color indexed="64"/>
        </top>
        <bottom style="thin">
          <color indexed="64"/>
        </bottom>
      </border>
    </dxf>
    <dxf>
      <font>
        <b/>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2"/>
        <color theme="0"/>
        <name val="Calibri"/>
        <scheme val="minor"/>
      </font>
      <fill>
        <patternFill patternType="solid">
          <fgColor indexed="64"/>
          <bgColor theme="2" tint="-0.499984740745262"/>
        </patternFill>
      </fill>
      <alignment horizontal="center" textRotation="0" indent="0" justifyLastLine="0" shrinkToFit="0" readingOrder="0"/>
    </dxf>
    <dxf>
      <font>
        <i val="0"/>
      </font>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64" formatCode="0000"/>
      <alignment horizontal="center" vertical="center" textRotation="0" indent="0" justifyLastLine="0" shrinkToFit="0" readingOrder="0"/>
    </dxf>
    <dxf>
      <alignment horizontal="left" vertical="center" textRotation="0" wrapText="1" indent="0" justifyLastLine="0" shrinkToFit="0" readingOrder="0"/>
      <border diagonalUp="0" diagonalDown="0" outline="0">
        <left style="thin">
          <color indexed="64"/>
        </left>
        <right/>
        <top style="thin">
          <color indexed="64"/>
        </top>
        <bottom style="thin">
          <color indexed="64"/>
        </bottom>
      </border>
    </dxf>
    <dxf>
      <font>
        <b/>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2"/>
        <color theme="0"/>
        <name val="Calibri"/>
        <scheme val="minor"/>
      </font>
      <fill>
        <patternFill patternType="solid">
          <fgColor indexed="64"/>
          <bgColor theme="2" tint="-0.499984740745262"/>
        </patternFill>
      </fill>
      <alignment horizontal="center" textRotation="0" indent="0" justifyLastLine="0" shrinkToFit="0" readingOrder="0"/>
    </dxf>
    <dxf>
      <font>
        <i val="0"/>
      </font>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64" formatCode="0000"/>
      <alignment horizontal="center" vertical="center" textRotation="0" indent="0" justifyLastLine="0" shrinkToFit="0" readingOrder="0"/>
    </dxf>
    <dxf>
      <alignment horizontal="left" vertical="center" textRotation="0" wrapText="1" indent="0" justifyLastLine="0" shrinkToFit="0" readingOrder="0"/>
      <border diagonalUp="0" diagonalDown="0" outline="0">
        <left style="thin">
          <color indexed="64"/>
        </left>
        <right/>
        <top style="thin">
          <color indexed="64"/>
        </top>
        <bottom style="thin">
          <color indexed="64"/>
        </bottom>
      </border>
    </dxf>
    <dxf>
      <font>
        <b/>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2"/>
        <color theme="0"/>
        <name val="Calibri"/>
        <scheme val="minor"/>
      </font>
      <fill>
        <patternFill patternType="solid">
          <fgColor indexed="64"/>
          <bgColor theme="2" tint="-0.499984740745262"/>
        </patternFill>
      </fill>
      <alignment horizontal="center" textRotation="0" indent="0" justifyLastLine="0" shrinkToFit="0" readingOrder="0"/>
    </dxf>
    <dxf>
      <font>
        <i val="0"/>
      </font>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64" formatCode="0000"/>
      <alignment horizontal="center" vertical="center" textRotation="0" indent="0" justifyLastLine="0" shrinkToFit="0" readingOrder="0"/>
    </dxf>
    <dxf>
      <alignment horizontal="left" vertical="center" textRotation="0" wrapText="1" indent="0" justifyLastLine="0" shrinkToFit="0" readingOrder="0"/>
      <border diagonalUp="0" diagonalDown="0" outline="0">
        <left style="thin">
          <color indexed="64"/>
        </left>
        <right/>
        <top style="thin">
          <color indexed="64"/>
        </top>
        <bottom style="thin">
          <color indexed="64"/>
        </bottom>
      </border>
    </dxf>
    <dxf>
      <font>
        <b/>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2"/>
        <color theme="0"/>
        <name val="Calibri"/>
        <scheme val="minor"/>
      </font>
      <fill>
        <patternFill patternType="solid">
          <fgColor indexed="64"/>
          <bgColor theme="2" tint="-0.499984740745262"/>
        </patternFill>
      </fill>
      <alignment horizontal="center" textRotation="0" indent="0" justifyLastLine="0" shrinkToFit="0" readingOrder="0"/>
    </dxf>
    <dxf>
      <font>
        <i val="0"/>
      </font>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64" formatCode="0000"/>
      <alignment horizontal="center" vertical="center" textRotation="0" indent="0" justifyLastLine="0" shrinkToFit="0" readingOrder="0"/>
    </dxf>
    <dxf>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2"/>
        <color theme="0"/>
        <name val="Calibri"/>
        <scheme val="minor"/>
      </font>
      <fill>
        <patternFill patternType="solid">
          <fgColor indexed="64"/>
          <bgColor theme="2" tint="-0.499984740745262"/>
        </patternFill>
      </fill>
      <alignment horizontal="center" textRotation="0" indent="0" justifyLastLine="0" shrinkToFit="0" readingOrder="0"/>
    </dxf>
    <dxf>
      <font>
        <i val="0"/>
      </font>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64" formatCode="0000"/>
      <alignment horizontal="center" vertical="center" textRotation="0" indent="0" justifyLastLine="0" shrinkToFit="0" readingOrder="0"/>
    </dxf>
    <dxf>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2"/>
        <color theme="0"/>
        <name val="Calibri"/>
        <scheme val="minor"/>
      </font>
      <fill>
        <patternFill patternType="solid">
          <fgColor indexed="64"/>
          <bgColor theme="2" tint="-0.499984740745262"/>
        </patternFill>
      </fill>
      <alignment horizontal="center" textRotation="0" indent="0" justifyLastLine="0" shrinkToFit="0" readingOrder="0"/>
    </dxf>
    <dxf>
      <font>
        <i val="0"/>
      </font>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64" formatCode="0000"/>
      <alignment horizontal="center" vertical="center" textRotation="0" indent="0" justifyLastLine="0" shrinkToFit="0" readingOrder="0"/>
    </dxf>
    <dxf>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2"/>
        <color theme="0"/>
        <name val="Calibri"/>
        <scheme val="minor"/>
      </font>
      <fill>
        <patternFill patternType="solid">
          <fgColor indexed="64"/>
          <bgColor theme="2" tint="-0.499984740745262"/>
        </patternFill>
      </fill>
      <alignment horizontal="center" textRotation="0" indent="0" justifyLastLine="0" shrinkToFit="0" readingOrder="0"/>
    </dxf>
    <dxf>
      <font>
        <i val="0"/>
      </font>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64" formatCode="0000"/>
      <alignment horizontal="center" vertical="center" textRotation="0" indent="0" justifyLastLine="0" shrinkToFit="0" readingOrder="0"/>
    </dxf>
    <dxf>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2"/>
        <color theme="0"/>
        <name val="Calibri"/>
        <scheme val="minor"/>
      </font>
      <fill>
        <patternFill patternType="solid">
          <fgColor indexed="64"/>
          <bgColor theme="2" tint="-0.499984740745262"/>
        </patternFill>
      </fill>
      <alignment horizontal="center" textRotation="0" indent="0" justifyLastLine="0" shrinkToFit="0" readingOrder="0"/>
    </dxf>
    <dxf>
      <font>
        <i val="0"/>
      </font>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64" formatCode="0000"/>
      <alignment horizontal="center" vertical="center" textRotation="0" indent="0" justifyLastLine="0" shrinkToFit="0" readingOrder="0"/>
    </dxf>
    <dxf>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2"/>
        <color theme="0"/>
        <name val="Calibri"/>
        <scheme val="minor"/>
      </font>
      <fill>
        <patternFill patternType="solid">
          <fgColor indexed="64"/>
          <bgColor theme="2" tint="-0.499984740745262"/>
        </patternFill>
      </fill>
      <alignment horizontal="center" textRotation="0" indent="0" justifyLastLine="0" shrinkToFit="0" readingOrder="0"/>
    </dxf>
    <dxf>
      <font>
        <i val="0"/>
      </font>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64" formatCode="0000"/>
      <alignment horizontal="center" vertical="center" textRotation="0" indent="0" justifyLastLine="0" shrinkToFit="0" readingOrder="0"/>
    </dxf>
    <dxf>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2"/>
        <color theme="0"/>
        <name val="Calibri"/>
        <scheme val="minor"/>
      </font>
      <fill>
        <patternFill patternType="solid">
          <fgColor indexed="64"/>
          <bgColor theme="2" tint="-0.499984740745262"/>
        </patternFill>
      </fill>
      <alignment horizontal="center" textRotation="0" indent="0" justifyLastLine="0" shrinkToFit="0" readingOrder="0"/>
    </dxf>
    <dxf>
      <font>
        <i val="0"/>
      </font>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64" formatCode="0000"/>
      <alignment horizontal="center" vertical="center" textRotation="0" indent="0" justifyLastLine="0" shrinkToFit="0" readingOrder="0"/>
    </dxf>
    <dxf>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2"/>
        <color theme="0"/>
        <name val="Calibri"/>
        <scheme val="minor"/>
      </font>
      <fill>
        <patternFill patternType="solid">
          <fgColor indexed="64"/>
          <bgColor theme="2" tint="-0.499984740745262"/>
        </patternFill>
      </fill>
      <alignment horizontal="center" textRotation="0" indent="0" justifyLastLine="0" shrinkToFit="0" readingOrder="0"/>
    </dxf>
    <dxf>
      <font>
        <i val="0"/>
      </font>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64" formatCode="0000"/>
      <alignment horizontal="center" vertical="center" textRotation="0" indent="0" justifyLastLine="0" shrinkToFit="0" readingOrder="0"/>
    </dxf>
    <dxf>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2"/>
        <color theme="0"/>
        <name val="Calibri"/>
        <scheme val="minor"/>
      </font>
      <fill>
        <patternFill patternType="solid">
          <fgColor indexed="64"/>
          <bgColor theme="2" tint="-0.499984740745262"/>
        </patternFill>
      </fill>
      <alignment horizontal="center" textRotation="0" indent="0" justifyLastLine="0" shrinkToFit="0" readingOrder="0"/>
    </dxf>
    <dxf>
      <font>
        <i val="0"/>
      </font>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64" formatCode="0000"/>
      <alignment horizontal="center" vertical="center" textRotation="0" indent="0" justifyLastLine="0" shrinkToFit="0" readingOrder="0"/>
    </dxf>
    <dxf>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2"/>
        <color theme="0"/>
        <name val="Calibri"/>
        <scheme val="minor"/>
      </font>
      <fill>
        <patternFill patternType="solid">
          <fgColor indexed="64"/>
          <bgColor theme="2" tint="-0.499984740745262"/>
        </patternFill>
      </fill>
      <alignment horizontal="center" textRotation="0" indent="0" justifyLastLine="0" shrinkToFit="0" readingOrder="0"/>
    </dxf>
    <dxf>
      <font>
        <i val="0"/>
      </font>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64" formatCode="0000"/>
      <alignment horizontal="center" vertical="center" textRotation="0" indent="0" justifyLastLine="0" shrinkToFit="0" readingOrder="0"/>
    </dxf>
    <dxf>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2"/>
        <color theme="0"/>
        <name val="Calibri"/>
        <scheme val="minor"/>
      </font>
      <fill>
        <patternFill patternType="solid">
          <fgColor indexed="64"/>
          <bgColor theme="2" tint="-0.499984740745262"/>
        </patternFill>
      </fill>
      <alignment horizontal="center" textRotation="0" indent="0" justifyLastLine="0" shrinkToFit="0" readingOrder="0"/>
    </dxf>
    <dxf>
      <font>
        <i val="0"/>
      </font>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64" formatCode="0000"/>
      <alignment horizontal="center" vertical="center" textRotation="0" indent="0" justifyLastLine="0" shrinkToFit="0" readingOrder="0"/>
    </dxf>
    <dxf>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2"/>
        <color theme="0"/>
        <name val="Calibri"/>
        <scheme val="minor"/>
      </font>
      <fill>
        <patternFill patternType="solid">
          <fgColor indexed="64"/>
          <bgColor theme="2" tint="-0.499984740745262"/>
        </patternFill>
      </fill>
      <alignment horizontal="center" textRotation="0" indent="0" justifyLastLine="0" shrinkToFit="0" readingOrder="0"/>
    </dxf>
    <dxf>
      <font>
        <i val="0"/>
      </font>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64" formatCode="0000"/>
      <alignment horizontal="center" vertical="center" textRotation="0" indent="0" justifyLastLine="0" shrinkToFit="0" readingOrder="0"/>
    </dxf>
    <dxf>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2"/>
        <color theme="0"/>
        <name val="Calibri"/>
        <scheme val="minor"/>
      </font>
      <fill>
        <patternFill patternType="solid">
          <fgColor indexed="64"/>
          <bgColor theme="2" tint="-0.499984740745262"/>
        </patternFill>
      </fill>
      <alignment horizontal="center" textRotation="0" indent="0" justifyLastLine="0" shrinkToFit="0" readingOrder="0"/>
    </dxf>
    <dxf>
      <font>
        <i val="0"/>
      </font>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64" formatCode="0000"/>
      <alignment horizontal="center" vertical="center" textRotation="0" indent="0" justifyLastLine="0" shrinkToFit="0" readingOrder="0"/>
    </dxf>
    <dxf>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2"/>
        <color theme="0"/>
        <name val="Calibri"/>
        <scheme val="minor"/>
      </font>
      <fill>
        <patternFill patternType="solid">
          <fgColor indexed="64"/>
          <bgColor theme="2" tint="-0.499984740745262"/>
        </patternFill>
      </fill>
      <alignment horizontal="center" textRotation="0" indent="0" justifyLastLine="0" shrinkToFit="0" readingOrder="0"/>
    </dxf>
    <dxf>
      <font>
        <i val="0"/>
      </font>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64" formatCode="0000"/>
      <alignment horizontal="center" vertical="center" textRotation="0" indent="0" justifyLastLine="0" shrinkToFit="0" readingOrder="0"/>
    </dxf>
    <dxf>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2"/>
        <color theme="0"/>
        <name val="Calibri"/>
        <scheme val="minor"/>
      </font>
      <fill>
        <patternFill patternType="solid">
          <fgColor indexed="64"/>
          <bgColor theme="2" tint="-0.499984740745262"/>
        </patternFill>
      </fill>
      <alignment horizontal="center" textRotation="0" indent="0" justifyLastLine="0" shrinkToFit="0" readingOrder="0"/>
    </dxf>
    <dxf>
      <font>
        <i val="0"/>
      </font>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64" formatCode="0000"/>
      <alignment horizontal="center" vertical="center" textRotation="0" indent="0" justifyLastLine="0" shrinkToFit="0" readingOrder="0"/>
    </dxf>
    <dxf>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2"/>
        <color theme="0"/>
        <name val="Calibri"/>
        <scheme val="minor"/>
      </font>
      <fill>
        <patternFill patternType="solid">
          <fgColor indexed="64"/>
          <bgColor theme="2" tint="-0.499984740745262"/>
        </patternFill>
      </fill>
      <alignment horizontal="center" textRotation="0" indent="0" justifyLastLine="0" shrinkToFit="0" readingOrder="0"/>
    </dxf>
    <dxf>
      <font>
        <i val="0"/>
      </font>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64" formatCode="0000"/>
      <alignment horizontal="center" vertical="center" textRotation="0" indent="0" justifyLastLine="0" shrinkToFit="0" readingOrder="0"/>
    </dxf>
    <dxf>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2"/>
        <color theme="0"/>
        <name val="Calibri"/>
        <scheme val="minor"/>
      </font>
      <fill>
        <patternFill patternType="solid">
          <fgColor indexed="64"/>
          <bgColor theme="2" tint="-0.499984740745262"/>
        </patternFill>
      </fill>
      <alignment horizontal="center" textRotation="0" indent="0" justifyLastLine="0" shrinkToFit="0" readingOrder="0"/>
    </dxf>
    <dxf>
      <font>
        <i val="0"/>
      </font>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64" formatCode="0000"/>
      <alignment horizontal="center" vertical="center" textRotation="0" indent="0" justifyLastLine="0" shrinkToFit="0" readingOrder="0"/>
    </dxf>
    <dxf>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2"/>
        <color theme="0"/>
        <name val="Calibri"/>
        <scheme val="minor"/>
      </font>
      <fill>
        <patternFill patternType="solid">
          <fgColor indexed="64"/>
          <bgColor theme="2" tint="-0.499984740745262"/>
        </patternFill>
      </fill>
      <alignment horizontal="center" textRotation="0" indent="0" justifyLastLine="0" shrinkToFit="0" readingOrder="0"/>
    </dxf>
    <dxf>
      <font>
        <i val="0"/>
      </font>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64" formatCode="0000"/>
      <alignment horizontal="center" vertical="center" textRotation="0" indent="0" justifyLastLine="0" shrinkToFit="0" readingOrder="0"/>
    </dxf>
    <dxf>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2"/>
        <color theme="0"/>
        <name val="Calibri"/>
        <scheme val="minor"/>
      </font>
      <fill>
        <patternFill patternType="solid">
          <fgColor indexed="64"/>
          <bgColor theme="2" tint="-0.499984740745262"/>
        </patternFill>
      </fill>
      <alignment horizontal="center" textRotation="0" indent="0" justifyLastLine="0" shrinkToFit="0" readingOrder="0"/>
    </dxf>
    <dxf>
      <font>
        <i val="0"/>
      </font>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64" formatCode="0000"/>
      <alignment horizontal="center" vertical="center" textRotation="0" indent="0" justifyLastLine="0" shrinkToFit="0" readingOrder="0"/>
    </dxf>
    <dxf>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2"/>
        <color theme="0"/>
        <name val="Calibri"/>
        <scheme val="minor"/>
      </font>
      <fill>
        <patternFill patternType="solid">
          <fgColor indexed="64"/>
          <bgColor theme="2" tint="-0.499984740745262"/>
        </patternFill>
      </fill>
      <alignment horizontal="center" textRotation="0" indent="0" justifyLastLine="0" shrinkToFit="0" readingOrder="0"/>
    </dxf>
    <dxf>
      <font>
        <i val="0"/>
      </font>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64" formatCode="0000"/>
      <alignment horizontal="center" vertical="center" textRotation="0" indent="0" justifyLastLine="0" shrinkToFit="0" readingOrder="0"/>
    </dxf>
    <dxf>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2"/>
        <color theme="0"/>
        <name val="Calibri"/>
        <scheme val="minor"/>
      </font>
      <fill>
        <patternFill patternType="solid">
          <fgColor indexed="64"/>
          <bgColor theme="2" tint="-0.499984740745262"/>
        </patternFill>
      </fill>
      <alignment horizontal="center" textRotation="0" indent="0" justifyLastLine="0" shrinkToFit="0" readingOrder="0"/>
    </dxf>
    <dxf>
      <font>
        <i val="0"/>
      </font>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64" formatCode="0000"/>
      <alignment horizontal="center" vertical="center" textRotation="0" indent="0" justifyLastLine="0" shrinkToFit="0" readingOrder="0"/>
    </dxf>
    <dxf>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2"/>
        <color theme="0"/>
        <name val="Calibri"/>
        <scheme val="minor"/>
      </font>
      <fill>
        <patternFill patternType="solid">
          <fgColor indexed="64"/>
          <bgColor theme="2" tint="-0.499984740745262"/>
        </patternFill>
      </fill>
      <alignment horizontal="center" textRotation="0" indent="0" justifyLastLine="0" shrinkToFit="0" readingOrder="0"/>
    </dxf>
    <dxf>
      <font>
        <i val="0"/>
      </font>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64" formatCode="0000"/>
      <alignment horizontal="center" vertical="center" textRotation="0" indent="0" justifyLastLine="0" shrinkToFit="0" readingOrder="0"/>
    </dxf>
    <dxf>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2"/>
        <color theme="0"/>
        <name val="Calibri"/>
        <scheme val="minor"/>
      </font>
      <fill>
        <patternFill patternType="solid">
          <fgColor indexed="64"/>
          <bgColor theme="2" tint="-0.499984740745262"/>
        </patternFill>
      </fill>
      <alignment horizontal="center" textRotation="0" indent="0" justifyLastLine="0" shrinkToFit="0" readingOrder="0"/>
    </dxf>
    <dxf>
      <font>
        <i val="0"/>
      </font>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64" formatCode="0000"/>
      <alignment horizontal="center" vertical="center" textRotation="0" indent="0" justifyLastLine="0" shrinkToFit="0" readingOrder="0"/>
    </dxf>
    <dxf>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2"/>
        <color theme="0"/>
        <name val="Calibri"/>
        <scheme val="minor"/>
      </font>
      <fill>
        <patternFill patternType="solid">
          <fgColor indexed="64"/>
          <bgColor theme="2" tint="-0.499984740745262"/>
        </patternFill>
      </fill>
      <alignment horizontal="center" textRotation="0" indent="0" justifyLastLine="0" shrinkToFit="0" readingOrder="0"/>
    </dxf>
    <dxf>
      <font>
        <i val="0"/>
      </font>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64" formatCode="0000"/>
      <alignment horizontal="center" vertical="center" textRotation="0" indent="0" justifyLastLine="0" shrinkToFit="0" readingOrder="0"/>
    </dxf>
    <dxf>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2"/>
        <color theme="0"/>
        <name val="Calibri"/>
        <scheme val="minor"/>
      </font>
      <fill>
        <patternFill patternType="solid">
          <fgColor indexed="64"/>
          <bgColor theme="2" tint="-0.499984740745262"/>
        </patternFill>
      </fill>
      <alignment horizontal="center" textRotation="0" indent="0" justifyLastLine="0" shrinkToFit="0" readingOrder="0"/>
    </dxf>
    <dxf>
      <font>
        <strike val="0"/>
        <outline val="0"/>
        <shadow val="0"/>
        <vertAlign val="baseline"/>
        <name val="Calibri"/>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top/>
        <bottom style="thin">
          <color indexed="64"/>
        </bottom>
        <vertical/>
        <horizontal/>
      </border>
    </dxf>
    <dxf>
      <font>
        <b val="0"/>
        <i/>
        <strike val="0"/>
        <condense val="0"/>
        <extend val="0"/>
        <outline val="0"/>
        <shadow val="0"/>
        <u val="none"/>
        <vertAlign val="baseline"/>
        <sz val="11"/>
        <color theme="1"/>
        <name val="Calibri"/>
        <scheme val="minor"/>
      </font>
      <fill>
        <patternFill patternType="solid">
          <fgColor theme="0" tint="-0.14999847407452621"/>
          <bgColor theme="0" tint="-0.14999847407452621"/>
        </patternFill>
      </fill>
      <alignment horizontal="center" vertical="center" textRotation="0" wrapText="0" indent="0" justifyLastLine="0" shrinkToFit="0" readingOrder="0"/>
      <border diagonalUp="0" diagonalDown="0" outline="0">
        <left style="thin">
          <color indexed="64"/>
        </left>
        <right/>
        <top/>
        <bottom style="thin">
          <color indexed="64"/>
        </bottom>
      </border>
    </dxf>
    <dxf>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strike val="0"/>
        <condense val="0"/>
        <extend val="0"/>
        <outline val="0"/>
        <shadow val="0"/>
        <u val="none"/>
        <vertAlign val="baseline"/>
        <sz val="11"/>
        <color theme="1"/>
        <name val="Calibri"/>
        <scheme val="minor"/>
      </font>
      <fill>
        <patternFill patternType="solid">
          <fgColor theme="0" tint="-0.14999847407452621"/>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1"/>
        <color theme="1"/>
        <name val="Calibri"/>
        <scheme val="minor"/>
      </font>
      <fill>
        <patternFill patternType="none">
          <fgColor indexed="64"/>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fill>
        <patternFill patternType="solid">
          <fgColor theme="0" tint="-0.14999847407452621"/>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fill>
        <patternFill patternType="solid">
          <fgColor theme="0" tint="-0.14999847407452621"/>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1"/>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fill>
        <patternFill patternType="solid">
          <fgColor theme="0" tint="-0.14999847407452621"/>
          <bgColor theme="0" tint="-0.14999847407452621"/>
        </patternFill>
      </fill>
      <alignment horizontal="center" vertical="center" textRotation="0" wrapText="0" indent="0" justifyLastLine="0" shrinkToFit="0" readingOrder="0"/>
      <border diagonalUp="0" diagonalDown="0" outline="0">
        <left style="thin">
          <color indexed="64"/>
        </left>
        <right style="thin">
          <color indexed="64"/>
        </right>
        <top/>
        <bottom style="thin">
          <color indexed="64"/>
        </bottom>
      </border>
    </dxf>
    <dxf>
      <font>
        <b val="0"/>
        <i val="0"/>
        <strike val="0"/>
        <condense val="0"/>
        <extend val="0"/>
        <outline val="0"/>
        <shadow val="0"/>
        <u/>
        <vertAlign val="baseline"/>
        <sz val="16"/>
        <color theme="10"/>
        <name val="Calibri"/>
        <scheme val="minor"/>
      </font>
      <fill>
        <patternFill patternType="none">
          <fgColor indexed="64"/>
          <bgColor auto="1"/>
        </patternFill>
      </fill>
      <alignment horizontal="center" vertical="center" textRotation="0" wrapText="0" indent="0" justifyLastLine="0" shrinkToFit="0" readingOrder="0"/>
      <border diagonalUp="0" diagonalDown="0" outline="0">
        <left/>
        <right style="thin">
          <color indexed="64"/>
        </right>
        <top/>
        <bottom style="thin">
          <color indexed="64"/>
        </bottom>
      </border>
    </dxf>
    <dxf>
      <font>
        <b val="0"/>
        <i val="0"/>
        <strike val="0"/>
        <condense val="0"/>
        <extend val="0"/>
        <outline val="0"/>
        <shadow val="0"/>
        <u/>
        <vertAlign val="baseline"/>
        <sz val="16"/>
        <color theme="10"/>
        <name val="Calibri"/>
        <scheme val="minor"/>
      </font>
      <fill>
        <patternFill patternType="solid">
          <fgColor theme="0" tint="-0.14999847407452621"/>
          <bgColor theme="0" tint="-0.14999847407452621"/>
        </patternFill>
      </fill>
      <alignment horizontal="center" vertical="center" textRotation="0" wrapText="0" indent="0" justifyLastLine="0" shrinkToFit="0" readingOrder="0"/>
      <border diagonalUp="0" diagonalDown="0" outline="0">
        <left/>
        <right style="thin">
          <color indexed="64"/>
        </right>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ill>
        <patternFill patternType="none">
          <bgColor auto="1"/>
        </patternFill>
      </fill>
    </dxf>
    <dxf>
      <border outline="0">
        <bottom style="thin">
          <color indexed="64"/>
        </bottom>
      </border>
    </dxf>
    <dxf>
      <fill>
        <patternFill patternType="none">
          <bgColor auto="1"/>
        </patternFill>
      </fill>
      <border diagonalUp="0" diagonalDown="0">
        <left style="thin">
          <color indexed="64"/>
        </left>
        <right style="thin">
          <color indexed="64"/>
        </right>
        <top/>
        <bottom/>
        <vertical style="thin">
          <color indexed="64"/>
        </vertical>
        <horizontal style="thin">
          <color indexed="64"/>
        </horizontal>
      </border>
    </dxf>
    <dxf>
      <font>
        <strike val="0"/>
        <outline val="0"/>
        <shadow val="0"/>
        <vertAlign val="baseline"/>
        <name val="Calibri"/>
      </font>
      <fill>
        <patternFill patternType="none">
          <fgColor indexed="64"/>
          <bgColor auto="1"/>
        </patternFill>
      </fill>
      <alignment horizontal="general" vertical="center" textRotation="0" wrapText="0" indent="0" justifyLastLine="0" shrinkToFit="0" readingOrder="0"/>
      <border diagonalUp="0" diagonalDown="0" outline="0">
        <left style="thin">
          <color indexed="64"/>
        </left>
        <right/>
        <top style="thin">
          <color indexed="64"/>
        </top>
        <bottom style="thin">
          <color indexed="64"/>
        </bottom>
      </border>
    </dxf>
    <dxf>
      <border diagonalUp="0" diagonalDown="0" outline="0">
        <left style="thin">
          <color indexed="64"/>
        </left>
        <right/>
        <top/>
        <bottom style="thin">
          <color indexed="64"/>
        </bottom>
      </border>
    </dxf>
    <dxf>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border diagonalUp="0" diagonalDown="0" outline="0">
        <left style="thin">
          <color indexed="64"/>
        </left>
        <right style="thin">
          <color indexed="64"/>
        </right>
        <top/>
        <bottom style="thin">
          <color indexed="64"/>
        </bottom>
      </border>
    </dxf>
    <dxf>
      <font>
        <i val="0"/>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1"/>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1"/>
        <color auto="1"/>
        <name val="Calibri"/>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ertAlign val="baseline"/>
        <sz val="16"/>
        <color theme="10"/>
        <name val="Calibri"/>
        <scheme val="minor"/>
      </font>
      <fill>
        <patternFill patternType="none">
          <fgColor indexed="64"/>
          <bgColor indexed="65"/>
        </patternFill>
      </fill>
      <alignment horizontal="center" vertical="center" textRotation="0" wrapText="0" indent="0" justifyLastLine="0" shrinkToFit="0" readingOrder="0"/>
      <border diagonalUp="0" diagonalDown="0">
        <left/>
        <right style="thin">
          <color indexed="64"/>
        </right>
        <top/>
        <bottom style="thin">
          <color indexed="64"/>
        </bottom>
        <vertical/>
        <horizontal/>
      </border>
    </dxf>
    <dxf>
      <font>
        <b val="0"/>
        <i val="0"/>
        <strike val="0"/>
        <condense val="0"/>
        <extend val="0"/>
        <outline val="0"/>
        <shadow val="0"/>
        <u/>
        <vertAlign val="baseline"/>
        <sz val="16"/>
        <color theme="10"/>
        <name val="Calibri"/>
        <scheme val="minor"/>
      </font>
      <fill>
        <patternFill patternType="none">
          <fgColor indexed="64"/>
          <bgColor indexed="65"/>
        </patternFill>
      </fill>
      <alignment horizontal="center" vertical="center" textRotation="0" wrapText="0" indent="0" justifyLastLine="0" shrinkToFit="0" readingOrder="0"/>
      <border diagonalUp="0" diagonalDown="0" outline="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ill>
        <patternFill patternType="none">
          <fgColor indexed="64"/>
          <bgColor auto="1"/>
        </patternFill>
      </fill>
    </dxf>
    <dxf>
      <border outline="0">
        <bottom style="thin">
          <color indexed="64"/>
        </bottom>
      </border>
    </dxf>
    <dxf>
      <fill>
        <patternFill patternType="none">
          <fgColor indexed="64"/>
          <bgColor auto="1"/>
        </patternFill>
      </fill>
      <border diagonalUp="0" diagonalDown="0" outline="0">
        <left style="thin">
          <color indexed="64"/>
        </left>
        <right style="thin">
          <color indexed="64"/>
        </right>
        <top/>
        <bottom/>
      </border>
    </dxf>
    <dxf>
      <font>
        <strike val="0"/>
        <outline val="0"/>
        <shadow val="0"/>
        <u val="none"/>
        <vertAlign val="baseline"/>
        <sz val="11"/>
        <color auto="1"/>
        <name val="Calibri"/>
        <scheme val="minor"/>
      </font>
      <alignment vertical="center" textRotation="0" wrapText="1"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font>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font>
      <fill>
        <patternFill patternType="none">
          <fgColor indexed="64"/>
          <bgColor auto="1"/>
        </patternFill>
      </fill>
      <border diagonalUp="0" diagonalDown="0" outline="0">
        <left/>
        <right/>
        <top style="thin">
          <color indexed="64"/>
        </top>
        <bottom style="thin">
          <color indexed="64"/>
        </bottom>
      </border>
    </dxf>
    <dxf>
      <font>
        <b/>
      </font>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ertAlign val="baseline"/>
        <sz val="16"/>
        <color theme="10"/>
        <name val="Calibri"/>
        <scheme val="minor"/>
      </font>
      <fill>
        <patternFill patternType="none">
          <fgColor indexed="64"/>
          <bgColor indexed="65"/>
        </patternFill>
      </fill>
      <alignment horizontal="center" vertical="center" textRotation="0" wrapText="0" indent="0" justifyLastLine="0" shrinkToFit="0" readingOrder="0"/>
      <border diagonalUp="0" diagonalDown="0">
        <left/>
        <right style="thin">
          <color indexed="64"/>
        </right>
        <top/>
        <bottom style="thin">
          <color indexed="64"/>
        </bottom>
        <vertical/>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
      <font>
        <b/>
        <strike val="0"/>
        <outline val="0"/>
        <shadow val="0"/>
        <vertAlign val="baseline"/>
        <color rgb="FF00B050"/>
        <name val="Calibri"/>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top/>
        <bottom style="thin">
          <color indexed="64"/>
        </bottom>
        <vertical/>
        <horizontal/>
      </border>
    </dxf>
    <dxf>
      <font>
        <b val="0"/>
        <i/>
        <strike val="0"/>
        <condense val="0"/>
        <extend val="0"/>
        <outline val="0"/>
        <shadow val="0"/>
        <u val="none"/>
        <vertAlign val="baseline"/>
        <sz val="11"/>
        <color theme="1"/>
        <name val="Calibri"/>
        <scheme val="minor"/>
      </font>
      <fill>
        <patternFill patternType="solid">
          <fgColor theme="0" tint="-0.14999847407452621"/>
          <bgColor theme="0" tint="-0.14999847407452621"/>
        </patternFill>
      </fill>
      <alignment horizontal="center" vertical="center" textRotation="0" wrapText="0" indent="0" justifyLastLine="0" shrinkToFit="0" readingOrder="0"/>
      <border diagonalUp="0" diagonalDown="0" outline="0">
        <left style="thin">
          <color indexed="64"/>
        </left>
        <right/>
        <top/>
        <bottom style="thin">
          <color indexed="64"/>
        </bottom>
      </border>
    </dxf>
    <dxf>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strike val="0"/>
        <condense val="0"/>
        <extend val="0"/>
        <outline val="0"/>
        <shadow val="0"/>
        <u val="none"/>
        <vertAlign val="baseline"/>
        <sz val="11"/>
        <color theme="1"/>
        <name val="Calibri"/>
        <scheme val="minor"/>
      </font>
      <fill>
        <patternFill patternType="solid">
          <fgColor theme="0" tint="-0.14999847407452621"/>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1"/>
        <color theme="1"/>
        <name val="Calibri"/>
        <scheme val="minor"/>
      </font>
      <fill>
        <patternFill patternType="none">
          <fgColor indexed="64"/>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fill>
        <patternFill patternType="solid">
          <fgColor theme="0" tint="-0.14999847407452621"/>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bottom style="thin">
          <color indexed="64"/>
        </bottom>
        <vertical/>
        <horizontal/>
      </border>
    </dxf>
    <dxf>
      <font>
        <b val="0"/>
        <i val="0"/>
        <strike val="0"/>
        <condense val="0"/>
        <extend val="0"/>
        <outline val="0"/>
        <shadow val="0"/>
        <u val="none"/>
        <vertAlign val="baseline"/>
        <sz val="11"/>
        <color theme="1"/>
        <name val="Calibri"/>
        <scheme val="minor"/>
      </font>
      <fill>
        <patternFill patternType="solid">
          <fgColor theme="0" tint="-0.14999847407452621"/>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1"/>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fill>
        <patternFill patternType="solid">
          <fgColor theme="0" tint="-0.14999847407452621"/>
          <bgColor theme="0" tint="-0.14999847407452621"/>
        </patternFill>
      </fill>
      <alignment horizontal="center" vertical="center" textRotation="0" wrapText="0" indent="0" justifyLastLine="0" shrinkToFit="0" readingOrder="0"/>
      <border diagonalUp="0" diagonalDown="0" outline="0">
        <left style="thin">
          <color indexed="64"/>
        </left>
        <right style="thin">
          <color indexed="64"/>
        </right>
        <top/>
        <bottom style="thin">
          <color indexed="64"/>
        </bottom>
      </border>
    </dxf>
    <dxf>
      <font>
        <b val="0"/>
        <i val="0"/>
        <strike val="0"/>
        <condense val="0"/>
        <extend val="0"/>
        <outline val="0"/>
        <shadow val="0"/>
        <u/>
        <vertAlign val="baseline"/>
        <sz val="16"/>
        <color theme="10"/>
        <name val="Calibri"/>
        <scheme val="minor"/>
      </font>
      <fill>
        <patternFill patternType="none">
          <fgColor indexed="64"/>
          <bgColor auto="1"/>
        </patternFill>
      </fill>
      <alignment horizontal="center" vertical="center" textRotation="0" wrapText="0" indent="0" justifyLastLine="0" shrinkToFit="0" readingOrder="0"/>
      <border diagonalUp="0" diagonalDown="0" outline="0">
        <left/>
        <right style="thin">
          <color indexed="64"/>
        </right>
        <top/>
        <bottom style="thin">
          <color indexed="64"/>
        </bottom>
      </border>
    </dxf>
    <dxf>
      <font>
        <b val="0"/>
        <i val="0"/>
        <strike val="0"/>
        <condense val="0"/>
        <extend val="0"/>
        <outline val="0"/>
        <shadow val="0"/>
        <u/>
        <vertAlign val="baseline"/>
        <sz val="16"/>
        <color theme="10"/>
        <name val="Calibri"/>
        <scheme val="minor"/>
      </font>
      <fill>
        <patternFill patternType="solid">
          <fgColor theme="0" tint="-0.14999847407452621"/>
          <bgColor theme="0" tint="-0.14999847407452621"/>
        </patternFill>
      </fill>
      <alignment horizontal="center" vertical="center" textRotation="0" wrapText="0" indent="0" justifyLastLine="0" shrinkToFit="0" readingOrder="0"/>
      <border diagonalUp="0" diagonalDown="0" outline="0">
        <left/>
        <right style="thin">
          <color indexed="64"/>
        </right>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ill>
        <patternFill patternType="none">
          <bgColor auto="1"/>
        </patternFill>
      </fill>
    </dxf>
    <dxf>
      <border outline="0">
        <bottom style="thin">
          <color indexed="64"/>
        </bottom>
      </border>
    </dxf>
    <dxf>
      <fill>
        <patternFill patternType="none">
          <bgColor auto="1"/>
        </patternFill>
      </fill>
      <border diagonalUp="0" diagonalDown="0">
        <left style="thin">
          <color indexed="64"/>
        </left>
        <right style="thin">
          <color indexed="64"/>
        </right>
        <top/>
        <bottom/>
        <vertical style="thin">
          <color indexed="64"/>
        </vertical>
        <horizontal style="thin">
          <color indexed="64"/>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7" Type="http://schemas.openxmlformats.org/officeDocument/2006/relationships/worksheet" Target="worksheets/sheet117.xml"/><Relationship Id="rId21" Type="http://schemas.openxmlformats.org/officeDocument/2006/relationships/worksheet" Target="worksheets/sheet21.xml"/><Relationship Id="rId42" Type="http://schemas.openxmlformats.org/officeDocument/2006/relationships/worksheet" Target="worksheets/sheet42.xml"/><Relationship Id="rId63" Type="http://schemas.openxmlformats.org/officeDocument/2006/relationships/worksheet" Target="worksheets/sheet63.xml"/><Relationship Id="rId84" Type="http://schemas.openxmlformats.org/officeDocument/2006/relationships/worksheet" Target="worksheets/sheet84.xml"/><Relationship Id="rId138" Type="http://schemas.openxmlformats.org/officeDocument/2006/relationships/worksheet" Target="worksheets/sheet138.xml"/><Relationship Id="rId159" Type="http://schemas.openxmlformats.org/officeDocument/2006/relationships/worksheet" Target="worksheets/sheet159.xml"/><Relationship Id="rId170" Type="http://schemas.openxmlformats.org/officeDocument/2006/relationships/worksheet" Target="worksheets/sheet170.xml"/><Relationship Id="rId191" Type="http://schemas.openxmlformats.org/officeDocument/2006/relationships/worksheet" Target="worksheets/sheet191.xml"/><Relationship Id="rId205" Type="http://schemas.openxmlformats.org/officeDocument/2006/relationships/theme" Target="theme/theme1.xml"/><Relationship Id="rId107" Type="http://schemas.openxmlformats.org/officeDocument/2006/relationships/worksheet" Target="worksheets/sheet107.xml"/><Relationship Id="rId11" Type="http://schemas.openxmlformats.org/officeDocument/2006/relationships/worksheet" Target="worksheets/sheet11.xml"/><Relationship Id="rId32" Type="http://schemas.openxmlformats.org/officeDocument/2006/relationships/worksheet" Target="worksheets/sheet32.xml"/><Relationship Id="rId53" Type="http://schemas.openxmlformats.org/officeDocument/2006/relationships/worksheet" Target="worksheets/sheet53.xml"/><Relationship Id="rId74" Type="http://schemas.openxmlformats.org/officeDocument/2006/relationships/worksheet" Target="worksheets/sheet74.xml"/><Relationship Id="rId128" Type="http://schemas.openxmlformats.org/officeDocument/2006/relationships/worksheet" Target="worksheets/sheet128.xml"/><Relationship Id="rId149" Type="http://schemas.openxmlformats.org/officeDocument/2006/relationships/worksheet" Target="worksheets/sheet149.xml"/><Relationship Id="rId5" Type="http://schemas.openxmlformats.org/officeDocument/2006/relationships/worksheet" Target="worksheets/sheet5.xml"/><Relationship Id="rId95" Type="http://schemas.openxmlformats.org/officeDocument/2006/relationships/worksheet" Target="worksheets/sheet95.xml"/><Relationship Id="rId160" Type="http://schemas.openxmlformats.org/officeDocument/2006/relationships/worksheet" Target="worksheets/sheet160.xml"/><Relationship Id="rId181" Type="http://schemas.openxmlformats.org/officeDocument/2006/relationships/worksheet" Target="worksheets/sheet181.xml"/><Relationship Id="rId22" Type="http://schemas.openxmlformats.org/officeDocument/2006/relationships/worksheet" Target="worksheets/sheet22.xml"/><Relationship Id="rId43" Type="http://schemas.openxmlformats.org/officeDocument/2006/relationships/worksheet" Target="worksheets/sheet43.xml"/><Relationship Id="rId64" Type="http://schemas.openxmlformats.org/officeDocument/2006/relationships/worksheet" Target="worksheets/sheet64.xml"/><Relationship Id="rId118" Type="http://schemas.openxmlformats.org/officeDocument/2006/relationships/worksheet" Target="worksheets/sheet118.xml"/><Relationship Id="rId139" Type="http://schemas.openxmlformats.org/officeDocument/2006/relationships/worksheet" Target="worksheets/sheet139.xml"/><Relationship Id="rId85" Type="http://schemas.openxmlformats.org/officeDocument/2006/relationships/worksheet" Target="worksheets/sheet85.xml"/><Relationship Id="rId150" Type="http://schemas.openxmlformats.org/officeDocument/2006/relationships/worksheet" Target="worksheets/sheet150.xml"/><Relationship Id="rId171" Type="http://schemas.openxmlformats.org/officeDocument/2006/relationships/worksheet" Target="worksheets/sheet171.xml"/><Relationship Id="rId192" Type="http://schemas.openxmlformats.org/officeDocument/2006/relationships/worksheet" Target="worksheets/sheet192.xml"/><Relationship Id="rId206" Type="http://schemas.openxmlformats.org/officeDocument/2006/relationships/styles" Target="styles.xml"/><Relationship Id="rId12" Type="http://schemas.openxmlformats.org/officeDocument/2006/relationships/worksheet" Target="worksheets/sheet12.xml"/><Relationship Id="rId33" Type="http://schemas.openxmlformats.org/officeDocument/2006/relationships/worksheet" Target="worksheets/sheet33.xml"/><Relationship Id="rId108" Type="http://schemas.openxmlformats.org/officeDocument/2006/relationships/worksheet" Target="worksheets/sheet108.xml"/><Relationship Id="rId129" Type="http://schemas.openxmlformats.org/officeDocument/2006/relationships/worksheet" Target="worksheets/sheet129.xml"/><Relationship Id="rId54" Type="http://schemas.openxmlformats.org/officeDocument/2006/relationships/worksheet" Target="worksheets/sheet54.xml"/><Relationship Id="rId75" Type="http://schemas.openxmlformats.org/officeDocument/2006/relationships/worksheet" Target="worksheets/sheet75.xml"/><Relationship Id="rId96" Type="http://schemas.openxmlformats.org/officeDocument/2006/relationships/worksheet" Target="worksheets/sheet96.xml"/><Relationship Id="rId140" Type="http://schemas.openxmlformats.org/officeDocument/2006/relationships/worksheet" Target="worksheets/sheet140.xml"/><Relationship Id="rId161" Type="http://schemas.openxmlformats.org/officeDocument/2006/relationships/worksheet" Target="worksheets/sheet161.xml"/><Relationship Id="rId182" Type="http://schemas.openxmlformats.org/officeDocument/2006/relationships/worksheet" Target="worksheets/sheet182.xml"/><Relationship Id="rId6" Type="http://schemas.openxmlformats.org/officeDocument/2006/relationships/worksheet" Target="worksheets/sheet6.xml"/><Relationship Id="rId23" Type="http://schemas.openxmlformats.org/officeDocument/2006/relationships/worksheet" Target="worksheets/sheet23.xml"/><Relationship Id="rId119" Type="http://schemas.openxmlformats.org/officeDocument/2006/relationships/worksheet" Target="worksheets/sheet119.xml"/><Relationship Id="rId44" Type="http://schemas.openxmlformats.org/officeDocument/2006/relationships/worksheet" Target="worksheets/sheet44.xml"/><Relationship Id="rId65" Type="http://schemas.openxmlformats.org/officeDocument/2006/relationships/worksheet" Target="worksheets/sheet65.xml"/><Relationship Id="rId86" Type="http://schemas.openxmlformats.org/officeDocument/2006/relationships/worksheet" Target="worksheets/sheet86.xml"/><Relationship Id="rId130" Type="http://schemas.openxmlformats.org/officeDocument/2006/relationships/worksheet" Target="worksheets/sheet130.xml"/><Relationship Id="rId151" Type="http://schemas.openxmlformats.org/officeDocument/2006/relationships/worksheet" Target="worksheets/sheet151.xml"/><Relationship Id="rId172" Type="http://schemas.openxmlformats.org/officeDocument/2006/relationships/worksheet" Target="worksheets/sheet172.xml"/><Relationship Id="rId193" Type="http://schemas.openxmlformats.org/officeDocument/2006/relationships/worksheet" Target="worksheets/sheet193.xml"/><Relationship Id="rId207" Type="http://schemas.openxmlformats.org/officeDocument/2006/relationships/sharedStrings" Target="sharedStrings.xml"/><Relationship Id="rId13" Type="http://schemas.openxmlformats.org/officeDocument/2006/relationships/worksheet" Target="worksheets/sheet13.xml"/><Relationship Id="rId109" Type="http://schemas.openxmlformats.org/officeDocument/2006/relationships/worksheet" Target="worksheets/sheet109.xml"/><Relationship Id="rId34" Type="http://schemas.openxmlformats.org/officeDocument/2006/relationships/worksheet" Target="worksheets/sheet34.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20" Type="http://schemas.openxmlformats.org/officeDocument/2006/relationships/worksheet" Target="worksheets/sheet120.xml"/><Relationship Id="rId141" Type="http://schemas.openxmlformats.org/officeDocument/2006/relationships/worksheet" Target="worksheets/sheet141.xml"/><Relationship Id="rId7" Type="http://schemas.openxmlformats.org/officeDocument/2006/relationships/worksheet" Target="worksheets/sheet7.xml"/><Relationship Id="rId162" Type="http://schemas.openxmlformats.org/officeDocument/2006/relationships/worksheet" Target="worksheets/sheet162.xml"/><Relationship Id="rId183" Type="http://schemas.openxmlformats.org/officeDocument/2006/relationships/worksheet" Target="worksheets/sheet183.xml"/><Relationship Id="rId24" Type="http://schemas.openxmlformats.org/officeDocument/2006/relationships/worksheet" Target="worksheets/sheet24.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110" Type="http://schemas.openxmlformats.org/officeDocument/2006/relationships/worksheet" Target="worksheets/sheet110.xml"/><Relationship Id="rId131" Type="http://schemas.openxmlformats.org/officeDocument/2006/relationships/worksheet" Target="worksheets/sheet131.xml"/><Relationship Id="rId61" Type="http://schemas.openxmlformats.org/officeDocument/2006/relationships/worksheet" Target="worksheets/sheet61.xml"/><Relationship Id="rId82" Type="http://schemas.openxmlformats.org/officeDocument/2006/relationships/worksheet" Target="worksheets/sheet82.xml"/><Relationship Id="rId152" Type="http://schemas.openxmlformats.org/officeDocument/2006/relationships/worksheet" Target="worksheets/sheet152.xml"/><Relationship Id="rId173" Type="http://schemas.openxmlformats.org/officeDocument/2006/relationships/worksheet" Target="worksheets/sheet173.xml"/><Relationship Id="rId194" Type="http://schemas.openxmlformats.org/officeDocument/2006/relationships/worksheet" Target="worksheets/sheet194.xml"/><Relationship Id="rId199" Type="http://schemas.openxmlformats.org/officeDocument/2006/relationships/worksheet" Target="worksheets/sheet199.xml"/><Relationship Id="rId203" Type="http://schemas.openxmlformats.org/officeDocument/2006/relationships/worksheet" Target="worksheets/sheet203.xml"/><Relationship Id="rId208" Type="http://schemas.openxmlformats.org/officeDocument/2006/relationships/calcChain" Target="calcChain.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worksheet" Target="worksheets/sheet105.xml"/><Relationship Id="rId126" Type="http://schemas.openxmlformats.org/officeDocument/2006/relationships/worksheet" Target="worksheets/sheet126.xml"/><Relationship Id="rId147" Type="http://schemas.openxmlformats.org/officeDocument/2006/relationships/worksheet" Target="worksheets/sheet147.xml"/><Relationship Id="rId168" Type="http://schemas.openxmlformats.org/officeDocument/2006/relationships/worksheet" Target="worksheets/sheet168.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worksheet" Target="worksheets/sheet98.xml"/><Relationship Id="rId121" Type="http://schemas.openxmlformats.org/officeDocument/2006/relationships/worksheet" Target="worksheets/sheet121.xml"/><Relationship Id="rId142" Type="http://schemas.openxmlformats.org/officeDocument/2006/relationships/worksheet" Target="worksheets/sheet142.xml"/><Relationship Id="rId163" Type="http://schemas.openxmlformats.org/officeDocument/2006/relationships/worksheet" Target="worksheets/sheet163.xml"/><Relationship Id="rId184" Type="http://schemas.openxmlformats.org/officeDocument/2006/relationships/worksheet" Target="worksheets/sheet184.xml"/><Relationship Id="rId189" Type="http://schemas.openxmlformats.org/officeDocument/2006/relationships/worksheet" Target="worksheets/sheet189.xml"/><Relationship Id="rId3" Type="http://schemas.openxmlformats.org/officeDocument/2006/relationships/worksheet" Target="worksheets/sheet3.xml"/><Relationship Id="rId25" Type="http://schemas.openxmlformats.org/officeDocument/2006/relationships/worksheet" Target="worksheets/sheet25.xml"/><Relationship Id="rId46" Type="http://schemas.openxmlformats.org/officeDocument/2006/relationships/worksheet" Target="worksheets/sheet46.xml"/><Relationship Id="rId67" Type="http://schemas.openxmlformats.org/officeDocument/2006/relationships/worksheet" Target="worksheets/sheet67.xml"/><Relationship Id="rId116" Type="http://schemas.openxmlformats.org/officeDocument/2006/relationships/worksheet" Target="worksheets/sheet116.xml"/><Relationship Id="rId137" Type="http://schemas.openxmlformats.org/officeDocument/2006/relationships/worksheet" Target="worksheets/sheet137.xml"/><Relationship Id="rId158" Type="http://schemas.openxmlformats.org/officeDocument/2006/relationships/worksheet" Target="worksheets/sheet158.xml"/><Relationship Id="rId20" Type="http://schemas.openxmlformats.org/officeDocument/2006/relationships/worksheet" Target="worksheets/sheet20.xml"/><Relationship Id="rId41" Type="http://schemas.openxmlformats.org/officeDocument/2006/relationships/worksheet" Target="worksheets/sheet41.xml"/><Relationship Id="rId62" Type="http://schemas.openxmlformats.org/officeDocument/2006/relationships/worksheet" Target="worksheets/sheet62.xml"/><Relationship Id="rId83" Type="http://schemas.openxmlformats.org/officeDocument/2006/relationships/worksheet" Target="worksheets/sheet83.xml"/><Relationship Id="rId88" Type="http://schemas.openxmlformats.org/officeDocument/2006/relationships/worksheet" Target="worksheets/sheet88.xml"/><Relationship Id="rId111" Type="http://schemas.openxmlformats.org/officeDocument/2006/relationships/worksheet" Target="worksheets/sheet111.xml"/><Relationship Id="rId132" Type="http://schemas.openxmlformats.org/officeDocument/2006/relationships/worksheet" Target="worksheets/sheet132.xml"/><Relationship Id="rId153" Type="http://schemas.openxmlformats.org/officeDocument/2006/relationships/worksheet" Target="worksheets/sheet153.xml"/><Relationship Id="rId174" Type="http://schemas.openxmlformats.org/officeDocument/2006/relationships/worksheet" Target="worksheets/sheet174.xml"/><Relationship Id="rId179" Type="http://schemas.openxmlformats.org/officeDocument/2006/relationships/worksheet" Target="worksheets/sheet179.xml"/><Relationship Id="rId195" Type="http://schemas.openxmlformats.org/officeDocument/2006/relationships/worksheet" Target="worksheets/sheet195.xml"/><Relationship Id="rId209" Type="http://schemas.openxmlformats.org/officeDocument/2006/relationships/customXml" Target="../customXml/item1.xml"/><Relationship Id="rId190" Type="http://schemas.openxmlformats.org/officeDocument/2006/relationships/worksheet" Target="worksheets/sheet190.xml"/><Relationship Id="rId204" Type="http://schemas.openxmlformats.org/officeDocument/2006/relationships/externalLink" Target="externalLinks/externalLink1.xml"/><Relationship Id="rId15" Type="http://schemas.openxmlformats.org/officeDocument/2006/relationships/worksheet" Target="worksheets/sheet15.xml"/><Relationship Id="rId36" Type="http://schemas.openxmlformats.org/officeDocument/2006/relationships/worksheet" Target="worksheets/sheet36.xml"/><Relationship Id="rId57" Type="http://schemas.openxmlformats.org/officeDocument/2006/relationships/worksheet" Target="worksheets/sheet57.xml"/><Relationship Id="rId106" Type="http://schemas.openxmlformats.org/officeDocument/2006/relationships/worksheet" Target="worksheets/sheet106.xml"/><Relationship Id="rId127" Type="http://schemas.openxmlformats.org/officeDocument/2006/relationships/worksheet" Target="worksheets/sheet127.xml"/><Relationship Id="rId10" Type="http://schemas.openxmlformats.org/officeDocument/2006/relationships/worksheet" Target="worksheets/sheet10.xml"/><Relationship Id="rId31" Type="http://schemas.openxmlformats.org/officeDocument/2006/relationships/worksheet" Target="worksheets/sheet31.xml"/><Relationship Id="rId52" Type="http://schemas.openxmlformats.org/officeDocument/2006/relationships/worksheet" Target="worksheets/sheet52.xml"/><Relationship Id="rId73" Type="http://schemas.openxmlformats.org/officeDocument/2006/relationships/worksheet" Target="worksheets/sheet73.xml"/><Relationship Id="rId78" Type="http://schemas.openxmlformats.org/officeDocument/2006/relationships/worksheet" Target="worksheets/sheet78.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122" Type="http://schemas.openxmlformats.org/officeDocument/2006/relationships/worksheet" Target="worksheets/sheet122.xml"/><Relationship Id="rId143" Type="http://schemas.openxmlformats.org/officeDocument/2006/relationships/worksheet" Target="worksheets/sheet143.xml"/><Relationship Id="rId148" Type="http://schemas.openxmlformats.org/officeDocument/2006/relationships/worksheet" Target="worksheets/sheet148.xml"/><Relationship Id="rId164" Type="http://schemas.openxmlformats.org/officeDocument/2006/relationships/worksheet" Target="worksheets/sheet164.xml"/><Relationship Id="rId169" Type="http://schemas.openxmlformats.org/officeDocument/2006/relationships/worksheet" Target="worksheets/sheet169.xml"/><Relationship Id="rId185" Type="http://schemas.openxmlformats.org/officeDocument/2006/relationships/worksheet" Target="worksheets/sheet185.xml"/><Relationship Id="rId4" Type="http://schemas.openxmlformats.org/officeDocument/2006/relationships/worksheet" Target="worksheets/sheet4.xml"/><Relationship Id="rId9" Type="http://schemas.openxmlformats.org/officeDocument/2006/relationships/worksheet" Target="worksheets/sheet9.xml"/><Relationship Id="rId180" Type="http://schemas.openxmlformats.org/officeDocument/2006/relationships/worksheet" Target="worksheets/sheet180.xml"/><Relationship Id="rId210" Type="http://schemas.openxmlformats.org/officeDocument/2006/relationships/customXml" Target="../customXml/item2.xml"/><Relationship Id="rId26" Type="http://schemas.openxmlformats.org/officeDocument/2006/relationships/worksheet" Target="worksheets/sheet26.xml"/><Relationship Id="rId47" Type="http://schemas.openxmlformats.org/officeDocument/2006/relationships/worksheet" Target="worksheets/sheet47.xml"/><Relationship Id="rId68" Type="http://schemas.openxmlformats.org/officeDocument/2006/relationships/worksheet" Target="worksheets/sheet68.xml"/><Relationship Id="rId89" Type="http://schemas.openxmlformats.org/officeDocument/2006/relationships/worksheet" Target="worksheets/sheet89.xml"/><Relationship Id="rId112" Type="http://schemas.openxmlformats.org/officeDocument/2006/relationships/worksheet" Target="worksheets/sheet112.xml"/><Relationship Id="rId133" Type="http://schemas.openxmlformats.org/officeDocument/2006/relationships/worksheet" Target="worksheets/sheet133.xml"/><Relationship Id="rId154" Type="http://schemas.openxmlformats.org/officeDocument/2006/relationships/worksheet" Target="worksheets/sheet154.xml"/><Relationship Id="rId175" Type="http://schemas.openxmlformats.org/officeDocument/2006/relationships/worksheet" Target="worksheets/sheet175.xml"/><Relationship Id="rId196" Type="http://schemas.openxmlformats.org/officeDocument/2006/relationships/worksheet" Target="worksheets/sheet196.xml"/><Relationship Id="rId200" Type="http://schemas.openxmlformats.org/officeDocument/2006/relationships/worksheet" Target="worksheets/sheet200.xml"/><Relationship Id="rId16" Type="http://schemas.openxmlformats.org/officeDocument/2006/relationships/worksheet" Target="worksheets/sheet16.xml"/><Relationship Id="rId37" Type="http://schemas.openxmlformats.org/officeDocument/2006/relationships/worksheet" Target="worksheets/sheet37.xml"/><Relationship Id="rId58" Type="http://schemas.openxmlformats.org/officeDocument/2006/relationships/worksheet" Target="worksheets/sheet58.xml"/><Relationship Id="rId79" Type="http://schemas.openxmlformats.org/officeDocument/2006/relationships/worksheet" Target="worksheets/sheet79.xml"/><Relationship Id="rId102" Type="http://schemas.openxmlformats.org/officeDocument/2006/relationships/worksheet" Target="worksheets/sheet102.xml"/><Relationship Id="rId123" Type="http://schemas.openxmlformats.org/officeDocument/2006/relationships/worksheet" Target="worksheets/sheet123.xml"/><Relationship Id="rId144" Type="http://schemas.openxmlformats.org/officeDocument/2006/relationships/worksheet" Target="worksheets/sheet144.xml"/><Relationship Id="rId90" Type="http://schemas.openxmlformats.org/officeDocument/2006/relationships/worksheet" Target="worksheets/sheet90.xml"/><Relationship Id="rId165" Type="http://schemas.openxmlformats.org/officeDocument/2006/relationships/worksheet" Target="worksheets/sheet165.xml"/><Relationship Id="rId186" Type="http://schemas.openxmlformats.org/officeDocument/2006/relationships/worksheet" Target="worksheets/sheet186.xml"/><Relationship Id="rId211" Type="http://schemas.openxmlformats.org/officeDocument/2006/relationships/customXml" Target="../customXml/item3.xml"/><Relationship Id="rId27" Type="http://schemas.openxmlformats.org/officeDocument/2006/relationships/worksheet" Target="worksheets/sheet27.xml"/><Relationship Id="rId48" Type="http://schemas.openxmlformats.org/officeDocument/2006/relationships/worksheet" Target="worksheets/sheet48.xml"/><Relationship Id="rId69" Type="http://schemas.openxmlformats.org/officeDocument/2006/relationships/worksheet" Target="worksheets/sheet69.xml"/><Relationship Id="rId113" Type="http://schemas.openxmlformats.org/officeDocument/2006/relationships/worksheet" Target="worksheets/sheet113.xml"/><Relationship Id="rId134" Type="http://schemas.openxmlformats.org/officeDocument/2006/relationships/worksheet" Target="worksheets/sheet134.xml"/><Relationship Id="rId80" Type="http://schemas.openxmlformats.org/officeDocument/2006/relationships/worksheet" Target="worksheets/sheet80.xml"/><Relationship Id="rId155" Type="http://schemas.openxmlformats.org/officeDocument/2006/relationships/worksheet" Target="worksheets/sheet155.xml"/><Relationship Id="rId176" Type="http://schemas.openxmlformats.org/officeDocument/2006/relationships/worksheet" Target="worksheets/sheet176.xml"/><Relationship Id="rId197" Type="http://schemas.openxmlformats.org/officeDocument/2006/relationships/worksheet" Target="worksheets/sheet197.xml"/><Relationship Id="rId201" Type="http://schemas.openxmlformats.org/officeDocument/2006/relationships/worksheet" Target="worksheets/sheet201.xml"/><Relationship Id="rId17" Type="http://schemas.openxmlformats.org/officeDocument/2006/relationships/worksheet" Target="worksheets/sheet17.xml"/><Relationship Id="rId38" Type="http://schemas.openxmlformats.org/officeDocument/2006/relationships/worksheet" Target="worksheets/sheet38.xml"/><Relationship Id="rId59" Type="http://schemas.openxmlformats.org/officeDocument/2006/relationships/worksheet" Target="worksheets/sheet59.xml"/><Relationship Id="rId103" Type="http://schemas.openxmlformats.org/officeDocument/2006/relationships/worksheet" Target="worksheets/sheet103.xml"/><Relationship Id="rId124" Type="http://schemas.openxmlformats.org/officeDocument/2006/relationships/worksheet" Target="worksheets/sheet124.xml"/><Relationship Id="rId70" Type="http://schemas.openxmlformats.org/officeDocument/2006/relationships/worksheet" Target="worksheets/sheet70.xml"/><Relationship Id="rId91" Type="http://schemas.openxmlformats.org/officeDocument/2006/relationships/worksheet" Target="worksheets/sheet91.xml"/><Relationship Id="rId145" Type="http://schemas.openxmlformats.org/officeDocument/2006/relationships/worksheet" Target="worksheets/sheet145.xml"/><Relationship Id="rId166" Type="http://schemas.openxmlformats.org/officeDocument/2006/relationships/worksheet" Target="worksheets/sheet166.xml"/><Relationship Id="rId187" Type="http://schemas.openxmlformats.org/officeDocument/2006/relationships/worksheet" Target="worksheets/sheet187.xml"/><Relationship Id="rId1" Type="http://schemas.openxmlformats.org/officeDocument/2006/relationships/worksheet" Target="worksheets/sheet1.xml"/><Relationship Id="rId28" Type="http://schemas.openxmlformats.org/officeDocument/2006/relationships/worksheet" Target="worksheets/sheet28.xml"/><Relationship Id="rId49" Type="http://schemas.openxmlformats.org/officeDocument/2006/relationships/worksheet" Target="worksheets/sheet49.xml"/><Relationship Id="rId114" Type="http://schemas.openxmlformats.org/officeDocument/2006/relationships/worksheet" Target="worksheets/sheet114.xml"/><Relationship Id="rId60" Type="http://schemas.openxmlformats.org/officeDocument/2006/relationships/worksheet" Target="worksheets/sheet60.xml"/><Relationship Id="rId81" Type="http://schemas.openxmlformats.org/officeDocument/2006/relationships/worksheet" Target="worksheets/sheet81.xml"/><Relationship Id="rId135" Type="http://schemas.openxmlformats.org/officeDocument/2006/relationships/worksheet" Target="worksheets/sheet135.xml"/><Relationship Id="rId156" Type="http://schemas.openxmlformats.org/officeDocument/2006/relationships/worksheet" Target="worksheets/sheet156.xml"/><Relationship Id="rId177" Type="http://schemas.openxmlformats.org/officeDocument/2006/relationships/worksheet" Target="worksheets/sheet177.xml"/><Relationship Id="rId198" Type="http://schemas.openxmlformats.org/officeDocument/2006/relationships/worksheet" Target="worksheets/sheet198.xml"/><Relationship Id="rId202" Type="http://schemas.openxmlformats.org/officeDocument/2006/relationships/worksheet" Target="worksheets/sheet202.xml"/><Relationship Id="rId18" Type="http://schemas.openxmlformats.org/officeDocument/2006/relationships/worksheet" Target="worksheets/sheet18.xml"/><Relationship Id="rId39" Type="http://schemas.openxmlformats.org/officeDocument/2006/relationships/worksheet" Target="worksheets/sheet39.xml"/><Relationship Id="rId50" Type="http://schemas.openxmlformats.org/officeDocument/2006/relationships/worksheet" Target="worksheets/sheet50.xml"/><Relationship Id="rId104" Type="http://schemas.openxmlformats.org/officeDocument/2006/relationships/worksheet" Target="worksheets/sheet104.xml"/><Relationship Id="rId125" Type="http://schemas.openxmlformats.org/officeDocument/2006/relationships/worksheet" Target="worksheets/sheet125.xml"/><Relationship Id="rId146" Type="http://schemas.openxmlformats.org/officeDocument/2006/relationships/worksheet" Target="worksheets/sheet146.xml"/><Relationship Id="rId167" Type="http://schemas.openxmlformats.org/officeDocument/2006/relationships/worksheet" Target="worksheets/sheet167.xml"/><Relationship Id="rId188" Type="http://schemas.openxmlformats.org/officeDocument/2006/relationships/worksheet" Target="worksheets/sheet188.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40" Type="http://schemas.openxmlformats.org/officeDocument/2006/relationships/worksheet" Target="worksheets/sheet40.xml"/><Relationship Id="rId115" Type="http://schemas.openxmlformats.org/officeDocument/2006/relationships/worksheet" Target="worksheets/sheet115.xml"/><Relationship Id="rId136" Type="http://schemas.openxmlformats.org/officeDocument/2006/relationships/worksheet" Target="worksheets/sheet136.xml"/><Relationship Id="rId157" Type="http://schemas.openxmlformats.org/officeDocument/2006/relationships/worksheet" Target="worksheets/sheet157.xml"/><Relationship Id="rId178" Type="http://schemas.openxmlformats.org/officeDocument/2006/relationships/worksheet" Target="worksheets/sheet178.xml"/></Relationships>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hyperlink" Target="http://www.lacare.org/" TargetMode="External"/><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620059</xdr:colOff>
      <xdr:row>0</xdr:row>
      <xdr:rowOff>22412</xdr:rowOff>
    </xdr:from>
    <xdr:to>
      <xdr:col>5</xdr:col>
      <xdr:colOff>2873790</xdr:colOff>
      <xdr:row>2</xdr:row>
      <xdr:rowOff>202787</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11131177" y="22412"/>
          <a:ext cx="2248016" cy="685835"/>
        </a:xfrm>
        <a:prstGeom prst="rect">
          <a:avLst/>
        </a:prstGeom>
      </xdr:spPr>
    </xdr:pic>
    <xdr:clientData/>
  </xdr:twoCellAnchor>
  <xdr:twoCellAnchor editAs="oneCell">
    <xdr:from>
      <xdr:col>0</xdr:col>
      <xdr:colOff>47625</xdr:colOff>
      <xdr:row>0</xdr:row>
      <xdr:rowOff>85725</xdr:rowOff>
    </xdr:from>
    <xdr:to>
      <xdr:col>1</xdr:col>
      <xdr:colOff>1192530</xdr:colOff>
      <xdr:row>2</xdr:row>
      <xdr:rowOff>153035</xdr:rowOff>
    </xdr:to>
    <xdr:pic>
      <xdr:nvPicPr>
        <xdr:cNvPr id="3" name="Picture 2" descr="LA Care Health Plan">
          <a:hlinkClick xmlns:r="http://schemas.openxmlformats.org/officeDocument/2006/relationships" r:id="rId2"/>
          <a:extLst>
            <a:ext uri="{FF2B5EF4-FFF2-40B4-BE49-F238E27FC236}">
              <a16:creationId xmlns:a16="http://schemas.microsoft.com/office/drawing/2014/main" id="{2568BAB4-E555-4ADC-BC3F-A7A0BDC9FAFA}"/>
            </a:ext>
          </a:extLst>
        </xdr:cNvPr>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47625" y="85725"/>
          <a:ext cx="2084705" cy="58166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nickp/AppData/Local/Microsoft/Windows/Temporary%20Internet%20Files/Content.Outlook/VYN4AVK5/GECU%20System%20Test%20Case%20Overview%20v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est Case Overview"/>
      <sheetName val="MT01"/>
      <sheetName val="MT02"/>
      <sheetName val="MT03"/>
      <sheetName val="MT04"/>
      <sheetName val="MT05"/>
      <sheetName val="MT06"/>
      <sheetName val="MT07"/>
      <sheetName val="MT08"/>
      <sheetName val="MT09"/>
      <sheetName val="MT10"/>
      <sheetName val="MT11"/>
      <sheetName val="MT12"/>
      <sheetName val="MT13"/>
      <sheetName val="MT14"/>
      <sheetName val="MT15"/>
      <sheetName val="MT16"/>
      <sheetName val="MT17"/>
      <sheetName val="MT18"/>
      <sheetName val="MT19"/>
      <sheetName val="MT20"/>
      <sheetName val="MT21"/>
      <sheetName val="MT22"/>
      <sheetName val="MT23"/>
      <sheetName val="MT24"/>
      <sheetName val="MT25"/>
      <sheetName val="MT26"/>
      <sheetName val="MT27"/>
      <sheetName val="MT28"/>
      <sheetName val="MT29"/>
      <sheetName val="MT30"/>
      <sheetName val="MT31"/>
      <sheetName val="MT32"/>
      <sheetName val="MT33"/>
      <sheetName val="MT34"/>
      <sheetName val="MT35"/>
      <sheetName val="MT36"/>
      <sheetName val="MT37"/>
      <sheetName val="MT38"/>
      <sheetName val="MT39"/>
      <sheetName val="MT40"/>
      <sheetName val="MT41"/>
      <sheetName val="MT42"/>
      <sheetName val="MT43"/>
      <sheetName val="MT44"/>
      <sheetName val="MT45"/>
      <sheetName val="MT46"/>
      <sheetName val="MT47"/>
      <sheetName val="MT48"/>
      <sheetName val="MT49"/>
      <sheetName val="MT50"/>
      <sheetName val="MT51"/>
      <sheetName val="MT52"/>
      <sheetName val="MT53"/>
      <sheetName val="MT54"/>
      <sheetName val="MT55"/>
      <sheetName val="MT56"/>
      <sheetName val="MT57"/>
      <sheetName val="MT58"/>
      <sheetName val="MT59"/>
      <sheetName val="MT60"/>
      <sheetName val="MT61"/>
      <sheetName val="MT62"/>
      <sheetName val="MT63"/>
      <sheetName val="MT64"/>
      <sheetName val="MT65"/>
      <sheetName val="MT66"/>
      <sheetName val="MT67"/>
      <sheetName val="MT68"/>
      <sheetName val="MT69"/>
      <sheetName val="CK01"/>
      <sheetName val="CK02"/>
      <sheetName val="CK03"/>
      <sheetName val="CK04"/>
      <sheetName val="CK05"/>
      <sheetName val="CK06"/>
      <sheetName val="CK07"/>
      <sheetName val="CK08"/>
      <sheetName val="CK09"/>
      <sheetName val="CK13"/>
      <sheetName val="CK18"/>
      <sheetName val="CK20"/>
      <sheetName val="CK21"/>
      <sheetName val="CK22"/>
      <sheetName val="CK23"/>
      <sheetName val="CK30"/>
      <sheetName val="CK32"/>
      <sheetName val="CK33"/>
      <sheetName val="CK34"/>
      <sheetName val="CK42"/>
      <sheetName val="CK44"/>
      <sheetName val="CK46"/>
      <sheetName val="CK47"/>
      <sheetName val="CK48"/>
      <sheetName val="CK49"/>
      <sheetName val="CK55"/>
      <sheetName val="CK56"/>
      <sheetName val="CK57"/>
      <sheetName val="CK58"/>
      <sheetName val="CK59"/>
      <sheetName val="CK60"/>
      <sheetName val="CK61"/>
      <sheetName val="CK62"/>
      <sheetName val="CK63"/>
      <sheetName val="CK64"/>
      <sheetName val="CK65"/>
      <sheetName val="CK66"/>
      <sheetName val="CK67"/>
      <sheetName val="CK68"/>
      <sheetName val="CK69"/>
      <sheetName val="CK70"/>
      <sheetName val="CK71"/>
      <sheetName val="CK72"/>
      <sheetName val="CK73"/>
      <sheetName val="CK74"/>
      <sheetName val="CK75"/>
      <sheetName val="CK76"/>
      <sheetName val="CK77"/>
      <sheetName val="CK78"/>
      <sheetName val="CK79"/>
      <sheetName val="CK80"/>
      <sheetName val="CK81"/>
      <sheetName val="CK82"/>
      <sheetName val="CK83"/>
      <sheetName val="CK84"/>
      <sheetName val="CK85"/>
      <sheetName val="CK86"/>
      <sheetName val="CK87"/>
      <sheetName val="CK88"/>
      <sheetName val="CK89"/>
      <sheetName val="CK90"/>
      <sheetName val="CK91"/>
      <sheetName val="CK92"/>
      <sheetName val="CK93"/>
      <sheetName val="CK94"/>
      <sheetName val="CK95"/>
      <sheetName val="CK96"/>
      <sheetName val="CK97"/>
      <sheetName val="CK98"/>
      <sheetName val="CK99"/>
      <sheetName val="CK100"/>
      <sheetName val="CK101"/>
      <sheetName val="CC01"/>
      <sheetName val="CC02"/>
      <sheetName val="CC03"/>
      <sheetName val="CC04"/>
      <sheetName val="CC05"/>
      <sheetName val="CC06"/>
      <sheetName val="CC07"/>
      <sheetName val="CC08"/>
      <sheetName val="CC09"/>
      <sheetName val="CC10"/>
      <sheetName val="CC11"/>
      <sheetName val="CC12"/>
      <sheetName val="CC13"/>
      <sheetName val="CC14"/>
      <sheetName val="CD01"/>
      <sheetName val="CD02"/>
      <sheetName val="CD03"/>
      <sheetName val="CD04"/>
      <sheetName val="LN01"/>
      <sheetName val="LN02"/>
      <sheetName val="LN03"/>
      <sheetName val="LN04"/>
      <sheetName val="LN05"/>
      <sheetName val="LN06"/>
      <sheetName val="LN07"/>
      <sheetName val="LN08"/>
      <sheetName val="LN09"/>
      <sheetName val="LN10"/>
      <sheetName val="LN11"/>
      <sheetName val="LN12"/>
      <sheetName val="LN13"/>
      <sheetName val="LN14"/>
      <sheetName val="LN15"/>
      <sheetName val="LN16"/>
      <sheetName val="LN17"/>
      <sheetName val="LN18"/>
      <sheetName val="LN19"/>
      <sheetName val="LN20"/>
      <sheetName val="LN21"/>
      <sheetName val="LN22"/>
      <sheetName val="LN23"/>
      <sheetName val="LN24"/>
      <sheetName val="LN25"/>
      <sheetName val="LN26"/>
      <sheetName val="LN27"/>
      <sheetName val="LN28"/>
      <sheetName val="LN29"/>
      <sheetName val="LN30"/>
      <sheetName val="LN31"/>
      <sheetName val="LN32"/>
      <sheetName val="SV01"/>
      <sheetName val="SV02"/>
      <sheetName val="SV03"/>
      <sheetName val="SV04"/>
      <sheetName val="SV05"/>
      <sheetName val="SV11"/>
      <sheetName val="SV12"/>
      <sheetName val="SV13"/>
      <sheetName val="SV14"/>
      <sheetName val="SV15"/>
      <sheetName val="SV16"/>
      <sheetName val="SV22"/>
      <sheetName val="SV23"/>
      <sheetName val="SV24"/>
      <sheetName val="SV25"/>
      <sheetName val="SV26"/>
      <sheetName val="SV27"/>
      <sheetName val="FT01"/>
      <sheetName val="FT02"/>
      <sheetName val="FT03"/>
      <sheetName val="FT04"/>
      <sheetName val="FT05"/>
      <sheetName val="FT06"/>
      <sheetName val="FT07"/>
      <sheetName val="FT08"/>
      <sheetName val="FT09"/>
      <sheetName val="FT10"/>
      <sheetName val="FT11"/>
      <sheetName val="FT12"/>
      <sheetName val="FT13"/>
      <sheetName val="FT14"/>
      <sheetName val="FT15"/>
      <sheetName val="FT16"/>
      <sheetName val="FT17"/>
      <sheetName val="FT18"/>
      <sheetName val="FT19"/>
      <sheetName val="FT20"/>
      <sheetName val="FT21"/>
      <sheetName val="FT22"/>
      <sheetName val="FT23"/>
      <sheetName val="FT24"/>
      <sheetName val="FT25"/>
      <sheetName val="FT26"/>
      <sheetName val="FT27"/>
      <sheetName val="FT28"/>
      <sheetName val="FT29"/>
      <sheetName val="FT30"/>
      <sheetName val="FT31"/>
      <sheetName val="FT32"/>
      <sheetName val="FT33"/>
      <sheetName val="FT34"/>
      <sheetName val="FT35"/>
      <sheetName val="FT36"/>
      <sheetName val="CTI01"/>
      <sheetName val="MT70"/>
      <sheetName val="MT71"/>
      <sheetName val="MT72"/>
      <sheetName val="MT73"/>
      <sheetName val="MT74"/>
      <sheetName val="MT75"/>
      <sheetName val="MT76"/>
      <sheetName val="GECU System Test Case Overview "/>
    </sheetNames>
    <sheetDataSet>
      <sheetData sheetId="0" refreshError="1">
        <row r="6">
          <cell r="A6" t="str">
            <v>MT01</v>
          </cell>
          <cell r="B6">
            <v>0</v>
          </cell>
          <cell r="C6">
            <v>0</v>
          </cell>
          <cell r="D6">
            <v>0</v>
          </cell>
          <cell r="E6">
            <v>0</v>
          </cell>
          <cell r="F6">
            <v>0</v>
          </cell>
        </row>
        <row r="7">
          <cell r="A7" t="str">
            <v>MT02</v>
          </cell>
          <cell r="B7">
            <v>0</v>
          </cell>
          <cell r="C7">
            <v>0</v>
          </cell>
          <cell r="D7">
            <v>0</v>
          </cell>
          <cell r="E7">
            <v>0</v>
          </cell>
          <cell r="F7">
            <v>0</v>
          </cell>
        </row>
        <row r="8">
          <cell r="A8" t="str">
            <v>MT03</v>
          </cell>
          <cell r="B8">
            <v>0</v>
          </cell>
          <cell r="C8">
            <v>0</v>
          </cell>
          <cell r="D8">
            <v>0</v>
          </cell>
          <cell r="E8">
            <v>0</v>
          </cell>
          <cell r="F8">
            <v>0</v>
          </cell>
        </row>
        <row r="9">
          <cell r="A9" t="str">
            <v>MT04</v>
          </cell>
          <cell r="B9">
            <v>0</v>
          </cell>
          <cell r="C9">
            <v>0</v>
          </cell>
          <cell r="D9">
            <v>0</v>
          </cell>
          <cell r="E9">
            <v>0</v>
          </cell>
          <cell r="F9">
            <v>0</v>
          </cell>
        </row>
        <row r="10">
          <cell r="A10" t="str">
            <v>MT05</v>
          </cell>
          <cell r="B10">
            <v>0</v>
          </cell>
          <cell r="C10">
            <v>0</v>
          </cell>
          <cell r="D10">
            <v>0</v>
          </cell>
          <cell r="E10">
            <v>0</v>
          </cell>
          <cell r="F10">
            <v>0</v>
          </cell>
        </row>
        <row r="11">
          <cell r="A11" t="str">
            <v>MT06</v>
          </cell>
          <cell r="B11">
            <v>0</v>
          </cell>
          <cell r="C11">
            <v>0</v>
          </cell>
          <cell r="D11">
            <v>0</v>
          </cell>
          <cell r="E11">
            <v>0</v>
          </cell>
          <cell r="F11">
            <v>0</v>
          </cell>
        </row>
        <row r="12">
          <cell r="A12" t="str">
            <v>MT07</v>
          </cell>
          <cell r="B12">
            <v>0</v>
          </cell>
          <cell r="C12">
            <v>0</v>
          </cell>
          <cell r="D12">
            <v>0</v>
          </cell>
          <cell r="E12">
            <v>0</v>
          </cell>
          <cell r="F12">
            <v>0</v>
          </cell>
        </row>
        <row r="13">
          <cell r="A13" t="str">
            <v>MT08</v>
          </cell>
          <cell r="B13">
            <v>0</v>
          </cell>
          <cell r="C13">
            <v>0</v>
          </cell>
          <cell r="D13">
            <v>0</v>
          </cell>
          <cell r="E13">
            <v>0</v>
          </cell>
          <cell r="F13">
            <v>0</v>
          </cell>
        </row>
        <row r="14">
          <cell r="A14" t="str">
            <v>MT09</v>
          </cell>
          <cell r="B14">
            <v>0</v>
          </cell>
          <cell r="C14">
            <v>0</v>
          </cell>
          <cell r="D14">
            <v>0</v>
          </cell>
          <cell r="E14">
            <v>0</v>
          </cell>
          <cell r="F14">
            <v>0</v>
          </cell>
        </row>
        <row r="15">
          <cell r="A15" t="str">
            <v>MT10</v>
          </cell>
          <cell r="B15">
            <v>0</v>
          </cell>
          <cell r="C15">
            <v>0</v>
          </cell>
          <cell r="D15">
            <v>0</v>
          </cell>
          <cell r="E15">
            <v>0</v>
          </cell>
          <cell r="F15">
            <v>0</v>
          </cell>
        </row>
        <row r="16">
          <cell r="A16" t="str">
            <v>MT11</v>
          </cell>
          <cell r="B16">
            <v>0</v>
          </cell>
          <cell r="C16">
            <v>0</v>
          </cell>
          <cell r="D16">
            <v>0</v>
          </cell>
          <cell r="E16">
            <v>0</v>
          </cell>
          <cell r="F16">
            <v>0</v>
          </cell>
        </row>
        <row r="17">
          <cell r="A17" t="str">
            <v>MT12</v>
          </cell>
          <cell r="B17">
            <v>0</v>
          </cell>
          <cell r="C17">
            <v>0</v>
          </cell>
          <cell r="D17">
            <v>0</v>
          </cell>
          <cell r="E17">
            <v>0</v>
          </cell>
          <cell r="F17">
            <v>0</v>
          </cell>
        </row>
        <row r="18">
          <cell r="A18" t="str">
            <v>MT13</v>
          </cell>
          <cell r="B18">
            <v>0</v>
          </cell>
          <cell r="C18">
            <v>0</v>
          </cell>
          <cell r="D18">
            <v>0</v>
          </cell>
          <cell r="E18">
            <v>0</v>
          </cell>
          <cell r="F18">
            <v>0</v>
          </cell>
        </row>
        <row r="19">
          <cell r="A19" t="str">
            <v>MT14</v>
          </cell>
          <cell r="B19">
            <v>0</v>
          </cell>
          <cell r="C19">
            <v>0</v>
          </cell>
          <cell r="D19">
            <v>0</v>
          </cell>
          <cell r="E19">
            <v>0</v>
          </cell>
          <cell r="F19">
            <v>0</v>
          </cell>
        </row>
        <row r="20">
          <cell r="A20" t="str">
            <v>MT15</v>
          </cell>
          <cell r="B20">
            <v>0</v>
          </cell>
          <cell r="C20">
            <v>0</v>
          </cell>
          <cell r="D20">
            <v>0</v>
          </cell>
          <cell r="E20">
            <v>0</v>
          </cell>
          <cell r="F20">
            <v>0</v>
          </cell>
        </row>
        <row r="21">
          <cell r="A21" t="str">
            <v>MT16</v>
          </cell>
          <cell r="B21">
            <v>0</v>
          </cell>
          <cell r="C21">
            <v>0</v>
          </cell>
          <cell r="D21">
            <v>0</v>
          </cell>
          <cell r="E21">
            <v>0</v>
          </cell>
          <cell r="F21">
            <v>0</v>
          </cell>
        </row>
        <row r="22">
          <cell r="A22" t="str">
            <v>MT17</v>
          </cell>
          <cell r="B22">
            <v>0</v>
          </cell>
          <cell r="C22">
            <v>0</v>
          </cell>
          <cell r="D22">
            <v>0</v>
          </cell>
          <cell r="E22">
            <v>0</v>
          </cell>
          <cell r="F22">
            <v>0</v>
          </cell>
        </row>
        <row r="23">
          <cell r="A23" t="str">
            <v>MT18</v>
          </cell>
          <cell r="B23">
            <v>0</v>
          </cell>
          <cell r="C23">
            <v>0</v>
          </cell>
          <cell r="D23">
            <v>0</v>
          </cell>
          <cell r="E23">
            <v>0</v>
          </cell>
          <cell r="F23">
            <v>0</v>
          </cell>
        </row>
        <row r="24">
          <cell r="A24" t="str">
            <v>MT19</v>
          </cell>
          <cell r="B24">
            <v>0</v>
          </cell>
          <cell r="C24">
            <v>0</v>
          </cell>
          <cell r="D24">
            <v>0</v>
          </cell>
          <cell r="E24">
            <v>0</v>
          </cell>
          <cell r="F24">
            <v>0</v>
          </cell>
        </row>
        <row r="25">
          <cell r="A25" t="str">
            <v>MT20</v>
          </cell>
          <cell r="B25">
            <v>0</v>
          </cell>
          <cell r="C25">
            <v>0</v>
          </cell>
          <cell r="D25">
            <v>0</v>
          </cell>
          <cell r="E25">
            <v>0</v>
          </cell>
          <cell r="F25">
            <v>0</v>
          </cell>
        </row>
        <row r="26">
          <cell r="A26" t="str">
            <v>MT21</v>
          </cell>
          <cell r="B26">
            <v>0</v>
          </cell>
          <cell r="C26">
            <v>0</v>
          </cell>
          <cell r="D26">
            <v>0</v>
          </cell>
          <cell r="E26">
            <v>0</v>
          </cell>
          <cell r="F26">
            <v>0</v>
          </cell>
        </row>
        <row r="27">
          <cell r="A27" t="str">
            <v>MT22</v>
          </cell>
          <cell r="B27">
            <v>0</v>
          </cell>
          <cell r="C27">
            <v>0</v>
          </cell>
          <cell r="D27">
            <v>0</v>
          </cell>
          <cell r="E27">
            <v>0</v>
          </cell>
          <cell r="F27">
            <v>0</v>
          </cell>
        </row>
        <row r="28">
          <cell r="A28" t="str">
            <v>MT23</v>
          </cell>
          <cell r="B28">
            <v>0</v>
          </cell>
          <cell r="C28">
            <v>0</v>
          </cell>
          <cell r="D28">
            <v>0</v>
          </cell>
          <cell r="E28">
            <v>0</v>
          </cell>
          <cell r="F28">
            <v>0</v>
          </cell>
        </row>
        <row r="29">
          <cell r="A29" t="str">
            <v>MT24</v>
          </cell>
          <cell r="B29">
            <v>0</v>
          </cell>
          <cell r="C29">
            <v>0</v>
          </cell>
          <cell r="D29">
            <v>0</v>
          </cell>
          <cell r="E29">
            <v>0</v>
          </cell>
          <cell r="F29">
            <v>0</v>
          </cell>
        </row>
        <row r="30">
          <cell r="A30" t="str">
            <v>MT25</v>
          </cell>
          <cell r="B30">
            <v>0</v>
          </cell>
          <cell r="C30">
            <v>0</v>
          </cell>
          <cell r="D30">
            <v>0</v>
          </cell>
          <cell r="E30">
            <v>0</v>
          </cell>
          <cell r="F30">
            <v>0</v>
          </cell>
        </row>
        <row r="31">
          <cell r="A31" t="str">
            <v>MT26</v>
          </cell>
          <cell r="B31">
            <v>0</v>
          </cell>
          <cell r="C31">
            <v>0</v>
          </cell>
          <cell r="D31">
            <v>0</v>
          </cell>
          <cell r="E31">
            <v>0</v>
          </cell>
          <cell r="F31">
            <v>0</v>
          </cell>
        </row>
        <row r="32">
          <cell r="A32" t="str">
            <v>MT27</v>
          </cell>
          <cell r="B32">
            <v>0</v>
          </cell>
          <cell r="C32">
            <v>0</v>
          </cell>
          <cell r="D32">
            <v>0</v>
          </cell>
          <cell r="E32">
            <v>0</v>
          </cell>
          <cell r="F32">
            <v>0</v>
          </cell>
        </row>
        <row r="33">
          <cell r="A33" t="str">
            <v>MT28</v>
          </cell>
          <cell r="B33">
            <v>0</v>
          </cell>
          <cell r="C33">
            <v>0</v>
          </cell>
          <cell r="D33">
            <v>0</v>
          </cell>
          <cell r="E33">
            <v>0</v>
          </cell>
          <cell r="F33">
            <v>0</v>
          </cell>
        </row>
        <row r="34">
          <cell r="A34" t="str">
            <v>MT29</v>
          </cell>
          <cell r="B34">
            <v>0</v>
          </cell>
          <cell r="C34">
            <v>0</v>
          </cell>
          <cell r="D34">
            <v>0</v>
          </cell>
          <cell r="E34">
            <v>0</v>
          </cell>
          <cell r="F34">
            <v>0</v>
          </cell>
        </row>
        <row r="35">
          <cell r="A35" t="str">
            <v>MT30</v>
          </cell>
          <cell r="B35">
            <v>0</v>
          </cell>
          <cell r="C35">
            <v>0</v>
          </cell>
          <cell r="D35">
            <v>0</v>
          </cell>
          <cell r="E35">
            <v>0</v>
          </cell>
          <cell r="F35">
            <v>0</v>
          </cell>
        </row>
        <row r="36">
          <cell r="A36" t="str">
            <v>MT31</v>
          </cell>
          <cell r="B36">
            <v>0</v>
          </cell>
          <cell r="C36">
            <v>0</v>
          </cell>
          <cell r="D36">
            <v>0</v>
          </cell>
          <cell r="E36">
            <v>0</v>
          </cell>
          <cell r="F36">
            <v>0</v>
          </cell>
        </row>
        <row r="37">
          <cell r="A37" t="str">
            <v>MT32</v>
          </cell>
          <cell r="B37">
            <v>0</v>
          </cell>
          <cell r="C37">
            <v>0</v>
          </cell>
          <cell r="D37">
            <v>0</v>
          </cell>
          <cell r="E37">
            <v>0</v>
          </cell>
          <cell r="F37">
            <v>0</v>
          </cell>
        </row>
        <row r="38">
          <cell r="A38" t="str">
            <v>MT33</v>
          </cell>
          <cell r="B38">
            <v>0</v>
          </cell>
          <cell r="C38">
            <v>0</v>
          </cell>
          <cell r="D38">
            <v>0</v>
          </cell>
          <cell r="E38">
            <v>0</v>
          </cell>
          <cell r="F38">
            <v>0</v>
          </cell>
        </row>
        <row r="39">
          <cell r="A39" t="str">
            <v>MT34</v>
          </cell>
          <cell r="B39">
            <v>0</v>
          </cell>
          <cell r="C39">
            <v>0</v>
          </cell>
          <cell r="D39">
            <v>0</v>
          </cell>
          <cell r="E39">
            <v>0</v>
          </cell>
          <cell r="F39">
            <v>0</v>
          </cell>
        </row>
        <row r="40">
          <cell r="A40" t="str">
            <v>MT35</v>
          </cell>
          <cell r="B40">
            <v>0</v>
          </cell>
          <cell r="C40">
            <v>0</v>
          </cell>
          <cell r="D40">
            <v>0</v>
          </cell>
          <cell r="E40">
            <v>0</v>
          </cell>
          <cell r="F40">
            <v>0</v>
          </cell>
        </row>
        <row r="41">
          <cell r="A41" t="str">
            <v>MT36</v>
          </cell>
          <cell r="B41">
            <v>0</v>
          </cell>
          <cell r="C41">
            <v>0</v>
          </cell>
          <cell r="D41">
            <v>0</v>
          </cell>
          <cell r="E41">
            <v>0</v>
          </cell>
          <cell r="F41">
            <v>0</v>
          </cell>
        </row>
        <row r="42">
          <cell r="A42" t="str">
            <v>MT37</v>
          </cell>
          <cell r="B42">
            <v>0</v>
          </cell>
          <cell r="C42">
            <v>0</v>
          </cell>
          <cell r="D42">
            <v>0</v>
          </cell>
          <cell r="E42">
            <v>0</v>
          </cell>
          <cell r="F42">
            <v>0</v>
          </cell>
        </row>
        <row r="43">
          <cell r="A43" t="str">
            <v>MT38</v>
          </cell>
          <cell r="B43">
            <v>0</v>
          </cell>
          <cell r="C43">
            <v>0</v>
          </cell>
          <cell r="D43">
            <v>0</v>
          </cell>
          <cell r="E43">
            <v>0</v>
          </cell>
          <cell r="F43">
            <v>0</v>
          </cell>
        </row>
        <row r="44">
          <cell r="A44" t="str">
            <v>MT39</v>
          </cell>
          <cell r="B44">
            <v>0</v>
          </cell>
          <cell r="C44">
            <v>0</v>
          </cell>
          <cell r="D44">
            <v>0</v>
          </cell>
          <cell r="E44">
            <v>0</v>
          </cell>
          <cell r="F44">
            <v>0</v>
          </cell>
        </row>
        <row r="45">
          <cell r="A45" t="str">
            <v>MT40</v>
          </cell>
          <cell r="B45">
            <v>0</v>
          </cell>
          <cell r="C45">
            <v>0</v>
          </cell>
          <cell r="D45">
            <v>0</v>
          </cell>
          <cell r="E45">
            <v>0</v>
          </cell>
          <cell r="F45">
            <v>0</v>
          </cell>
        </row>
        <row r="46">
          <cell r="A46" t="str">
            <v>MT41</v>
          </cell>
          <cell r="B46">
            <v>0</v>
          </cell>
          <cell r="C46">
            <v>0</v>
          </cell>
          <cell r="D46">
            <v>0</v>
          </cell>
          <cell r="E46">
            <v>0</v>
          </cell>
          <cell r="F46">
            <v>0</v>
          </cell>
        </row>
        <row r="47">
          <cell r="A47" t="str">
            <v>MT42</v>
          </cell>
          <cell r="B47">
            <v>0</v>
          </cell>
          <cell r="C47">
            <v>0</v>
          </cell>
          <cell r="D47">
            <v>0</v>
          </cell>
          <cell r="E47">
            <v>0</v>
          </cell>
          <cell r="F47">
            <v>0</v>
          </cell>
        </row>
        <row r="48">
          <cell r="A48" t="str">
            <v>MT43</v>
          </cell>
          <cell r="B48">
            <v>0</v>
          </cell>
          <cell r="C48">
            <v>0</v>
          </cell>
          <cell r="D48">
            <v>0</v>
          </cell>
          <cell r="E48">
            <v>0</v>
          </cell>
          <cell r="F48">
            <v>0</v>
          </cell>
        </row>
        <row r="49">
          <cell r="A49" t="str">
            <v>MT44</v>
          </cell>
          <cell r="B49">
            <v>0</v>
          </cell>
          <cell r="C49">
            <v>0</v>
          </cell>
          <cell r="D49">
            <v>0</v>
          </cell>
          <cell r="E49">
            <v>0</v>
          </cell>
          <cell r="F49">
            <v>0</v>
          </cell>
        </row>
        <row r="50">
          <cell r="A50" t="str">
            <v>MT45</v>
          </cell>
          <cell r="B50">
            <v>0</v>
          </cell>
          <cell r="C50">
            <v>0</v>
          </cell>
          <cell r="D50">
            <v>0</v>
          </cell>
          <cell r="E50">
            <v>0</v>
          </cell>
          <cell r="F50">
            <v>0</v>
          </cell>
        </row>
        <row r="51">
          <cell r="A51" t="str">
            <v>MT46</v>
          </cell>
          <cell r="B51">
            <v>0</v>
          </cell>
          <cell r="C51">
            <v>0</v>
          </cell>
          <cell r="D51">
            <v>0</v>
          </cell>
          <cell r="E51">
            <v>0</v>
          </cell>
          <cell r="F51">
            <v>0</v>
          </cell>
        </row>
        <row r="52">
          <cell r="A52" t="str">
            <v>MT47</v>
          </cell>
          <cell r="B52">
            <v>0</v>
          </cell>
          <cell r="C52">
            <v>0</v>
          </cell>
          <cell r="D52">
            <v>0</v>
          </cell>
          <cell r="E52">
            <v>0</v>
          </cell>
          <cell r="F52">
            <v>0</v>
          </cell>
        </row>
        <row r="53">
          <cell r="A53" t="str">
            <v>MT48</v>
          </cell>
          <cell r="B53">
            <v>0</v>
          </cell>
          <cell r="C53">
            <v>0</v>
          </cell>
          <cell r="D53">
            <v>0</v>
          </cell>
          <cell r="E53">
            <v>0</v>
          </cell>
          <cell r="F53">
            <v>0</v>
          </cell>
        </row>
        <row r="54">
          <cell r="A54" t="str">
            <v>MT49</v>
          </cell>
          <cell r="B54">
            <v>0</v>
          </cell>
          <cell r="C54">
            <v>0</v>
          </cell>
          <cell r="D54">
            <v>0</v>
          </cell>
          <cell r="E54">
            <v>0</v>
          </cell>
          <cell r="F54">
            <v>0</v>
          </cell>
        </row>
        <row r="55">
          <cell r="A55" t="str">
            <v>MT50</v>
          </cell>
          <cell r="B55">
            <v>0</v>
          </cell>
          <cell r="C55">
            <v>0</v>
          </cell>
          <cell r="D55">
            <v>0</v>
          </cell>
          <cell r="E55">
            <v>0</v>
          </cell>
          <cell r="F55">
            <v>0</v>
          </cell>
        </row>
        <row r="56">
          <cell r="A56" t="str">
            <v>MT51</v>
          </cell>
          <cell r="B56">
            <v>0</v>
          </cell>
          <cell r="C56">
            <v>0</v>
          </cell>
          <cell r="D56">
            <v>0</v>
          </cell>
          <cell r="E56">
            <v>0</v>
          </cell>
          <cell r="F56">
            <v>0</v>
          </cell>
        </row>
        <row r="57">
          <cell r="A57" t="str">
            <v>MT52</v>
          </cell>
          <cell r="B57">
            <v>0</v>
          </cell>
          <cell r="C57">
            <v>0</v>
          </cell>
          <cell r="D57">
            <v>0</v>
          </cell>
          <cell r="E57">
            <v>0</v>
          </cell>
          <cell r="F57">
            <v>0</v>
          </cell>
        </row>
        <row r="58">
          <cell r="A58" t="str">
            <v>MT53</v>
          </cell>
          <cell r="B58">
            <v>0</v>
          </cell>
          <cell r="C58">
            <v>0</v>
          </cell>
          <cell r="D58">
            <v>0</v>
          </cell>
          <cell r="E58">
            <v>0</v>
          </cell>
          <cell r="F58">
            <v>0</v>
          </cell>
        </row>
        <row r="59">
          <cell r="A59" t="str">
            <v>MT54</v>
          </cell>
          <cell r="B59">
            <v>0</v>
          </cell>
          <cell r="C59">
            <v>0</v>
          </cell>
          <cell r="D59">
            <v>0</v>
          </cell>
          <cell r="E59">
            <v>0</v>
          </cell>
          <cell r="F59">
            <v>0</v>
          </cell>
        </row>
        <row r="60">
          <cell r="A60" t="str">
            <v>MT55</v>
          </cell>
          <cell r="B60">
            <v>0</v>
          </cell>
          <cell r="C60">
            <v>0</v>
          </cell>
          <cell r="D60">
            <v>0</v>
          </cell>
          <cell r="E60">
            <v>0</v>
          </cell>
          <cell r="F60">
            <v>0</v>
          </cell>
        </row>
        <row r="61">
          <cell r="A61" t="str">
            <v>MT56</v>
          </cell>
          <cell r="B61">
            <v>0</v>
          </cell>
          <cell r="C61">
            <v>0</v>
          </cell>
          <cell r="D61">
            <v>0</v>
          </cell>
          <cell r="E61">
            <v>0</v>
          </cell>
          <cell r="F61">
            <v>0</v>
          </cell>
        </row>
        <row r="62">
          <cell r="A62" t="str">
            <v>MT57</v>
          </cell>
          <cell r="B62">
            <v>0</v>
          </cell>
          <cell r="C62">
            <v>0</v>
          </cell>
          <cell r="D62">
            <v>0</v>
          </cell>
          <cell r="E62">
            <v>0</v>
          </cell>
          <cell r="F62">
            <v>0</v>
          </cell>
        </row>
        <row r="63">
          <cell r="A63" t="str">
            <v>MT58</v>
          </cell>
          <cell r="B63">
            <v>0</v>
          </cell>
          <cell r="C63">
            <v>0</v>
          </cell>
          <cell r="D63">
            <v>0</v>
          </cell>
          <cell r="E63">
            <v>0</v>
          </cell>
          <cell r="F63">
            <v>0</v>
          </cell>
        </row>
        <row r="64">
          <cell r="A64" t="str">
            <v>MT59</v>
          </cell>
          <cell r="B64">
            <v>0</v>
          </cell>
          <cell r="C64">
            <v>0</v>
          </cell>
          <cell r="D64">
            <v>0</v>
          </cell>
          <cell r="E64">
            <v>0</v>
          </cell>
          <cell r="F64">
            <v>0</v>
          </cell>
        </row>
        <row r="65">
          <cell r="A65" t="str">
            <v>MT60</v>
          </cell>
          <cell r="B65">
            <v>0</v>
          </cell>
          <cell r="C65">
            <v>0</v>
          </cell>
          <cell r="D65">
            <v>0</v>
          </cell>
          <cell r="E65">
            <v>0</v>
          </cell>
          <cell r="F65">
            <v>0</v>
          </cell>
        </row>
        <row r="66">
          <cell r="A66" t="str">
            <v>MT61</v>
          </cell>
          <cell r="B66">
            <v>0</v>
          </cell>
          <cell r="C66">
            <v>0</v>
          </cell>
          <cell r="D66">
            <v>0</v>
          </cell>
          <cell r="E66">
            <v>0</v>
          </cell>
          <cell r="F66">
            <v>0</v>
          </cell>
        </row>
        <row r="67">
          <cell r="A67" t="str">
            <v>MT62</v>
          </cell>
          <cell r="B67">
            <v>0</v>
          </cell>
          <cell r="C67">
            <v>0</v>
          </cell>
          <cell r="D67">
            <v>0</v>
          </cell>
          <cell r="E67">
            <v>0</v>
          </cell>
          <cell r="F67">
            <v>0</v>
          </cell>
        </row>
        <row r="68">
          <cell r="A68" t="str">
            <v>MT63</v>
          </cell>
          <cell r="B68">
            <v>0</v>
          </cell>
          <cell r="C68">
            <v>0</v>
          </cell>
          <cell r="D68">
            <v>0</v>
          </cell>
          <cell r="E68">
            <v>0</v>
          </cell>
          <cell r="F68">
            <v>0</v>
          </cell>
        </row>
        <row r="69">
          <cell r="A69" t="str">
            <v>MT64</v>
          </cell>
          <cell r="B69">
            <v>0</v>
          </cell>
          <cell r="C69">
            <v>0</v>
          </cell>
          <cell r="D69">
            <v>0</v>
          </cell>
          <cell r="E69">
            <v>0</v>
          </cell>
          <cell r="F69">
            <v>0</v>
          </cell>
        </row>
        <row r="70">
          <cell r="A70" t="str">
            <v>MT65</v>
          </cell>
          <cell r="B70">
            <v>0</v>
          </cell>
          <cell r="C70">
            <v>0</v>
          </cell>
          <cell r="D70">
            <v>0</v>
          </cell>
          <cell r="E70">
            <v>0</v>
          </cell>
          <cell r="F70">
            <v>0</v>
          </cell>
        </row>
        <row r="71">
          <cell r="A71" t="str">
            <v>MT66</v>
          </cell>
          <cell r="B71">
            <v>0</v>
          </cell>
          <cell r="C71">
            <v>0</v>
          </cell>
          <cell r="D71">
            <v>0</v>
          </cell>
          <cell r="E71">
            <v>0</v>
          </cell>
          <cell r="F71">
            <v>0</v>
          </cell>
        </row>
        <row r="72">
          <cell r="A72" t="str">
            <v>MT67</v>
          </cell>
          <cell r="B72">
            <v>0</v>
          </cell>
          <cell r="C72">
            <v>0</v>
          </cell>
          <cell r="D72">
            <v>0</v>
          </cell>
          <cell r="E72">
            <v>0</v>
          </cell>
          <cell r="F72">
            <v>0</v>
          </cell>
        </row>
        <row r="73">
          <cell r="A73" t="str">
            <v>MT68</v>
          </cell>
          <cell r="B73">
            <v>0</v>
          </cell>
          <cell r="C73">
            <v>0</v>
          </cell>
          <cell r="D73">
            <v>0</v>
          </cell>
          <cell r="E73">
            <v>0</v>
          </cell>
          <cell r="F73">
            <v>0</v>
          </cell>
        </row>
        <row r="74">
          <cell r="A74" t="str">
            <v>MT69</v>
          </cell>
          <cell r="B74">
            <v>0</v>
          </cell>
          <cell r="C74">
            <v>0</v>
          </cell>
          <cell r="D74">
            <v>0</v>
          </cell>
          <cell r="E74">
            <v>0</v>
          </cell>
          <cell r="F74">
            <v>0</v>
          </cell>
        </row>
        <row r="75">
          <cell r="A75" t="str">
            <v>MT70</v>
          </cell>
          <cell r="B75">
            <v>0</v>
          </cell>
          <cell r="C75">
            <v>0</v>
          </cell>
          <cell r="D75">
            <v>0</v>
          </cell>
          <cell r="E75">
            <v>0</v>
          </cell>
          <cell r="F75">
            <v>0</v>
          </cell>
        </row>
        <row r="76">
          <cell r="A76" t="str">
            <v>MT71</v>
          </cell>
          <cell r="B76">
            <v>0</v>
          </cell>
          <cell r="C76">
            <v>0</v>
          </cell>
          <cell r="D76">
            <v>0</v>
          </cell>
          <cell r="E76">
            <v>0</v>
          </cell>
          <cell r="F76">
            <v>0</v>
          </cell>
        </row>
        <row r="77">
          <cell r="A77" t="str">
            <v>MT72</v>
          </cell>
          <cell r="B77">
            <v>0</v>
          </cell>
          <cell r="C77">
            <v>0</v>
          </cell>
          <cell r="D77">
            <v>0</v>
          </cell>
          <cell r="E77">
            <v>0</v>
          </cell>
          <cell r="F77">
            <v>0</v>
          </cell>
        </row>
        <row r="78">
          <cell r="A78" t="str">
            <v>MT73</v>
          </cell>
          <cell r="B78">
            <v>0</v>
          </cell>
          <cell r="C78">
            <v>0</v>
          </cell>
          <cell r="D78">
            <v>0</v>
          </cell>
          <cell r="E78">
            <v>0</v>
          </cell>
          <cell r="F78">
            <v>0</v>
          </cell>
        </row>
        <row r="79">
          <cell r="A79" t="str">
            <v>MT74</v>
          </cell>
          <cell r="B79">
            <v>0</v>
          </cell>
          <cell r="C79">
            <v>0</v>
          </cell>
          <cell r="D79">
            <v>0</v>
          </cell>
          <cell r="E79">
            <v>0</v>
          </cell>
          <cell r="F79">
            <v>0</v>
          </cell>
        </row>
        <row r="80">
          <cell r="A80" t="str">
            <v>MT75</v>
          </cell>
          <cell r="B80">
            <v>0</v>
          </cell>
          <cell r="C80">
            <v>0</v>
          </cell>
          <cell r="D80">
            <v>0</v>
          </cell>
          <cell r="E80">
            <v>0</v>
          </cell>
          <cell r="F80">
            <v>0</v>
          </cell>
        </row>
        <row r="81">
          <cell r="A81" t="str">
            <v>MT76</v>
          </cell>
          <cell r="B81">
            <v>0</v>
          </cell>
          <cell r="C81">
            <v>0</v>
          </cell>
          <cell r="D81">
            <v>0</v>
          </cell>
          <cell r="E81">
            <v>0</v>
          </cell>
          <cell r="F81">
            <v>0</v>
          </cell>
        </row>
        <row r="82">
          <cell r="A82">
            <v>0</v>
          </cell>
          <cell r="B82">
            <v>0</v>
          </cell>
          <cell r="C82">
            <v>0</v>
          </cell>
          <cell r="D82">
            <v>0</v>
          </cell>
          <cell r="E82">
            <v>0</v>
          </cell>
          <cell r="F82">
            <v>0</v>
          </cell>
        </row>
        <row r="83">
          <cell r="A83" t="str">
            <v>Checking Test Cycle (CK#)</v>
          </cell>
          <cell r="B83">
            <v>0</v>
          </cell>
          <cell r="C83">
            <v>0</v>
          </cell>
          <cell r="D83">
            <v>0</v>
          </cell>
          <cell r="E83">
            <v>0</v>
          </cell>
          <cell r="F83">
            <v>0</v>
          </cell>
        </row>
        <row r="84">
          <cell r="A84" t="str">
            <v>CK01</v>
          </cell>
          <cell r="B84">
            <v>0</v>
          </cell>
          <cell r="C84" t="str">
            <v>Current Balance &amp; Available Balance Negative to Checking Menu DTMF0 CSRvice Xfer</v>
          </cell>
          <cell r="D84" t="str">
            <v xml:space="preserve">Client: Minimum 1 Checking - Balance both &lt; 0 </v>
          </cell>
          <cell r="E84">
            <v>0</v>
          </cell>
          <cell r="F84">
            <v>0</v>
          </cell>
        </row>
        <row r="85">
          <cell r="A85" t="str">
            <v>CK02</v>
          </cell>
          <cell r="B85">
            <v>0</v>
          </cell>
          <cell r="C85" t="str">
            <v>Current Balance Negative &amp; Available Balance &gt;0 Confirm Return to main menu Landing</v>
          </cell>
          <cell r="D85" t="str">
            <v>Client: Minimum 1 Checking - Balance current &lt; 0 Available &gt; 0</v>
          </cell>
          <cell r="E85">
            <v>0</v>
          </cell>
          <cell r="F85">
            <v>0</v>
          </cell>
        </row>
        <row r="86">
          <cell r="A86" t="str">
            <v>CK03</v>
          </cell>
          <cell r="B86">
            <v>0</v>
          </cell>
          <cell r="C86" t="str">
            <v>Current Balance &gt;0 &amp; Available Balance Negative Repeat to Re-Order Checks Xfer</v>
          </cell>
          <cell r="D86" t="str">
            <v>Client: Minimum 1 Checking - Balance current &gt; 0 Available &lt; 0</v>
          </cell>
          <cell r="E86">
            <v>0</v>
          </cell>
          <cell r="F86">
            <v>0</v>
          </cell>
        </row>
        <row r="87">
          <cell r="A87" t="str">
            <v>CK04</v>
          </cell>
          <cell r="B87">
            <v>0</v>
          </cell>
          <cell r="C87" t="str">
            <v>Current Balance &amp; Available Balance &gt;0 Transfer Funds Confirm landing</v>
          </cell>
          <cell r="D87" t="str">
            <v xml:space="preserve">Client: Minimum 1 Checking - Balance both &gt; 0 </v>
          </cell>
          <cell r="E87">
            <v>0</v>
          </cell>
          <cell r="F87">
            <v>0</v>
          </cell>
        </row>
        <row r="88">
          <cell r="A88" t="str">
            <v>CK05</v>
          </cell>
          <cell r="B88">
            <v>0</v>
          </cell>
          <cell r="C88" t="str">
            <v>Checking Activity Debits Check Number processed REPEAT &amp; Debits Menu DTMF0 CSRvice Xfer</v>
          </cell>
          <cell r="D88" t="str">
            <v>Client: Minimum 1 Checking - WS13 tran code &gt; 4 digits</v>
          </cell>
          <cell r="E88">
            <v>0</v>
          </cell>
          <cell r="F88">
            <v>0</v>
          </cell>
        </row>
        <row r="89">
          <cell r="A89" t="str">
            <v>CK06</v>
          </cell>
          <cell r="B89">
            <v>0</v>
          </cell>
          <cell r="C89" t="str">
            <v>Checking Activity Debits ATM Withdrawal + Debits return to checking menu &amp; then debits DTMF9 to MM</v>
          </cell>
          <cell r="D89" t="str">
            <v>Client: Minimum 1 Checking - WS13 tran code 0037</v>
          </cell>
          <cell r="E89">
            <v>0</v>
          </cell>
          <cell r="F89">
            <v>0</v>
          </cell>
        </row>
        <row r="90">
          <cell r="A90" t="str">
            <v>CK07</v>
          </cell>
          <cell r="B90">
            <v>0</v>
          </cell>
          <cell r="C90" t="str">
            <v>Checking Activity Debits A purchase</v>
          </cell>
          <cell r="D90" t="str">
            <v>Client: Minimum 1 Checking - WS13 tran code Null</v>
          </cell>
          <cell r="E90">
            <v>0</v>
          </cell>
          <cell r="F90">
            <v>0</v>
          </cell>
        </row>
        <row r="91">
          <cell r="A91" t="str">
            <v>CK08</v>
          </cell>
          <cell r="B91">
            <v>0</v>
          </cell>
          <cell r="C91" t="str">
            <v xml:space="preserve">Checking Activity Debits A Check + Next 10 Debits True &amp; False </v>
          </cell>
          <cell r="D91" t="str">
            <v>Client: Minimum 1 Checking - WS13 tran code 0042/0043/0075/0077</v>
          </cell>
          <cell r="E91">
            <v>0</v>
          </cell>
          <cell r="F91">
            <v>0</v>
          </cell>
        </row>
        <row r="92">
          <cell r="A92" t="str">
            <v>CK09</v>
          </cell>
          <cell r="B92">
            <v>0</v>
          </cell>
          <cell r="C92" t="str">
            <v>Checking Activity Debits A Debit For + Debits back to enter a new Acct# &amp; * Start over during play</v>
          </cell>
          <cell r="D92" t="str">
            <v>Client: Minimum 2 Checking - WS13 tran code "Else"</v>
          </cell>
          <cell r="E92">
            <v>0</v>
          </cell>
          <cell r="F92">
            <v>0</v>
          </cell>
        </row>
        <row r="93">
          <cell r="A93" t="str">
            <v>CK10</v>
          </cell>
          <cell r="B93">
            <v>0</v>
          </cell>
          <cell r="C93" t="str">
            <v>Debits Menu DTMF9 MM Landing</v>
          </cell>
          <cell r="D93" t="str">
            <v>See CK06</v>
          </cell>
          <cell r="E93">
            <v>0</v>
          </cell>
          <cell r="F93">
            <v>0</v>
          </cell>
        </row>
        <row r="94">
          <cell r="A94" t="str">
            <v>CK11</v>
          </cell>
          <cell r="B94">
            <v>0</v>
          </cell>
          <cell r="C94" t="str">
            <v>Debits Menu DTMF0 CSRvice Xfer</v>
          </cell>
          <cell r="D94" t="str">
            <v>see ck05</v>
          </cell>
          <cell r="E94">
            <v>0</v>
          </cell>
          <cell r="F94">
            <v>0</v>
          </cell>
        </row>
        <row r="95">
          <cell r="A95" t="str">
            <v>CK12</v>
          </cell>
          <cell r="B95">
            <v>0</v>
          </cell>
          <cell r="C95" t="str">
            <v xml:space="preserve">Debits Menu Return to Checking Menu </v>
          </cell>
          <cell r="D95" t="str">
            <v>See CK06</v>
          </cell>
          <cell r="E95">
            <v>0</v>
          </cell>
          <cell r="F95">
            <v>0</v>
          </cell>
        </row>
        <row r="96">
          <cell r="A96" t="str">
            <v>CK13</v>
          </cell>
          <cell r="B96">
            <v>0</v>
          </cell>
          <cell r="C96" t="str">
            <v>Debits Menu Enter a New Account Number</v>
          </cell>
          <cell r="D96" t="str">
            <v>SEE CK09</v>
          </cell>
          <cell r="E96">
            <v>0</v>
          </cell>
          <cell r="F96">
            <v>0</v>
          </cell>
        </row>
        <row r="97">
          <cell r="A97" t="str">
            <v>CK14</v>
          </cell>
          <cell r="B97">
            <v>0</v>
          </cell>
          <cell r="C97" t="str">
            <v>Checking Activity Debits Next 10 False Response</v>
          </cell>
          <cell r="D97" t="str">
            <v>SEE CK08</v>
          </cell>
          <cell r="E97">
            <v>0</v>
          </cell>
          <cell r="F97">
            <v>0</v>
          </cell>
        </row>
        <row r="98">
          <cell r="A98" t="str">
            <v>CK15</v>
          </cell>
          <cell r="B98">
            <v>0</v>
          </cell>
          <cell r="C98" t="str">
            <v>Checking Activity Debits Next 10 True Response</v>
          </cell>
          <cell r="D98" t="str">
            <v>SEE CK08</v>
          </cell>
          <cell r="E98">
            <v>0</v>
          </cell>
          <cell r="F98">
            <v>0</v>
          </cell>
        </row>
        <row r="99">
          <cell r="A99" t="str">
            <v>CK16</v>
          </cell>
          <cell r="B99">
            <v>0</v>
          </cell>
          <cell r="C99" t="str">
            <v>Checking Activity Debits Play Multiple Tran Code Types in Single 10 play through</v>
          </cell>
          <cell r="D99" t="str">
            <v>SEE CK05/06/07/08/09 TO APPLY THIS CASE</v>
          </cell>
          <cell r="E99">
            <v>0</v>
          </cell>
          <cell r="F99">
            <v>0</v>
          </cell>
        </row>
        <row r="100">
          <cell r="A100" t="str">
            <v>CK17</v>
          </cell>
          <cell r="B100">
            <v>0</v>
          </cell>
          <cell r="C100" t="str">
            <v xml:space="preserve">Checking Activity Debits Start Over DTMF* </v>
          </cell>
          <cell r="D100" t="str">
            <v>SEE CK09</v>
          </cell>
          <cell r="E100">
            <v>0</v>
          </cell>
          <cell r="F100">
            <v>0</v>
          </cell>
        </row>
        <row r="101">
          <cell r="A101" t="str">
            <v>CK18</v>
          </cell>
          <cell r="B101">
            <v>0</v>
          </cell>
          <cell r="C101" t="str">
            <v>Checking Activity Debits No Debits Since Last Statement + 0310  Goto MM</v>
          </cell>
          <cell r="D101" t="str">
            <v>Client: Minimum 1 Checking - No Transactions WWS13 NoData</v>
          </cell>
          <cell r="E101">
            <v>0</v>
          </cell>
          <cell r="F101">
            <v>0</v>
          </cell>
        </row>
        <row r="102">
          <cell r="A102" t="str">
            <v>CK19</v>
          </cell>
          <cell r="B102">
            <v>0</v>
          </cell>
          <cell r="C102" t="str">
            <v>Checking Activity Debits WS13 Failure Xfer</v>
          </cell>
          <cell r="D102" t="str">
            <v>Client: Minimum 1 Checking - WS13 Failure/Breakdown</v>
          </cell>
          <cell r="E102">
            <v>0</v>
          </cell>
          <cell r="F102">
            <v>0</v>
          </cell>
        </row>
        <row r="103">
          <cell r="A103" t="str">
            <v>CK20</v>
          </cell>
          <cell r="B103">
            <v>0</v>
          </cell>
          <cell r="C103" t="str">
            <v>Checking Activity Pending Debits Teller Transaction + DTMF* during play, DTMF* 0395, &amp; 0395 DTMF9 to MM</v>
          </cell>
          <cell r="D103" t="str">
            <v>Client: Minumum 1 Checking - CC02 Tran Code TLR</v>
          </cell>
          <cell r="E103">
            <v>0</v>
          </cell>
          <cell r="F103">
            <v>0</v>
          </cell>
        </row>
        <row r="104">
          <cell r="A104" t="str">
            <v>CK21</v>
          </cell>
          <cell r="B104">
            <v>0</v>
          </cell>
          <cell r="C104" t="str">
            <v>Checking Activity Pending Debits ATM Withdrawal + Return to Checkin Menu and back &amp; DTMF0 CSRvice Xfer</v>
          </cell>
          <cell r="D104" t="str">
            <v>Client: Minumum 1 Checking - CC02 Tran Code ATM</v>
          </cell>
          <cell r="E104">
            <v>0</v>
          </cell>
          <cell r="F104">
            <v>0</v>
          </cell>
        </row>
        <row r="105">
          <cell r="A105" t="str">
            <v>CK22</v>
          </cell>
          <cell r="B105">
            <v>0</v>
          </cell>
          <cell r="C105" t="str">
            <v>Checking Activity Pending Debits POS purchase + DTMF7 Enter new Acct#</v>
          </cell>
          <cell r="D105" t="str">
            <v>Client: Minumum 2 Checking - CC02 Tran Code POS</v>
          </cell>
          <cell r="E105">
            <v>0</v>
          </cell>
          <cell r="F105">
            <v>0</v>
          </cell>
        </row>
        <row r="106">
          <cell r="A106" t="str">
            <v>CK23</v>
          </cell>
          <cell r="B106">
            <v>0</v>
          </cell>
          <cell r="C106" t="str">
            <v>Checking Activity Pending Debits An authorized Debit</v>
          </cell>
          <cell r="D106" t="str">
            <v>Client: Minumum 1 Checking - CC02 Tran Code VR/OB/ACH/TT/ELSE</v>
          </cell>
          <cell r="E106">
            <v>0</v>
          </cell>
          <cell r="F106">
            <v>0</v>
          </cell>
        </row>
        <row r="107">
          <cell r="A107" t="str">
            <v>CK24</v>
          </cell>
          <cell r="B107">
            <v>0</v>
          </cell>
          <cell r="C107" t="str">
            <v>Checking Activity Pending Debits Start Over DTMF* during play, DTMF* 0395, &amp; 0395 DTMF9 to MM</v>
          </cell>
          <cell r="D107" t="str">
            <v>SEE CK20</v>
          </cell>
          <cell r="E107">
            <v>0</v>
          </cell>
          <cell r="F107">
            <v>0</v>
          </cell>
        </row>
        <row r="108">
          <cell r="A108" t="str">
            <v>CK25</v>
          </cell>
          <cell r="B108">
            <v>0</v>
          </cell>
          <cell r="C108" t="str">
            <v>Pending Debits Menu DTMF0 CSRvice Xfer</v>
          </cell>
          <cell r="D108" t="str">
            <v>SEE CK21</v>
          </cell>
          <cell r="E108">
            <v>0</v>
          </cell>
          <cell r="F108">
            <v>0</v>
          </cell>
        </row>
        <row r="109">
          <cell r="A109" t="str">
            <v>CK26</v>
          </cell>
          <cell r="B109">
            <v>0</v>
          </cell>
          <cell r="C109" t="str">
            <v xml:space="preserve"> Pending Debits Menu Return to Checking Menu</v>
          </cell>
          <cell r="D109" t="str">
            <v>SEE CK21</v>
          </cell>
          <cell r="E109">
            <v>0</v>
          </cell>
          <cell r="F109">
            <v>0</v>
          </cell>
        </row>
        <row r="110">
          <cell r="A110" t="str">
            <v>CK27</v>
          </cell>
          <cell r="B110">
            <v>0</v>
          </cell>
          <cell r="C110" t="str">
            <v xml:space="preserve">Pending Debits Menu Enter a new Acct </v>
          </cell>
          <cell r="D110" t="str">
            <v>SEE CK22</v>
          </cell>
          <cell r="E110">
            <v>0</v>
          </cell>
          <cell r="F110">
            <v>0</v>
          </cell>
        </row>
        <row r="111">
          <cell r="A111" t="str">
            <v>CK28</v>
          </cell>
          <cell r="B111">
            <v>0</v>
          </cell>
          <cell r="C111" t="str">
            <v>Checking Activity Pending Debits Play Multiple Tran Code Types in Single 10 play through</v>
          </cell>
          <cell r="D111" t="str">
            <v xml:space="preserve">SEE CK20, 21, 22, &amp; 23 </v>
          </cell>
          <cell r="E111">
            <v>0</v>
          </cell>
          <cell r="F111">
            <v>0</v>
          </cell>
        </row>
        <row r="112">
          <cell r="A112" t="str">
            <v>CK29</v>
          </cell>
          <cell r="B112">
            <v>0</v>
          </cell>
          <cell r="C112" t="str">
            <v>Checking Activity Pending Debits CC02 Tran Code 80 Skip spoken to more records</v>
          </cell>
          <cell r="D112" t="str">
            <v xml:space="preserve">SEE CK20, 21, 22, &amp; 23 </v>
          </cell>
          <cell r="E112">
            <v>0</v>
          </cell>
          <cell r="F112">
            <v>0</v>
          </cell>
        </row>
        <row r="113">
          <cell r="A113" t="str">
            <v>CK30</v>
          </cell>
          <cell r="B113">
            <v>0</v>
          </cell>
          <cell r="C113" t="str">
            <v>Checking Activity Pending Debits No Pending Debits CC02 NoData + 0310 DTMF8 Checking &amp; DTMF0 CSRvice Xfer</v>
          </cell>
          <cell r="D113" t="str">
            <v>Client: Minumum 1 Checking - CC02 NoData</v>
          </cell>
          <cell r="E113">
            <v>0</v>
          </cell>
          <cell r="F113">
            <v>0</v>
          </cell>
        </row>
        <row r="114">
          <cell r="A114" t="str">
            <v>CK31</v>
          </cell>
          <cell r="B114">
            <v>0</v>
          </cell>
          <cell r="C114" t="str">
            <v>Checking Activity Pending Debits CC02 Failure Xfer</v>
          </cell>
          <cell r="D114" t="str">
            <v>Client: Minumum 1 Checking - CC02 Failure (developer assist)</v>
          </cell>
          <cell r="E114">
            <v>0</v>
          </cell>
          <cell r="F114">
            <v>0</v>
          </cell>
        </row>
        <row r="115">
          <cell r="A115" t="str">
            <v>CK32</v>
          </cell>
          <cell r="B115">
            <v>0</v>
          </cell>
          <cell r="C115" t="str">
            <v>Checking Activity Credits for ATM Credit + Repeat, DTMF8 Checking Menu, DTMF9 MM, DTMF7 New Acct#, &amp; DTMF 0 CSRvice Xfer</v>
          </cell>
          <cell r="D115" t="str">
            <v>Client: Minimum 2 Checking - WS13 tran code 0007 - Has more than 5 transactions</v>
          </cell>
          <cell r="E115">
            <v>0</v>
          </cell>
          <cell r="F115">
            <v>0</v>
          </cell>
        </row>
        <row r="116">
          <cell r="A116" t="str">
            <v>CK33</v>
          </cell>
          <cell r="B116">
            <v>0</v>
          </cell>
          <cell r="C116" t="str">
            <v>Checking Activity Credits for A Deposit + Play through to &lt; 5, Repeat, DTMF8 Checkin, DTMF9 MM, &amp; DTMF1 0337 no more response</v>
          </cell>
          <cell r="D116" t="str">
            <v>Client: Minimum 2 Checking - WS13 tran code 0012 - Has more than 5 transactions</v>
          </cell>
          <cell r="E116">
            <v>0</v>
          </cell>
          <cell r="F116">
            <v>0</v>
          </cell>
        </row>
        <row r="117">
          <cell r="A117" t="str">
            <v>CK34</v>
          </cell>
          <cell r="B117">
            <v>0</v>
          </cell>
          <cell r="C117" t="str">
            <v>Checking Activity Credits for a Credit + 0337 DTMF7 New Acct# and back to 0337 DTMF 0 CSRvice Xfer</v>
          </cell>
          <cell r="D117" t="str">
            <v>Client: Minimum 2 Checking - WS13 tran code NOT 0007 or 0012 "Else" - Has more than 5 transactions</v>
          </cell>
          <cell r="E117">
            <v>0</v>
          </cell>
          <cell r="F117">
            <v>0</v>
          </cell>
        </row>
        <row r="118">
          <cell r="A118" t="str">
            <v>CK35</v>
          </cell>
          <cell r="B118">
            <v>0</v>
          </cell>
          <cell r="C118" t="str">
            <v>Checking Activity Credits &gt; 5 Records Repeat DTMF0 CSRvice</v>
          </cell>
          <cell r="D118" t="str">
            <v>SEE CK 32</v>
          </cell>
          <cell r="E118">
            <v>0</v>
          </cell>
          <cell r="F118">
            <v>0</v>
          </cell>
        </row>
        <row r="119">
          <cell r="A119" t="str">
            <v>CK36</v>
          </cell>
          <cell r="B119">
            <v>0</v>
          </cell>
          <cell r="C119" t="str">
            <v>Checking Activity Credits &gt; 5 Records to Checking Menu</v>
          </cell>
          <cell r="D119" t="str">
            <v>SEE CK32</v>
          </cell>
          <cell r="E119">
            <v>0</v>
          </cell>
          <cell r="F119">
            <v>0</v>
          </cell>
        </row>
        <row r="120">
          <cell r="A120" t="str">
            <v>CK37</v>
          </cell>
          <cell r="B120">
            <v>0</v>
          </cell>
          <cell r="C120" t="str">
            <v>Checking Activity Credits &gt; 5 Records to Enter a new Account &amp; Return to Checking</v>
          </cell>
          <cell r="D120" t="str">
            <v>SEE CK32</v>
          </cell>
          <cell r="E120">
            <v>0</v>
          </cell>
          <cell r="F120">
            <v>0</v>
          </cell>
        </row>
        <row r="121">
          <cell r="A121" t="str">
            <v>CK38</v>
          </cell>
          <cell r="B121">
            <v>0</v>
          </cell>
          <cell r="C121" t="str">
            <v>Checking Activity Credits &gt; 5 Records Play Next 5 Credits/Deposits until No Others left</v>
          </cell>
          <cell r="D121" t="str">
            <v>SEE CK 33</v>
          </cell>
          <cell r="E121">
            <v>0</v>
          </cell>
          <cell r="F121">
            <v>0</v>
          </cell>
        </row>
        <row r="122">
          <cell r="A122" t="str">
            <v>CK39</v>
          </cell>
          <cell r="B122">
            <v>0</v>
          </cell>
          <cell r="C122" t="str">
            <v>Checking Activity Credits &lt; 5 Records Repeat DTMF0 CSRvice</v>
          </cell>
          <cell r="D122" t="str">
            <v>SEE CK33/34</v>
          </cell>
          <cell r="E122">
            <v>0</v>
          </cell>
          <cell r="F122">
            <v>0</v>
          </cell>
        </row>
        <row r="123">
          <cell r="A123" t="str">
            <v>CK40</v>
          </cell>
          <cell r="B123">
            <v>0</v>
          </cell>
          <cell r="C123" t="str">
            <v>Checking Activity Credits &lt; 5 Records DTMF9 to MM Landing</v>
          </cell>
          <cell r="D123" t="str">
            <v>SEE CK33</v>
          </cell>
          <cell r="E123">
            <v>0</v>
          </cell>
          <cell r="F123">
            <v>0</v>
          </cell>
        </row>
        <row r="124">
          <cell r="A124" t="str">
            <v>CK41</v>
          </cell>
          <cell r="B124">
            <v>0</v>
          </cell>
          <cell r="C124" t="str">
            <v>Checking Activity Credits &lt; 5 Records to Checking Menu</v>
          </cell>
          <cell r="D124" t="str">
            <v>SEE CK33</v>
          </cell>
          <cell r="E124">
            <v>0</v>
          </cell>
          <cell r="F124">
            <v>0</v>
          </cell>
        </row>
        <row r="125">
          <cell r="A125" t="str">
            <v>CK42</v>
          </cell>
          <cell r="B125">
            <v>0</v>
          </cell>
          <cell r="C125" t="str">
            <v>Checking Activity Credits Initial &lt; 5 TranList 0337  Landing</v>
          </cell>
          <cell r="D125" t="str">
            <v>Hard to Produce - will require account with less 5 credit transactions on acct</v>
          </cell>
          <cell r="E125">
            <v>0</v>
          </cell>
          <cell r="F125">
            <v>0</v>
          </cell>
        </row>
        <row r="126">
          <cell r="A126" t="str">
            <v>CK43</v>
          </cell>
          <cell r="B126">
            <v>0</v>
          </cell>
          <cell r="C126" t="str">
            <v>Checking Activity Credits &lt; 5 Records DTMF1 attempt to play more records</v>
          </cell>
          <cell r="D126" t="str">
            <v>SEE CK33</v>
          </cell>
          <cell r="E126">
            <v>0</v>
          </cell>
          <cell r="F126">
            <v>0</v>
          </cell>
        </row>
        <row r="127">
          <cell r="A127" t="str">
            <v>CK44</v>
          </cell>
          <cell r="B127">
            <v>0</v>
          </cell>
          <cell r="C127" t="str">
            <v>Checking Activity Credits Play Multiple Tran Code Types in Single 5 play through</v>
          </cell>
          <cell r="D127" t="str">
            <v>SEE CK32/33/34 - Incorporated in one or many</v>
          </cell>
          <cell r="E127">
            <v>0</v>
          </cell>
          <cell r="F127">
            <v>0</v>
          </cell>
        </row>
        <row r="128">
          <cell r="A128" t="str">
            <v>CK45</v>
          </cell>
          <cell r="B128">
            <v>0</v>
          </cell>
          <cell r="C128" t="str">
            <v>Checking Activity Credits Play 0339  TranList Not &lt; 5 &amp; WS13 MoreRecordsFlag "else"</v>
          </cell>
          <cell r="D128" t="str">
            <v>Hard to Produce - will require account with total transaction count that can be broken down successfully into groups of 5.</v>
          </cell>
          <cell r="E128">
            <v>0</v>
          </cell>
          <cell r="F128">
            <v>0</v>
          </cell>
        </row>
        <row r="129">
          <cell r="A129" t="str">
            <v>CK46</v>
          </cell>
          <cell r="B129">
            <v>0</v>
          </cell>
          <cell r="C129" t="str">
            <v>Checking Activity Credits No Deposits or Credits WS13 No Data + 0310 DTMF7 New Acct#</v>
          </cell>
          <cell r="D129" t="str">
            <v>Client: Minimum 1 Checking - WS13 No Data Response</v>
          </cell>
          <cell r="E129">
            <v>0</v>
          </cell>
          <cell r="F129">
            <v>0</v>
          </cell>
        </row>
        <row r="130">
          <cell r="A130" t="str">
            <v>CK47</v>
          </cell>
          <cell r="B130">
            <v>0</v>
          </cell>
          <cell r="C130" t="str">
            <v xml:space="preserve">Checking Activity Pending Credits for a Direct Deposit + Repeat, </v>
          </cell>
          <cell r="D130" t="str">
            <v>Client: Minimum 1 Checking - CC02 tran code 0007</v>
          </cell>
          <cell r="E130">
            <v>0</v>
          </cell>
          <cell r="F130">
            <v>0</v>
          </cell>
        </row>
        <row r="131">
          <cell r="A131" t="str">
            <v>CK48</v>
          </cell>
          <cell r="B131">
            <v>0</v>
          </cell>
          <cell r="C131" t="str">
            <v>Checking Activity Pending Credits for A Deposit</v>
          </cell>
          <cell r="D131" t="str">
            <v>Client: Minimum 1 Checking - CC02 tran code 0012</v>
          </cell>
          <cell r="E131">
            <v>0</v>
          </cell>
          <cell r="F131">
            <v>0</v>
          </cell>
        </row>
        <row r="132">
          <cell r="A132" t="str">
            <v>CK49</v>
          </cell>
          <cell r="B132">
            <v>0</v>
          </cell>
          <cell r="C132" t="str">
            <v>Checking Activity Pending Credits for a Credit</v>
          </cell>
          <cell r="D132" t="str">
            <v>Client: Minimum 1 Checking - CC02 tran code else (not 0007/0012)</v>
          </cell>
          <cell r="E132">
            <v>0</v>
          </cell>
          <cell r="F132">
            <v>0</v>
          </cell>
        </row>
        <row r="133">
          <cell r="A133" t="str">
            <v>CK50</v>
          </cell>
          <cell r="B133">
            <v>0</v>
          </cell>
          <cell r="C133" t="str">
            <v>Checking Activity Pending Credits Repeat DTMF0 CSRvice</v>
          </cell>
          <cell r="D133" t="str">
            <v>SEE CK47</v>
          </cell>
          <cell r="E133">
            <v>0</v>
          </cell>
          <cell r="F133">
            <v>0</v>
          </cell>
        </row>
        <row r="134">
          <cell r="A134" t="str">
            <v>CK51</v>
          </cell>
          <cell r="B134">
            <v>0</v>
          </cell>
          <cell r="C134" t="str">
            <v>Checking Activity Pending Credits DTMF* Start over during play, DTMF* 0335, &amp; 0335 DTMF9 to MM</v>
          </cell>
          <cell r="D134" t="str">
            <v>SEE CK47/CK48/49</v>
          </cell>
          <cell r="E134">
            <v>0</v>
          </cell>
          <cell r="F134">
            <v>0</v>
          </cell>
        </row>
        <row r="135">
          <cell r="A135" t="str">
            <v>CK52</v>
          </cell>
          <cell r="B135">
            <v>0</v>
          </cell>
          <cell r="C135" t="str">
            <v>Checking Activity Pending Credits to Checking Menu</v>
          </cell>
          <cell r="D135" t="str">
            <v>SEE CK47</v>
          </cell>
          <cell r="E135">
            <v>0</v>
          </cell>
          <cell r="F135">
            <v>0</v>
          </cell>
        </row>
        <row r="136">
          <cell r="A136" t="str">
            <v>CK53</v>
          </cell>
          <cell r="B136">
            <v>0</v>
          </cell>
          <cell r="C136" t="str">
            <v>Checking Activity Pending Credits to Enter a new Account &amp; Return to Checking</v>
          </cell>
          <cell r="D136" t="str">
            <v>SEE CK49</v>
          </cell>
          <cell r="E136">
            <v>0</v>
          </cell>
          <cell r="F136">
            <v>0</v>
          </cell>
        </row>
        <row r="137">
          <cell r="A137" t="str">
            <v>CK54</v>
          </cell>
          <cell r="B137">
            <v>0</v>
          </cell>
          <cell r="C137" t="str">
            <v>Checking Activity Pending Credits Play Multiple Tran Code Types in Single 5 play through</v>
          </cell>
          <cell r="D137" t="str">
            <v>SEE CK47/48/49</v>
          </cell>
          <cell r="E137">
            <v>0</v>
          </cell>
          <cell r="F137">
            <v>0</v>
          </cell>
        </row>
        <row r="138">
          <cell r="A138" t="str">
            <v>CK55</v>
          </cell>
          <cell r="B138">
            <v>0</v>
          </cell>
          <cell r="C138" t="str">
            <v>Checking Activity Interest Info $0 interest YTD &amp; prior year to DTMF8 Goto Check Menu from Activity Menu</v>
          </cell>
          <cell r="D138" t="str">
            <v>Client: Minimum 1 Checking - any Transactions - Interest $0 Current &amp; Prior YTD</v>
          </cell>
          <cell r="E138">
            <v>0</v>
          </cell>
          <cell r="F138">
            <v>0</v>
          </cell>
        </row>
        <row r="139">
          <cell r="A139" t="str">
            <v>CK56</v>
          </cell>
          <cell r="B139">
            <v>0</v>
          </cell>
          <cell r="C139" t="str">
            <v>Checking Activity Interest Info $0 interest YTD &amp;  Else Interest Prior Year to DTMF9 Goto MM from Activity Menu</v>
          </cell>
          <cell r="D139" t="str">
            <v xml:space="preserve">Client: Minimum 1 Checking - any Transactions - Interest $0 Current &amp; &gt;0 Prior </v>
          </cell>
          <cell r="E139">
            <v>0</v>
          </cell>
          <cell r="F139">
            <v>0</v>
          </cell>
        </row>
        <row r="140">
          <cell r="A140" t="str">
            <v>CK57</v>
          </cell>
          <cell r="B140">
            <v>0</v>
          </cell>
          <cell r="C140" t="str">
            <v>Checking Activity Interest Info Null YTD to DTMF7 Enter new Account on Activity Menu</v>
          </cell>
          <cell r="D140" t="str">
            <v>Client: Minimum 1 Checking - any Transactions - Null Response WS09 Int YTD</v>
          </cell>
          <cell r="E140">
            <v>0</v>
          </cell>
          <cell r="F140">
            <v>0</v>
          </cell>
        </row>
        <row r="141">
          <cell r="A141" t="str">
            <v>CK58</v>
          </cell>
          <cell r="B141">
            <v>0</v>
          </cell>
          <cell r="C141" t="str">
            <v>Checking Activity Interest Info else YTD Interest &amp; $0.00 Prior Year to DTMF0 CSRvice Xfer on Activity Menu</v>
          </cell>
          <cell r="D141" t="str">
            <v xml:space="preserve">Client: Minimum 1 Checking - any Transactions - Interest &gt;0 Current &amp; $0 Prior </v>
          </cell>
          <cell r="E141">
            <v>0</v>
          </cell>
          <cell r="F141">
            <v>0</v>
          </cell>
        </row>
        <row r="142">
          <cell r="A142" t="str">
            <v>CK59</v>
          </cell>
          <cell r="B142">
            <v>0</v>
          </cell>
          <cell r="C142" t="str">
            <v>Checking Activity Interest Info else Interest YTD &amp; else Prior Year</v>
          </cell>
          <cell r="D142" t="str">
            <v xml:space="preserve">Client: Minimum 1 Checking - any Transactions - Interest  &gt;0 Current &amp; Prior </v>
          </cell>
          <cell r="E142">
            <v>0</v>
          </cell>
          <cell r="F142">
            <v>0</v>
          </cell>
        </row>
        <row r="143">
          <cell r="A143" t="str">
            <v>CK60</v>
          </cell>
          <cell r="B143">
            <v>0</v>
          </cell>
          <cell r="C143" t="str">
            <v>Checking Amt Inquiry Search Check# NoData Repeat to DTMF0 CSRvice Xfer on Check Inq Menu</v>
          </cell>
          <cell r="D143" t="str">
            <v xml:space="preserve">Client: Minimum 1 Checking </v>
          </cell>
          <cell r="E143">
            <v>0</v>
          </cell>
          <cell r="F143">
            <v>0</v>
          </cell>
        </row>
        <row r="144">
          <cell r="A144" t="str">
            <v>CK61</v>
          </cell>
          <cell r="B144">
            <v>0</v>
          </cell>
          <cell r="C144" t="str">
            <v>Checking Amt Inquiry Search Check# Found Repeat to DTMF9 Goto MM from Check Inq Menu</v>
          </cell>
          <cell r="D144" t="str">
            <v>Client: Minimum 1 Checking - Recent Check#</v>
          </cell>
          <cell r="E144">
            <v>0</v>
          </cell>
          <cell r="F144">
            <v>0</v>
          </cell>
        </row>
        <row r="145">
          <cell r="A145" t="str">
            <v>CK62</v>
          </cell>
          <cell r="B145">
            <v>0</v>
          </cell>
          <cell r="C145" t="str">
            <v>Checking Amt Inquiry Search Check# NoData then Found recover to DTMF8 return to Checking Menu</v>
          </cell>
          <cell r="D145" t="str">
            <v>Client: Minimum 1 Checking - Recent Check#</v>
          </cell>
          <cell r="E145">
            <v>0</v>
          </cell>
          <cell r="F145">
            <v>0</v>
          </cell>
        </row>
        <row r="146">
          <cell r="A146" t="str">
            <v>CK63</v>
          </cell>
          <cell r="B146">
            <v>0</v>
          </cell>
          <cell r="C146" t="str">
            <v>Checking Amt Inquiry Search Check# NoData to DTMF7 Enter New Acct from Check Inq Menu</v>
          </cell>
          <cell r="D146" t="str">
            <v xml:space="preserve">Client: Minimum 1 Checking </v>
          </cell>
          <cell r="E146">
            <v>0</v>
          </cell>
          <cell r="F146">
            <v>0</v>
          </cell>
        </row>
        <row r="147">
          <cell r="A147" t="str">
            <v>CK64</v>
          </cell>
          <cell r="B147">
            <v>0</v>
          </cell>
          <cell r="C147" t="str">
            <v>Checking Amt Inquiry Specific Amt 2+ Found Repeat to DTMF2 Search another Amt</v>
          </cell>
          <cell r="D147" t="str">
            <v>Client: Minimum 1 Checking - Recent Check/Withdrawal 2+ similar amts</v>
          </cell>
          <cell r="E147">
            <v>0</v>
          </cell>
          <cell r="F147">
            <v>0</v>
          </cell>
        </row>
        <row r="148">
          <cell r="A148" t="str">
            <v>CK65</v>
          </cell>
          <cell r="B148">
            <v>0</v>
          </cell>
          <cell r="C148" t="str">
            <v>Checking Amt Inquiry Specific Amt 2+ Found to DTMF7 Enter New Acct landing</v>
          </cell>
          <cell r="D148" t="str">
            <v>Client: Minimum 1 Checking - Recent Check/Withdrawal 2+ similar amts</v>
          </cell>
          <cell r="E148">
            <v>0</v>
          </cell>
          <cell r="F148">
            <v>0</v>
          </cell>
        </row>
        <row r="149">
          <cell r="A149" t="str">
            <v>CK66</v>
          </cell>
          <cell r="B149">
            <v>0</v>
          </cell>
          <cell r="C149" t="str">
            <v xml:space="preserve">Checking Amt Inquiry Specific Amt 2+ Found to DTMF8 Checking Menu </v>
          </cell>
          <cell r="D149" t="str">
            <v>Client: Minimum 1 Checking - Recent Check/Withdrawal 2+ similar amts</v>
          </cell>
          <cell r="E149">
            <v>0</v>
          </cell>
          <cell r="F149">
            <v>0</v>
          </cell>
        </row>
        <row r="150">
          <cell r="A150" t="str">
            <v>CK67</v>
          </cell>
          <cell r="B150">
            <v>0</v>
          </cell>
          <cell r="C150" t="str">
            <v xml:space="preserve">Checking Amt Inquiry Specific Amt 2+ found to DTMF9 Goto MM </v>
          </cell>
          <cell r="D150" t="str">
            <v>Client: Minimum 1 Checking - Recent Check/Withdrawal 2+ similar amts</v>
          </cell>
          <cell r="E150">
            <v>0</v>
          </cell>
          <cell r="F150">
            <v>0</v>
          </cell>
        </row>
        <row r="151">
          <cell r="A151" t="str">
            <v>CK68</v>
          </cell>
          <cell r="B151">
            <v>0</v>
          </cell>
          <cell r="C151" t="str">
            <v>Checking Amt Inquiry Specific Amt 2+ found to DTMF0 CSRvice Xfer</v>
          </cell>
          <cell r="D151" t="str">
            <v>Client: Minimum 1 Checking - Recent Check/Withdrawal 2+ similar amts</v>
          </cell>
          <cell r="E151">
            <v>0</v>
          </cell>
          <cell r="F151">
            <v>0</v>
          </cell>
        </row>
        <row r="152">
          <cell r="A152" t="str">
            <v>CK69</v>
          </cell>
          <cell r="B152">
            <v>0</v>
          </cell>
          <cell r="C152" t="str">
            <v>Checking Amt Inquiry Specific Amt 2+ found DTMF1 Next check until last to DTMF* 0359 Repeat</v>
          </cell>
          <cell r="D152" t="str">
            <v>Client: Minimum 1 Checking - Recent Check/Withdrawal 2+ similar amts</v>
          </cell>
          <cell r="E152">
            <v>0</v>
          </cell>
          <cell r="F152">
            <v>0</v>
          </cell>
        </row>
        <row r="153">
          <cell r="A153" t="str">
            <v>CK70</v>
          </cell>
          <cell r="B153">
            <v>0</v>
          </cell>
          <cell r="C153" t="str">
            <v>Checking Amt Inquiry Specific Amt 1 Found Repeat to DTMF1 Check Amt Inquiry Menu Landing</v>
          </cell>
          <cell r="D153" t="str">
            <v>Client: Minimum 1 Checking - Recent Check/Withdrawal unique amt</v>
          </cell>
          <cell r="E153">
            <v>0</v>
          </cell>
          <cell r="F153">
            <v>0</v>
          </cell>
        </row>
        <row r="154">
          <cell r="A154" t="str">
            <v>CK71</v>
          </cell>
          <cell r="B154">
            <v>0</v>
          </cell>
          <cell r="C154" t="str">
            <v>Checking Amt Inquiry Specific Amt NotFound to DTMF7 Enter New Acct Landing</v>
          </cell>
          <cell r="D154" t="str">
            <v xml:space="preserve">Client: Minimum 1 Checking </v>
          </cell>
          <cell r="E154">
            <v>0</v>
          </cell>
          <cell r="F154">
            <v>0</v>
          </cell>
        </row>
        <row r="155">
          <cell r="A155" t="str">
            <v>CK72</v>
          </cell>
          <cell r="B155">
            <v>0</v>
          </cell>
          <cell r="C155" t="str">
            <v>Checking Amt Inquiry Specific Amt NotFound Repeat to DTMF8 Checking Menu Landing</v>
          </cell>
          <cell r="D155" t="str">
            <v xml:space="preserve">Client: Minimum 1 Checking </v>
          </cell>
          <cell r="E155">
            <v>0</v>
          </cell>
          <cell r="F155">
            <v>0</v>
          </cell>
        </row>
        <row r="156">
          <cell r="A156" t="str">
            <v>CK73</v>
          </cell>
          <cell r="B156">
            <v>0</v>
          </cell>
          <cell r="C156" t="str">
            <v>Checking Amt Inquiry Specific Amt NotFound to DTMF9 Goto MM</v>
          </cell>
          <cell r="D156" t="str">
            <v xml:space="preserve">Client: Minimum 1 Checking </v>
          </cell>
          <cell r="E156">
            <v>0</v>
          </cell>
          <cell r="F156">
            <v>0</v>
          </cell>
        </row>
        <row r="157">
          <cell r="A157" t="str">
            <v>CK74</v>
          </cell>
          <cell r="B157">
            <v>0</v>
          </cell>
          <cell r="C157" t="str">
            <v>Checking Amt Inquiry Specific Amt NotFound to DTMF0 CSRvice XFER</v>
          </cell>
          <cell r="D157" t="str">
            <v xml:space="preserve">Client: Minimum 1 Checking </v>
          </cell>
          <cell r="E157">
            <v>0</v>
          </cell>
          <cell r="F157">
            <v>0</v>
          </cell>
        </row>
        <row r="158">
          <cell r="A158" t="str">
            <v>CK75</v>
          </cell>
          <cell r="B158">
            <v>0</v>
          </cell>
          <cell r="C158" t="str">
            <v xml:space="preserve">Checking Amt Inquiry DTMF7 Enter New Acct Landing </v>
          </cell>
          <cell r="D158" t="str">
            <v xml:space="preserve">Client: Minimum 1 Checking </v>
          </cell>
          <cell r="E158">
            <v>0</v>
          </cell>
          <cell r="F158">
            <v>0</v>
          </cell>
        </row>
        <row r="159">
          <cell r="A159" t="str">
            <v>CK76</v>
          </cell>
          <cell r="B159">
            <v>0</v>
          </cell>
          <cell r="C159" t="str">
            <v xml:space="preserve">Checking Amt Inquiry DTMF8 Checking Menu landing </v>
          </cell>
          <cell r="D159" t="str">
            <v xml:space="preserve">Client: Minimum 1 Checking </v>
          </cell>
          <cell r="E159">
            <v>0</v>
          </cell>
          <cell r="F159">
            <v>0</v>
          </cell>
        </row>
        <row r="160">
          <cell r="A160" t="str">
            <v>CK77</v>
          </cell>
          <cell r="B160">
            <v>0</v>
          </cell>
          <cell r="C160" t="str">
            <v>Checking Amt Inquiry DTMF9 Goto MM Landing</v>
          </cell>
          <cell r="D160" t="str">
            <v xml:space="preserve">Client: Minimum 1 Checking </v>
          </cell>
          <cell r="E160">
            <v>0</v>
          </cell>
          <cell r="F160">
            <v>0</v>
          </cell>
        </row>
        <row r="161">
          <cell r="A161" t="str">
            <v>CK78</v>
          </cell>
          <cell r="B161">
            <v>0</v>
          </cell>
          <cell r="C161" t="str">
            <v>Checking Amt Inquiry DTMF0 CSRvice Xfer</v>
          </cell>
          <cell r="D161" t="str">
            <v xml:space="preserve">Client: Minimum 1 Checking </v>
          </cell>
          <cell r="E161">
            <v>0</v>
          </cell>
          <cell r="F161">
            <v>0</v>
          </cell>
        </row>
        <row r="162">
          <cell r="A162" t="str">
            <v>CK79</v>
          </cell>
          <cell r="B162">
            <v>0</v>
          </cell>
          <cell r="C162" t="str">
            <v>Checking Handy Line Info Access Line Type to Xfer</v>
          </cell>
          <cell r="D162" t="str">
            <v>Access Line type account</v>
          </cell>
          <cell r="E162">
            <v>0</v>
          </cell>
          <cell r="F162">
            <v>0</v>
          </cell>
        </row>
        <row r="163">
          <cell r="A163" t="str">
            <v>CK80</v>
          </cell>
          <cell r="B163">
            <v>0</v>
          </cell>
          <cell r="C163" t="str">
            <v>Checking Handy Line Not on Acct to DTMF1 More Information Xfer</v>
          </cell>
          <cell r="D163" t="str">
            <v>Client: Minimum 1 Checking - Acct with no HandyLine</v>
          </cell>
          <cell r="E163">
            <v>0</v>
          </cell>
          <cell r="F163">
            <v>0</v>
          </cell>
        </row>
        <row r="164">
          <cell r="A164" t="str">
            <v>CK81</v>
          </cell>
          <cell r="B164">
            <v>0</v>
          </cell>
          <cell r="C164" t="str">
            <v>Checking Handly Line Not on Acct to DTMF7 Enter New Acct Landing</v>
          </cell>
          <cell r="D164" t="str">
            <v>Client: Minimum 1 Checking - Acct with no HandyLine</v>
          </cell>
          <cell r="E164">
            <v>0</v>
          </cell>
          <cell r="F164">
            <v>0</v>
          </cell>
        </row>
        <row r="165">
          <cell r="A165" t="str">
            <v>CK82</v>
          </cell>
          <cell r="B165">
            <v>0</v>
          </cell>
          <cell r="C165" t="str">
            <v>Checking Handly Line Not on Acct to DTMF8 Checking Menu Landing</v>
          </cell>
          <cell r="D165" t="str">
            <v>Client: Minimum 1 Checking - Acct with no HandyLine</v>
          </cell>
          <cell r="E165">
            <v>0</v>
          </cell>
          <cell r="F165">
            <v>0</v>
          </cell>
        </row>
        <row r="166">
          <cell r="A166" t="str">
            <v>CK83</v>
          </cell>
          <cell r="B166">
            <v>0</v>
          </cell>
          <cell r="C166" t="str">
            <v>Checking Handly Line Not on Acct to DTMF9 Goto MM Landing</v>
          </cell>
          <cell r="D166" t="str">
            <v>Client: Minimum 1 Checking - Acct with no HandyLine</v>
          </cell>
          <cell r="E166">
            <v>0</v>
          </cell>
          <cell r="F166">
            <v>0</v>
          </cell>
        </row>
        <row r="167">
          <cell r="A167" t="str">
            <v>CK84</v>
          </cell>
          <cell r="B167">
            <v>0</v>
          </cell>
          <cell r="C167" t="str">
            <v>Checking Handly Line Not on Acct to DTMF0 CSRvice Xfer</v>
          </cell>
          <cell r="D167" t="str">
            <v>Client: Minimum 1 Checking - Acct with no HandyLine</v>
          </cell>
          <cell r="E167">
            <v>0</v>
          </cell>
          <cell r="F167">
            <v>0</v>
          </cell>
        </row>
        <row r="168">
          <cell r="A168" t="str">
            <v>CK85</v>
          </cell>
          <cell r="B168">
            <v>0</v>
          </cell>
          <cell r="C168" t="str">
            <v>Checking Handy Line ON Acct status $0 Balance  &amp; $0 available &amp; $0 Pmt Due</v>
          </cell>
          <cell r="D168" t="str">
            <v>Client: Minimum 1 Checking - Acct has HandyLine: 0 Balance Amt, 0 Available, 0 Payment Due</v>
          </cell>
          <cell r="E168">
            <v>0</v>
          </cell>
          <cell r="F168">
            <v>0</v>
          </cell>
        </row>
        <row r="169">
          <cell r="A169" t="str">
            <v>CK86</v>
          </cell>
          <cell r="B169">
            <v>0</v>
          </cell>
          <cell r="C169" t="str">
            <v>Checking Handy Line ON Acct status $0 Balance  &amp; HAS available &amp; $0 Pmt Due to DTMF7 Enter New Acct Landing</v>
          </cell>
          <cell r="D169" t="str">
            <v>Client: Minimum 1 Checking - Acct has HandyLine: 0 Balance Amt, HAS Available, 0 Payment Due</v>
          </cell>
          <cell r="E169">
            <v>0</v>
          </cell>
          <cell r="F169">
            <v>0</v>
          </cell>
        </row>
        <row r="170">
          <cell r="A170" t="str">
            <v>CK87</v>
          </cell>
          <cell r="B170">
            <v>0</v>
          </cell>
          <cell r="C170" t="str">
            <v>Checking Handy Line ON Acct status HAS Balance  &amp; $0 available &amp; $0 Pmt Due to DTMF8 Checking Menu Landing</v>
          </cell>
          <cell r="D170" t="str">
            <v>Client: Minimum 1 Checking - Acct has HandyLine: HAS Balance Amt, 0 Available, 0 Payment Due</v>
          </cell>
          <cell r="E170">
            <v>0</v>
          </cell>
          <cell r="F170">
            <v>0</v>
          </cell>
        </row>
        <row r="171">
          <cell r="A171" t="str">
            <v>CK88</v>
          </cell>
          <cell r="B171">
            <v>0</v>
          </cell>
          <cell r="C171" t="str">
            <v>Checking Handy Line ON Acct status HAS Balance  &amp; $0 available &amp; HAS Pmt Due to DTMF9 Goto MM Landing</v>
          </cell>
          <cell r="D171" t="str">
            <v>Client: Minimum 1 Checking - Acct has HandyLine: HAS Balance Amt, 0 Available, HAS Payment Due</v>
          </cell>
          <cell r="E171">
            <v>0</v>
          </cell>
          <cell r="F171">
            <v>0</v>
          </cell>
        </row>
        <row r="172">
          <cell r="A172" t="str">
            <v>CK89</v>
          </cell>
          <cell r="B172">
            <v>0</v>
          </cell>
          <cell r="C172" t="str">
            <v>Checking Handy Line ON Acct status HAS Balance  &amp; HAS available &amp; HAS Pmt Due to DTMF0 CSRvice Xfer</v>
          </cell>
          <cell r="D172" t="str">
            <v>Client: Minimum 1 Checking - Acct has HandyLine: HAS Balance Amt, HAS Available, HAS Payment Due</v>
          </cell>
          <cell r="E172">
            <v>0</v>
          </cell>
          <cell r="F172">
            <v>0</v>
          </cell>
        </row>
        <row r="173">
          <cell r="A173" t="str">
            <v>CK90</v>
          </cell>
          <cell r="B173">
            <v>0</v>
          </cell>
          <cell r="C173" t="str">
            <v>Checking Handy Line ON Acct status HAS Balance  &amp; HAS available &amp; $0 Pmt Due Repeat</v>
          </cell>
          <cell r="D173" t="str">
            <v>SEE CK85</v>
          </cell>
          <cell r="E173">
            <v>0</v>
          </cell>
          <cell r="F173">
            <v>0</v>
          </cell>
        </row>
        <row r="174">
          <cell r="A174" t="str">
            <v>CK91</v>
          </cell>
          <cell r="B174">
            <v>0</v>
          </cell>
          <cell r="C174" t="str">
            <v>Checking Handy Line ON Acct status $0 Balance  &amp; HAS available &amp; HAS Pmt Due hangup</v>
          </cell>
          <cell r="D174" t="str">
            <v>Client: Minimum 1 Checking - Acct has HandyLine: 0 Balance Amt, HAS Available, HAS Payment Due</v>
          </cell>
          <cell r="E174">
            <v>0</v>
          </cell>
          <cell r="F174">
            <v>0</v>
          </cell>
        </row>
        <row r="175">
          <cell r="A175" t="str">
            <v>CK92</v>
          </cell>
          <cell r="B175">
            <v>0</v>
          </cell>
          <cell r="C175" t="str">
            <v>Checking Handy Line ON Acct status $0 Balance  &amp; $0 available &amp; HAS Pmt Due hangup</v>
          </cell>
          <cell r="D175" t="str">
            <v>Client: Minimum 1 Checking - Acct has HandyLine: 0 Balance Amt, 0 Available, HAS Payment Due</v>
          </cell>
          <cell r="E175">
            <v>0</v>
          </cell>
          <cell r="F175">
            <v>0</v>
          </cell>
        </row>
        <row r="176">
          <cell r="A176" t="str">
            <v>CK93</v>
          </cell>
          <cell r="B176">
            <v>0</v>
          </cell>
          <cell r="C176" t="str">
            <v xml:space="preserve">Checking Stop Pmt repeat all &amp; Confirm with Stop Payment </v>
          </cell>
          <cell r="D176" t="str">
            <v xml:space="preserve">Client: Minimum 1 Checking -  Check Amt, Check Number, Day Issued, &amp; Acct Phone # </v>
          </cell>
          <cell r="E176">
            <v>0</v>
          </cell>
          <cell r="F176">
            <v>0</v>
          </cell>
        </row>
        <row r="177">
          <cell r="A177" t="str">
            <v>CK94</v>
          </cell>
          <cell r="B177">
            <v>0</v>
          </cell>
          <cell r="C177" t="str">
            <v>Checking Stop Pmt Cancel and return to Check Menu</v>
          </cell>
          <cell r="D177" t="str">
            <v xml:space="preserve">Client: Minimum 1 Checking </v>
          </cell>
          <cell r="E177">
            <v>0</v>
          </cell>
          <cell r="F177">
            <v>0</v>
          </cell>
        </row>
        <row r="178">
          <cell r="A178" t="str">
            <v>CK95</v>
          </cell>
          <cell r="B178">
            <v>0</v>
          </cell>
          <cell r="C178" t="str">
            <v>Checking Stop Pmt to DTMF0 CSRvice from Confirm Stop Pay Menu</v>
          </cell>
          <cell r="D178" t="str">
            <v xml:space="preserve">Client: Minimum 1 Checking </v>
          </cell>
          <cell r="E178">
            <v>0</v>
          </cell>
          <cell r="F178">
            <v>0</v>
          </cell>
        </row>
        <row r="179">
          <cell r="A179" t="str">
            <v>CK96</v>
          </cell>
          <cell r="B179">
            <v>0</v>
          </cell>
          <cell r="C179" t="str">
            <v>Checking Stop Pmt Confirm &amp; WS14 NotFound/Error Xfer</v>
          </cell>
          <cell r="D179" t="str">
            <v xml:space="preserve">Client: Minimum 1 Checking </v>
          </cell>
          <cell r="E179">
            <v>0</v>
          </cell>
          <cell r="F179">
            <v>0</v>
          </cell>
        </row>
        <row r="180">
          <cell r="A180" t="str">
            <v>CK97</v>
          </cell>
          <cell r="B180">
            <v>0</v>
          </cell>
          <cell r="C180" t="str">
            <v>Checking DTMF5 Transfer Funds Menu Landing</v>
          </cell>
          <cell r="D180" t="str">
            <v xml:space="preserve">Client: Minimum 1 Checking </v>
          </cell>
          <cell r="E180">
            <v>0</v>
          </cell>
          <cell r="F180">
            <v>0</v>
          </cell>
        </row>
        <row r="181">
          <cell r="A181" t="str">
            <v>CK98</v>
          </cell>
          <cell r="B181">
            <v>0</v>
          </cell>
          <cell r="C181" t="str">
            <v>Checking DTMF6 Order Checks Xfer</v>
          </cell>
          <cell r="D181" t="str">
            <v xml:space="preserve">Client: Minimum 1 Checking </v>
          </cell>
          <cell r="E181">
            <v>0</v>
          </cell>
          <cell r="F181">
            <v>0</v>
          </cell>
        </row>
        <row r="182">
          <cell r="A182" t="str">
            <v>CK99</v>
          </cell>
          <cell r="B182">
            <v>0</v>
          </cell>
          <cell r="C182" t="str">
            <v>Checking DTMF7 Enter New Account Landing</v>
          </cell>
          <cell r="D182" t="str">
            <v xml:space="preserve">Client: Minimum 1 Checking </v>
          </cell>
          <cell r="E182">
            <v>0</v>
          </cell>
          <cell r="F182">
            <v>0</v>
          </cell>
        </row>
        <row r="183">
          <cell r="A183" t="str">
            <v>CK100</v>
          </cell>
          <cell r="B183">
            <v>0</v>
          </cell>
          <cell r="C183" t="str">
            <v>Checking DTMF9 Goto MM Landing</v>
          </cell>
          <cell r="D183" t="str">
            <v xml:space="preserve">Client: Minimum 1 Checking </v>
          </cell>
          <cell r="E183">
            <v>0</v>
          </cell>
          <cell r="F183">
            <v>0</v>
          </cell>
        </row>
        <row r="184">
          <cell r="A184" t="str">
            <v>CK101</v>
          </cell>
          <cell r="B184">
            <v>0</v>
          </cell>
          <cell r="C184" t="str">
            <v>Checking DTMF0 CSRvice xfer</v>
          </cell>
          <cell r="D184" t="str">
            <v xml:space="preserve">Client: Minimum 1 Checking </v>
          </cell>
          <cell r="E184">
            <v>0</v>
          </cell>
          <cell r="F184">
            <v>0</v>
          </cell>
        </row>
        <row r="185">
          <cell r="A185">
            <v>0</v>
          </cell>
          <cell r="B185">
            <v>0</v>
          </cell>
          <cell r="C185">
            <v>0</v>
          </cell>
          <cell r="D185">
            <v>0</v>
          </cell>
          <cell r="E185">
            <v>0</v>
          </cell>
          <cell r="F185">
            <v>0</v>
          </cell>
        </row>
        <row r="186">
          <cell r="A186" t="str">
            <v>Loans Test Cycle (LN#)</v>
          </cell>
          <cell r="B186">
            <v>0</v>
          </cell>
          <cell r="C186">
            <v>0</v>
          </cell>
          <cell r="D186">
            <v>0</v>
          </cell>
          <cell r="E186">
            <v>0</v>
          </cell>
          <cell r="F186">
            <v>0</v>
          </cell>
        </row>
        <row r="187">
          <cell r="A187" t="str">
            <v>LN01</v>
          </cell>
          <cell r="B187">
            <v>0</v>
          </cell>
          <cell r="C187" t="str">
            <v>Loans Real Estate 02/07 Xfer</v>
          </cell>
          <cell r="D187" t="str">
            <v>Client: Minimum 1 Loan Acct - Real Estate 02/07 type</v>
          </cell>
          <cell r="E187">
            <v>0</v>
          </cell>
          <cell r="F187">
            <v>0</v>
          </cell>
        </row>
        <row r="188">
          <cell r="A188" t="str">
            <v>LN02</v>
          </cell>
          <cell r="B188">
            <v>0</v>
          </cell>
          <cell r="C188" t="str">
            <v>Loans Real Estate Else xfer</v>
          </cell>
          <cell r="D188" t="str">
            <v>Client: Minimum 1 Loan Acct - Real Estate else (not 02/07) type</v>
          </cell>
          <cell r="E188">
            <v>0</v>
          </cell>
          <cell r="F188">
            <v>0</v>
          </cell>
        </row>
        <row r="189">
          <cell r="A189" t="str">
            <v>LN03</v>
          </cell>
          <cell r="B189">
            <v>0</v>
          </cell>
          <cell r="C189" t="str">
            <v>Loans Current Pmt &gt; $0 Past Due Repeat, Pmt Mailing Addr, &amp; DTFM3 Payoff Xfer</v>
          </cell>
          <cell r="D189" t="str">
            <v>Client: Minimum 1 Loan Acct - Not RE, Current Pmt &gt; 0, Past Due</v>
          </cell>
          <cell r="E189">
            <v>0</v>
          </cell>
          <cell r="F189">
            <v>0</v>
          </cell>
        </row>
        <row r="190">
          <cell r="A190" t="str">
            <v>LN04</v>
          </cell>
          <cell r="B190">
            <v>0</v>
          </cell>
          <cell r="C190" t="str">
            <v>Loans Current Pmt &gt; $0 NOT Past Due to DTMF7 Enter New Account Landing</v>
          </cell>
          <cell r="D190" t="str">
            <v>Client: Minimum 1 Loan Acct - Not RE, Current Pmt &gt; 0, NOT Past Due</v>
          </cell>
          <cell r="E190">
            <v>0</v>
          </cell>
          <cell r="F190">
            <v>0</v>
          </cell>
        </row>
        <row r="191">
          <cell r="A191" t="str">
            <v>LN05</v>
          </cell>
          <cell r="B191">
            <v>0</v>
          </cell>
          <cell r="C191" t="str">
            <v>Loans Current Pmt Not &gt; $0 Past Due to DTMF9 Goto MM Landing</v>
          </cell>
          <cell r="D191" t="str">
            <v>Client: Minimum 1 Loan Acct - Not RE, Current Pmt NOT &gt; 0, Past Due</v>
          </cell>
          <cell r="E191">
            <v>0</v>
          </cell>
          <cell r="F191">
            <v>0</v>
          </cell>
        </row>
        <row r="192">
          <cell r="A192" t="str">
            <v>LN06</v>
          </cell>
          <cell r="B192">
            <v>0</v>
          </cell>
          <cell r="C192" t="str">
            <v>Loans Current Pmt Not &gt; $0 NOT Past Due to DTMF0 CSRvice Xfer</v>
          </cell>
          <cell r="D192" t="str">
            <v>Client: Minimum 1 Loan Acct - Not RE, Current Pmt NOT &gt; 0, NOT Past Due</v>
          </cell>
          <cell r="E192">
            <v>0</v>
          </cell>
          <cell r="F192">
            <v>0</v>
          </cell>
        </row>
        <row r="193">
          <cell r="A193" t="str">
            <v>LN07</v>
          </cell>
          <cell r="B193">
            <v>0</v>
          </cell>
          <cell r="C193" t="str">
            <v>Loan Menu Make Payment MEM01 No Data 3X Xfer</v>
          </cell>
          <cell r="D193" t="str">
            <v>Client: Minimum 1 Loan Acct - Not RE, any pmt</v>
          </cell>
          <cell r="E193">
            <v>0</v>
          </cell>
          <cell r="F193">
            <v>0</v>
          </cell>
        </row>
        <row r="194">
          <cell r="A194" t="str">
            <v>LN08</v>
          </cell>
          <cell r="B194">
            <v>0</v>
          </cell>
          <cell r="C194" t="str">
            <v>Loan Menu Make Payment Failure/Error Xfer</v>
          </cell>
          <cell r="D194" t="str">
            <v>Developer Assist</v>
          </cell>
          <cell r="E194">
            <v>0</v>
          </cell>
          <cell r="F194">
            <v>0</v>
          </cell>
        </row>
        <row r="195">
          <cell r="A195" t="str">
            <v>LN09</v>
          </cell>
          <cell r="B195">
            <v>0</v>
          </cell>
          <cell r="C195" t="str">
            <v>Loan Menu Make Payment Inquiry/No Access Not Eligible 2X Xfer</v>
          </cell>
          <cell r="D195" t="str">
            <v>Client: Minimum 1 Loan Acct - Not RE, any pmt, Inquiry Only/No access MEM01 repsonse</v>
          </cell>
          <cell r="E195">
            <v>0</v>
          </cell>
          <cell r="F195">
            <v>0</v>
          </cell>
        </row>
        <row r="196">
          <cell r="A196" t="str">
            <v>LN10</v>
          </cell>
          <cell r="B196">
            <v>0</v>
          </cell>
          <cell r="C196" t="str">
            <v>Loan Menu Make Payment "else" Fail Xfer</v>
          </cell>
          <cell r="D196" t="str">
            <v>Developer Assist</v>
          </cell>
          <cell r="E196">
            <v>0</v>
          </cell>
          <cell r="F196">
            <v>0</v>
          </cell>
        </row>
        <row r="197">
          <cell r="A197" t="str">
            <v>LN11</v>
          </cell>
          <cell r="B197">
            <v>0</v>
          </cell>
          <cell r="C197" t="str">
            <v>Loan Menu Make Payment Full Access Cancel &amp; return to Loan Menu</v>
          </cell>
          <cell r="D197" t="str">
            <v>Client: Minimum 1 Loan Acct - Not RE, any pmt, Full Access MEM01</v>
          </cell>
          <cell r="E197">
            <v>0</v>
          </cell>
          <cell r="F197">
            <v>0</v>
          </cell>
        </row>
        <row r="198">
          <cell r="A198" t="str">
            <v>LN12</v>
          </cell>
          <cell r="B198">
            <v>0</v>
          </cell>
          <cell r="C198" t="str">
            <v>Loan Menu Make Payment Full Access to 0630 DTMF8 return to Loan Menu</v>
          </cell>
          <cell r="D198" t="str">
            <v>Client: Minimum 1 Loan Acct - Not RE, any pmt, Full Access MEM01</v>
          </cell>
          <cell r="E198">
            <v>0</v>
          </cell>
          <cell r="F198">
            <v>0</v>
          </cell>
        </row>
        <row r="199">
          <cell r="A199" t="str">
            <v>LN13</v>
          </cell>
          <cell r="B199">
            <v>0</v>
          </cell>
          <cell r="C199" t="str">
            <v>Loan Menu Make Payment Full Access to 0630 DTMF9 Goto MM Landing</v>
          </cell>
          <cell r="D199" t="str">
            <v>Client: Minimum 1 Loan Acct - Not RE, any pmt, Full Access MEM01</v>
          </cell>
          <cell r="E199">
            <v>0</v>
          </cell>
          <cell r="F199">
            <v>0</v>
          </cell>
        </row>
        <row r="200">
          <cell r="A200" t="str">
            <v>LN14</v>
          </cell>
          <cell r="B200">
            <v>0</v>
          </cell>
          <cell r="C200" t="str">
            <v>Loan Menu Make Payment Full Access to 0630 DTMF0 CSRvice Xfer</v>
          </cell>
          <cell r="D200" t="str">
            <v>Client: Minimum 1 Loan Acct - Not RE, any pmt, Full Access MEM01</v>
          </cell>
          <cell r="E200">
            <v>0</v>
          </cell>
          <cell r="F200">
            <v>0</v>
          </cell>
        </row>
        <row r="201">
          <cell r="A201" t="str">
            <v>LN15</v>
          </cell>
          <cell r="B201">
            <v>0</v>
          </cell>
          <cell r="C201" t="str">
            <v>Loan Menu Make Payment Full Access Process Pmt "else" Fail Xfer</v>
          </cell>
          <cell r="D201" t="str">
            <v>Client: Minimum 1 Loan Acct - Not RE, any pmt, Full Access MEM01  **DEVELOPER ASSIST**</v>
          </cell>
          <cell r="E201">
            <v>0</v>
          </cell>
          <cell r="F201">
            <v>0</v>
          </cell>
        </row>
        <row r="202">
          <cell r="A202" t="str">
            <v>LN16</v>
          </cell>
          <cell r="B202">
            <v>0</v>
          </cell>
          <cell r="C202" t="str">
            <v>Loan Menu Make Payment Full Access Process Pmt Insufficient Funds Another Amt</v>
          </cell>
          <cell r="D202" t="str">
            <v>Client: Minimum 1 Loan Acct - Not RE, any pmt, Full Access MEM01 &amp; Insufficient Funds attempt</v>
          </cell>
          <cell r="E202">
            <v>0</v>
          </cell>
          <cell r="F202">
            <v>0</v>
          </cell>
        </row>
        <row r="203">
          <cell r="A203" t="str">
            <v>LN17</v>
          </cell>
          <cell r="B203">
            <v>0</v>
          </cell>
          <cell r="C203" t="str">
            <v>Loan Menu Make Payment Full Access Process Pmt Insufficient Funds Another Acct</v>
          </cell>
          <cell r="D203" t="str">
            <v>Client: Minimum 1 Loan Acct - Not RE, any pmt, Full Access MEM01 &amp; Insufficient Funds attempt</v>
          </cell>
          <cell r="E203">
            <v>0</v>
          </cell>
          <cell r="F203">
            <v>0</v>
          </cell>
        </row>
        <row r="204">
          <cell r="A204" t="str">
            <v>LN18</v>
          </cell>
          <cell r="B204">
            <v>0</v>
          </cell>
          <cell r="C204" t="str">
            <v>Loan Menu Make Payment Full Access Process Pmt Insufficient Funds CSRvice Xfer</v>
          </cell>
          <cell r="D204" t="str">
            <v xml:space="preserve">Client: Minimum 1 Loan Acct - Not RE, any pmt, Full Access MEM01 </v>
          </cell>
          <cell r="E204">
            <v>0</v>
          </cell>
          <cell r="F204">
            <v>0</v>
          </cell>
        </row>
        <row r="205">
          <cell r="A205" t="str">
            <v>LN19</v>
          </cell>
          <cell r="B205">
            <v>0</v>
          </cell>
          <cell r="C205" t="str">
            <v>Loan Menu Make Payment Full Access Process Pmt Success Repeat 0660 CSRvice Xfer</v>
          </cell>
          <cell r="D205" t="str">
            <v xml:space="preserve">Client: Minimum 1 Loan Acct - Not RE, any pmt, Full Access MEM01 </v>
          </cell>
          <cell r="E205">
            <v>0</v>
          </cell>
          <cell r="F205">
            <v>0</v>
          </cell>
        </row>
        <row r="206">
          <cell r="A206" t="str">
            <v>LN20</v>
          </cell>
          <cell r="B206">
            <v>0</v>
          </cell>
          <cell r="C206" t="str">
            <v>Loan Menu Make Payment Full Access Process Pmt Insufficient Funds Another Amt RECOVER</v>
          </cell>
          <cell r="D206" t="str">
            <v>Client: Minimum 1 Loan Acct - Not RE, any pmt, Full Access MEM01 &amp; Insufficient Funds attempt</v>
          </cell>
          <cell r="E206">
            <v>0</v>
          </cell>
          <cell r="F206">
            <v>0</v>
          </cell>
        </row>
        <row r="207">
          <cell r="A207" t="str">
            <v>LN21</v>
          </cell>
          <cell r="B207">
            <v>0</v>
          </cell>
          <cell r="C207" t="str">
            <v>Loan Menu Make Payment Full Access Process Pmt Success 0660 DTMF7 Enter New Account</v>
          </cell>
          <cell r="D207" t="str">
            <v xml:space="preserve">Client: Minimum 1 Loan Acct - Not RE, any pmt, Full Access MEM01 </v>
          </cell>
          <cell r="E207">
            <v>0</v>
          </cell>
          <cell r="F207">
            <v>0</v>
          </cell>
        </row>
        <row r="208">
          <cell r="A208" t="str">
            <v>LN22</v>
          </cell>
          <cell r="B208">
            <v>0</v>
          </cell>
          <cell r="C208" t="str">
            <v>Loan Menu Make Payment Full Access Process Pmt Success 0660 DTMF8 Loan Menu Landing</v>
          </cell>
          <cell r="D208" t="str">
            <v xml:space="preserve">Client: Minimum 1 Loan Acct - Not RE, any pmt, Full Access MEM01 </v>
          </cell>
          <cell r="E208">
            <v>0</v>
          </cell>
          <cell r="F208">
            <v>0</v>
          </cell>
        </row>
        <row r="209">
          <cell r="A209" t="str">
            <v>LN23</v>
          </cell>
          <cell r="B209">
            <v>0</v>
          </cell>
          <cell r="C209" t="str">
            <v>Loan Menu Make Payment Full Access Process Pmt Success After 7pm 0660 DTMF9 Goto MM Landing</v>
          </cell>
          <cell r="D209" t="str">
            <v xml:space="preserve">Client: Minimum 1 Loan Acct - Not RE, any pmt, Full Access MEM01 </v>
          </cell>
          <cell r="E209">
            <v>0</v>
          </cell>
          <cell r="F209">
            <v>0</v>
          </cell>
        </row>
        <row r="210">
          <cell r="A210" t="str">
            <v>LN24</v>
          </cell>
          <cell r="B210">
            <v>0</v>
          </cell>
          <cell r="C210" t="str">
            <v xml:space="preserve">Loan Menu Make Payment Full Access Process Pmt Success CFG05 BusinessDay NoData/Failure </v>
          </cell>
          <cell r="D210" t="str">
            <v>Client: Minimum 1 Loan Acct - Not RE, any pmt, Full Access MEM01  **DEVELOPER ASSIST**</v>
          </cell>
          <cell r="E210">
            <v>0</v>
          </cell>
          <cell r="F210">
            <v>0</v>
          </cell>
        </row>
        <row r="211">
          <cell r="A211" t="str">
            <v>LN25</v>
          </cell>
          <cell r="B211">
            <v>0</v>
          </cell>
          <cell r="C211" t="str">
            <v>Loan Menu Interest Information No Information Available</v>
          </cell>
          <cell r="D211" t="str">
            <v>Client: Minimum 1 Loan Acct - Not RE &amp; any pmt, loan type finance info unnavailable (HEMS, HELA, HSMS, HSLA, HEFL, HEAL).</v>
          </cell>
          <cell r="E211">
            <v>0</v>
          </cell>
          <cell r="F211">
            <v>0</v>
          </cell>
        </row>
        <row r="212">
          <cell r="A212" t="str">
            <v>LN26</v>
          </cell>
          <cell r="B212">
            <v>0</v>
          </cell>
          <cell r="C212" t="str">
            <v>Loan Menu Finance Charges Interest &gt; $0 Current &amp;  Last YTD</v>
          </cell>
          <cell r="D212" t="str">
            <v>Client: Minimum 1 Loan Acct - Not RE &amp; any pmt, Interest current and last YTD</v>
          </cell>
          <cell r="E212">
            <v>0</v>
          </cell>
          <cell r="F212">
            <v>0</v>
          </cell>
        </row>
        <row r="213">
          <cell r="A213" t="str">
            <v>LN27</v>
          </cell>
          <cell r="B213">
            <v>0</v>
          </cell>
          <cell r="C213" t="str">
            <v>Loan Menu Finance Charges Interest &gt; $0 Current YTD and NOT &gt; $0 Last YTD</v>
          </cell>
          <cell r="D213" t="str">
            <v xml:space="preserve">Client: Minimum 1 Loan Acct - Not RE &amp; any pmt, Interest Current &amp; Not Last YTD </v>
          </cell>
          <cell r="E213">
            <v>0</v>
          </cell>
          <cell r="F213">
            <v>0</v>
          </cell>
        </row>
        <row r="214">
          <cell r="A214" t="str">
            <v>LN28</v>
          </cell>
          <cell r="B214">
            <v>0</v>
          </cell>
          <cell r="C214" t="str">
            <v>Loan Menu Finance Charges Interest 
NOT &gt; $0 Current &amp;  &gt; $0 Last YTD</v>
          </cell>
          <cell r="D214" t="str">
            <v xml:space="preserve">Client: Minimum 1 Loan Acct - Not RE &amp; any pmt, No Interest Current &amp; Interest Last YTD </v>
          </cell>
          <cell r="E214">
            <v>0</v>
          </cell>
          <cell r="F214">
            <v>0</v>
          </cell>
        </row>
        <row r="215">
          <cell r="A215" t="str">
            <v>LN29</v>
          </cell>
          <cell r="B215">
            <v>0</v>
          </cell>
          <cell r="C215" t="str">
            <v>Loan Menu Finance Charges Interest 
NOT &gt; $0 Current &amp;  Last YTD</v>
          </cell>
          <cell r="D215" t="str">
            <v xml:space="preserve">Client: Minimum 1 Loan Acct - Not RE &amp; any pmt, No Interest Current &amp; Last YTD </v>
          </cell>
          <cell r="E215">
            <v>0</v>
          </cell>
          <cell r="F215">
            <v>0</v>
          </cell>
        </row>
        <row r="216">
          <cell r="A216" t="str">
            <v>LN30</v>
          </cell>
          <cell r="B216">
            <v>0</v>
          </cell>
          <cell r="C216" t="str">
            <v>Loan Menu DTMF7 Enter New Account Landing</v>
          </cell>
          <cell r="D216" t="str">
            <v xml:space="preserve">Client: Minimum 1 Loan Acct </v>
          </cell>
          <cell r="E216">
            <v>0</v>
          </cell>
          <cell r="F216">
            <v>0</v>
          </cell>
        </row>
        <row r="217">
          <cell r="A217" t="str">
            <v>LN31</v>
          </cell>
          <cell r="B217">
            <v>0</v>
          </cell>
          <cell r="C217" t="str">
            <v>Loan Menu DTMF9 Goto MM Landing</v>
          </cell>
          <cell r="D217" t="str">
            <v xml:space="preserve">Client: Minimum 1 Loan Acct </v>
          </cell>
          <cell r="E217">
            <v>0</v>
          </cell>
          <cell r="F217">
            <v>0</v>
          </cell>
        </row>
        <row r="218">
          <cell r="A218" t="str">
            <v>LN32</v>
          </cell>
          <cell r="B218">
            <v>0</v>
          </cell>
          <cell r="C218" t="str">
            <v>Loan Menu DTMF0 CSRvice Xfer</v>
          </cell>
          <cell r="D218" t="str">
            <v xml:space="preserve">Client: Minimum 1 Loan Acct </v>
          </cell>
          <cell r="E218">
            <v>0</v>
          </cell>
          <cell r="F218">
            <v>0</v>
          </cell>
        </row>
        <row r="219">
          <cell r="A219">
            <v>0</v>
          </cell>
          <cell r="B219">
            <v>0</v>
          </cell>
          <cell r="C219">
            <v>0</v>
          </cell>
          <cell r="D219">
            <v>0</v>
          </cell>
          <cell r="E219">
            <v>0</v>
          </cell>
          <cell r="F219">
            <v>0</v>
          </cell>
        </row>
        <row r="220">
          <cell r="A220" t="str">
            <v>Funds Transfer Test Cycle (FT#)</v>
          </cell>
          <cell r="B220">
            <v>0</v>
          </cell>
          <cell r="C220">
            <v>0</v>
          </cell>
          <cell r="D220">
            <v>0</v>
          </cell>
          <cell r="E220">
            <v>0</v>
          </cell>
          <cell r="F220">
            <v>0</v>
          </cell>
        </row>
        <row r="221">
          <cell r="A221" t="str">
            <v>FT01</v>
          </cell>
          <cell r="B221">
            <v>0</v>
          </cell>
          <cell r="C221" t="str">
            <v>Main FundsTransfer Last 4 Account MEM01 NoData 3X Channel Block Fraud Alert Fail Xfer</v>
          </cell>
          <cell r="D221" t="str">
            <v>Client: Minimum 2 Accts - (checking, savings, loan)</v>
          </cell>
          <cell r="E221">
            <v>0</v>
          </cell>
          <cell r="F221">
            <v>0</v>
          </cell>
        </row>
        <row r="222">
          <cell r="A222" t="str">
            <v>FT02</v>
          </cell>
          <cell r="B222">
            <v>0</v>
          </cell>
          <cell r="C222" t="str">
            <v>Main FundsTransfer MEM01 NoData Recover Inquiry/No Access 2X Fail Xfer</v>
          </cell>
          <cell r="D222" t="str">
            <v>Client: Minimum 2 Accts - (checking, savings, loan)</v>
          </cell>
          <cell r="E222">
            <v>0</v>
          </cell>
          <cell r="F222">
            <v>0</v>
          </cell>
        </row>
        <row r="223">
          <cell r="A223" t="str">
            <v>FT03</v>
          </cell>
          <cell r="B223">
            <v>0</v>
          </cell>
          <cell r="C223" t="str">
            <v>FundsTransfer MEM01 Fail/Error Xfer</v>
          </cell>
          <cell r="D223" t="str">
            <v>Client: Minimum 2 Accts - (checking, savings, loan)</v>
          </cell>
          <cell r="E223">
            <v>0</v>
          </cell>
          <cell r="F223">
            <v>0</v>
          </cell>
        </row>
        <row r="224">
          <cell r="A224" t="str">
            <v>FT04</v>
          </cell>
          <cell r="B224">
            <v>0</v>
          </cell>
          <cell r="C224" t="str">
            <v>Main FundsTransfer AccountTransfer To NoDota 3X Fraud Alert Fail Xfer</v>
          </cell>
          <cell r="D224" t="str">
            <v>Client: Minimum 2 Accts - (checking, savings, loan)</v>
          </cell>
          <cell r="E224">
            <v>0</v>
          </cell>
          <cell r="F224">
            <v>0</v>
          </cell>
        </row>
        <row r="225">
          <cell r="A225" t="str">
            <v>FT05</v>
          </cell>
          <cell r="B225">
            <v>0</v>
          </cell>
          <cell r="C225" t="str">
            <v>Main FundsTransfer Valid Transfer From InquiryOnly/NoAccess Transfer To 2X Fail Xfer</v>
          </cell>
          <cell r="D225" t="str">
            <v>Client: Minimum 2 Accts - (checking, savings, loan)</v>
          </cell>
          <cell r="E225">
            <v>0</v>
          </cell>
          <cell r="F225">
            <v>0</v>
          </cell>
        </row>
        <row r="226">
          <cell r="A226" t="str">
            <v>FT06</v>
          </cell>
          <cell r="B226">
            <v>0</v>
          </cell>
          <cell r="C226" t="str">
            <v>Main FundsTransfer Valid Transfer From &amp; To Accounts LOC Access Line Xfer</v>
          </cell>
          <cell r="D226" t="str">
            <v>Client: Minimum 2 Accts - (checking, savings, loan) - 1 LOC Access Line 1 Checking</v>
          </cell>
          <cell r="E226">
            <v>0</v>
          </cell>
          <cell r="F226">
            <v>0</v>
          </cell>
        </row>
        <row r="227">
          <cell r="A227" t="str">
            <v>FT07</v>
          </cell>
          <cell r="B227">
            <v>0</v>
          </cell>
          <cell r="C227" t="str">
            <v>Main FundsTransfer LOC HandyLine Make Payment to HL 0820 DTMF* start over and Return 0820 DTMF0 CSRvice Xfer</v>
          </cell>
          <cell r="D227" t="str">
            <v>Client: Minimum 2 Accts - (checking, savings, loan) - 1 LOC HandyLine 1 Checking</v>
          </cell>
          <cell r="E227">
            <v>0</v>
          </cell>
          <cell r="F227">
            <v>0</v>
          </cell>
        </row>
        <row r="228">
          <cell r="A228" t="str">
            <v>FT08</v>
          </cell>
          <cell r="B228">
            <v>0</v>
          </cell>
          <cell r="C228" t="str">
            <v>Main FundsTransfer LOC HandyLine Make Payment to HL 0820 DTMF1 Advance from HL to Checking Success 0870 Repeat &amp; DTMF0</v>
          </cell>
          <cell r="D228" t="str">
            <v>Client: Minimum 2 Accts - (checking, savings, loan) - 1 LOC HandyLine 1 Checking</v>
          </cell>
          <cell r="E228">
            <v>0</v>
          </cell>
          <cell r="F228">
            <v>0</v>
          </cell>
        </row>
        <row r="229">
          <cell r="A229" t="str">
            <v>FT09</v>
          </cell>
          <cell r="B229">
            <v>0</v>
          </cell>
          <cell r="C229" t="str">
            <v>Main FundsTransfer LOC HandyLine Make Payment to HL 0820 DTMF1 Advance from HL to Checking 0840 DTMF2 Cancel</v>
          </cell>
          <cell r="D229" t="str">
            <v>Client: Minimum 2 Accts - (checking, savings, loan) - 1 LOC HandyLine 1 Checking</v>
          </cell>
          <cell r="E229">
            <v>0</v>
          </cell>
          <cell r="F229">
            <v>0</v>
          </cell>
        </row>
        <row r="230">
          <cell r="A230" t="str">
            <v>FT10</v>
          </cell>
          <cell r="B230">
            <v>0</v>
          </cell>
          <cell r="C230" t="str">
            <v>Main FundsTransfer LOC HandyLine Make Payment to HL 0820 DTMF1 Advance from HL to Checking Success 0870 DTMF7 New Acct# Landing</v>
          </cell>
          <cell r="D230" t="str">
            <v>Client: Minimum 2 Accts - (checking, savings, loan) - 1 LOC HandyLine 1 Checking</v>
          </cell>
          <cell r="E230">
            <v>0</v>
          </cell>
          <cell r="F230">
            <v>0</v>
          </cell>
        </row>
        <row r="231">
          <cell r="A231" t="str">
            <v>FT11</v>
          </cell>
          <cell r="B231">
            <v>0</v>
          </cell>
          <cell r="C231" t="str">
            <v>Main FundsTransfer LOC HandyLine Make Payment to HL 0820 DTMF1 Advance from HL to Checking Success 0870 DTMF9 New Acct# Landing</v>
          </cell>
          <cell r="D231" t="str">
            <v>Client: Minimum 2 Accts - (checking, savings, loan) - 1 LOC HandyLine 1 Checking</v>
          </cell>
          <cell r="E231">
            <v>0</v>
          </cell>
          <cell r="F231">
            <v>0</v>
          </cell>
        </row>
        <row r="232">
          <cell r="A232" t="str">
            <v>FT12</v>
          </cell>
          <cell r="B232">
            <v>0</v>
          </cell>
          <cell r="C232" t="str">
            <v>Main FundsTransfer LOC HandyLine Make Payment to HL 0820 DTMF2 Advance from Checking to HL 0840 DTMF0 XFER</v>
          </cell>
          <cell r="D232" t="str">
            <v>Client: Minimum 2 Accts - (checking, savings, loan) - 1 LOC HandyLine 1 Checking</v>
          </cell>
          <cell r="E232">
            <v>0</v>
          </cell>
          <cell r="F232">
            <v>0</v>
          </cell>
        </row>
        <row r="233">
          <cell r="A233" t="str">
            <v>FT13</v>
          </cell>
          <cell r="B233">
            <v>0</v>
          </cell>
          <cell r="C233" t="str">
            <v>Main FundsTransfer LOC HandyLine Make Payment to HL 0820 DTMF1 Advance from Checking to HL 0835 DTMF0 XFER</v>
          </cell>
          <cell r="D233" t="str">
            <v>Client: Minimum 2 Accts - (checking, savings, loan) - 1 LOC HandyLine 1 Checking</v>
          </cell>
          <cell r="E233">
            <v>0</v>
          </cell>
          <cell r="F233">
            <v>0</v>
          </cell>
        </row>
        <row r="234">
          <cell r="A234" t="str">
            <v>FT14</v>
          </cell>
          <cell r="B234">
            <v>0</v>
          </cell>
          <cell r="C234" t="str">
            <v>Main FundsTransfer LOC HandyLine Make Payment to HL 0820 DTMF2 Advance from Checking to HL Success 0870 Repeat &amp; DTMF0</v>
          </cell>
          <cell r="D234" t="str">
            <v>Client: Minimum 2 Accts - (checking, savings, loan) - 1 LOC HandyLine 1 Checking</v>
          </cell>
          <cell r="E234">
            <v>0</v>
          </cell>
          <cell r="F234">
            <v>0</v>
          </cell>
        </row>
        <row r="235">
          <cell r="A235" t="str">
            <v>FT15</v>
          </cell>
          <cell r="B235">
            <v>0</v>
          </cell>
          <cell r="C235" t="str">
            <v>Main FundsTransfer LOC HandyLine Make Payment to HL 0820 DTMF1 Advance from Checking to HL 0840 DTMF2 Cancel</v>
          </cell>
          <cell r="D235" t="str">
            <v>Client: Minimum 2 Accts - (checking, savings, loan) - 1 LOC HandyLine 1 Checking</v>
          </cell>
          <cell r="E235">
            <v>0</v>
          </cell>
          <cell r="F235">
            <v>0</v>
          </cell>
        </row>
        <row r="236">
          <cell r="A236" t="str">
            <v>FT16</v>
          </cell>
          <cell r="B236">
            <v>0</v>
          </cell>
          <cell r="C236" t="str">
            <v xml:space="preserve">Main FundsTransfer Checking to "Other" 0830 DTMF0 Xfer  </v>
          </cell>
          <cell r="D236" t="str">
            <v>Client: Minimum 2 Accts - (checking, savings, loan) - 1 Checking + 1 Any Other (or more)</v>
          </cell>
          <cell r="E236">
            <v>0</v>
          </cell>
          <cell r="F236">
            <v>0</v>
          </cell>
        </row>
        <row r="237">
          <cell r="A237" t="str">
            <v>FT17</v>
          </cell>
          <cell r="B237">
            <v>0</v>
          </cell>
          <cell r="C237" t="str">
            <v xml:space="preserve">Main FundsTransfer Checking to "Other" 0830 DTMF2 Cancel + Repeat &amp; DTMF9  </v>
          </cell>
          <cell r="D237" t="str">
            <v>Client: Minimum 2 Accts - (checking, savings, loan) - 1 Checking + 1 Any Other (or more)</v>
          </cell>
          <cell r="E237">
            <v>0</v>
          </cell>
          <cell r="F237">
            <v>0</v>
          </cell>
        </row>
        <row r="238">
          <cell r="A238" t="str">
            <v>FT18</v>
          </cell>
          <cell r="B238">
            <v>0</v>
          </cell>
          <cell r="C238" t="str">
            <v xml:space="preserve">Main FundsTransfer Checking to "Other" Success 0870 Repeat  </v>
          </cell>
          <cell r="D238" t="str">
            <v>Client: Minimum 2 Accts - (checking, savings, loan) - 1 Checking + 1 Any Other (or more)</v>
          </cell>
          <cell r="E238">
            <v>0</v>
          </cell>
          <cell r="F238">
            <v>0</v>
          </cell>
        </row>
        <row r="239">
          <cell r="A239" t="str">
            <v>FT19</v>
          </cell>
          <cell r="B239">
            <v>0</v>
          </cell>
          <cell r="C239" t="str">
            <v xml:space="preserve">Main FundsTransfer Checking to "Other" AMT Too Much 0860 DTMF0 Xfer  </v>
          </cell>
          <cell r="D239" t="str">
            <v>Client: Minimum 2 Accts - (checking, savings, loan) - 1 Checking + 1 Any Other (or more)</v>
          </cell>
          <cell r="E239">
            <v>0</v>
          </cell>
          <cell r="F239">
            <v>0</v>
          </cell>
        </row>
        <row r="240">
          <cell r="A240" t="str">
            <v>FT20</v>
          </cell>
          <cell r="B240">
            <v>0</v>
          </cell>
          <cell r="C240" t="str">
            <v xml:space="preserve">Main FundsTransfer Checking to "Other" AMT Too Much 0860 DTMF2 Start Over and Second Try Too Much Xfer  </v>
          </cell>
          <cell r="D240" t="str">
            <v>Client: Minimum 2 Accts - (checking, savings, loan) - 1 Checking + 1 Any Other (or more)</v>
          </cell>
          <cell r="E240">
            <v>0</v>
          </cell>
          <cell r="F240">
            <v>0</v>
          </cell>
        </row>
        <row r="241">
          <cell r="A241" t="str">
            <v>FT21</v>
          </cell>
          <cell r="B241">
            <v>0</v>
          </cell>
          <cell r="C241" t="str">
            <v xml:space="preserve">Main FundsTransfer Checking to "Other" AMT Too Much 0860 DTMF1 New Amt and Second Try Too Much Xfer  </v>
          </cell>
          <cell r="D241" t="str">
            <v>Client: Minimum 2 Accts - (checking, savings, loan) - 1 Checking + 1 Any Other (or more)</v>
          </cell>
          <cell r="E241">
            <v>0</v>
          </cell>
          <cell r="F241">
            <v>0</v>
          </cell>
        </row>
        <row r="242">
          <cell r="A242" t="str">
            <v>FT22</v>
          </cell>
          <cell r="B242">
            <v>0</v>
          </cell>
          <cell r="C242" t="str">
            <v>Main FundsTransfer Checking to "Other" AMT Too Much 0860 DTMF1 New Amt Success</v>
          </cell>
          <cell r="D242" t="str">
            <v>Client: Minimum 2 Accts - (checking, savings, loan) - 1 Checking + 1 Any Other (or more)</v>
          </cell>
          <cell r="E242">
            <v>0</v>
          </cell>
          <cell r="F242">
            <v>0</v>
          </cell>
        </row>
        <row r="243">
          <cell r="A243" t="str">
            <v>FT23</v>
          </cell>
          <cell r="B243">
            <v>0</v>
          </cell>
          <cell r="C243" t="str">
            <v>Main FundsTransfer Checking to "Other" AMT Too Much 0860 DTMF2 Start Over Success</v>
          </cell>
          <cell r="D243" t="str">
            <v>Client: Minimum 2 Accts - (checking, savings, loan) - 1 Checking + 1 Any Other (or more)</v>
          </cell>
          <cell r="E243">
            <v>0</v>
          </cell>
          <cell r="F243">
            <v>0</v>
          </cell>
        </row>
        <row r="244">
          <cell r="A244" t="str">
            <v>FT24</v>
          </cell>
          <cell r="B244">
            <v>0</v>
          </cell>
          <cell r="C244" t="str">
            <v>Main FundsTransfer Checking to "Other" Denial RM4 or Denied Special Failure XFER</v>
          </cell>
          <cell r="D244" t="str">
            <v>Client: Minimum 2 Accts - (checking, savings, loan) - 1 Checking + 1 Any Other (or more)</v>
          </cell>
          <cell r="E244">
            <v>0</v>
          </cell>
          <cell r="F244">
            <v>0</v>
          </cell>
        </row>
        <row r="245">
          <cell r="A245" t="str">
            <v>FT25</v>
          </cell>
          <cell r="B245">
            <v>0</v>
          </cell>
          <cell r="C245" t="str">
            <v xml:space="preserve">Checking FundsTransfer Success 0875 Repeat DTMF0 Xfer </v>
          </cell>
          <cell r="D245" t="str">
            <v>Client: Minimum 2 Accts - (checking, savings, loan) - 1 Checking + 1 Any Other (or more)</v>
          </cell>
          <cell r="E245">
            <v>0</v>
          </cell>
          <cell r="F245">
            <v>0</v>
          </cell>
        </row>
        <row r="246">
          <cell r="A246" t="str">
            <v>FT26</v>
          </cell>
          <cell r="B246">
            <v>0</v>
          </cell>
          <cell r="C246" t="str">
            <v xml:space="preserve">Checking FundsTransfer Success 0875 DTMF9 to MM </v>
          </cell>
          <cell r="D246" t="str">
            <v>Client: Minimum 2 Accts - (checking, savings, loan) - 1 Checking + 1 Any Other (or more)</v>
          </cell>
          <cell r="E246">
            <v>0</v>
          </cell>
          <cell r="F246">
            <v>0</v>
          </cell>
        </row>
        <row r="247">
          <cell r="A247" t="str">
            <v>FT27</v>
          </cell>
          <cell r="B247">
            <v>0</v>
          </cell>
          <cell r="C247" t="str">
            <v xml:space="preserve">Checking FundsTransfer Success 0875 DTMF8 to Checking Menu </v>
          </cell>
          <cell r="D247" t="str">
            <v>Client: Minimum 2 Accts - (checking, savings, loan) - 1 Checking + 1 Any Other (or more)</v>
          </cell>
          <cell r="E247">
            <v>0</v>
          </cell>
          <cell r="F247">
            <v>0</v>
          </cell>
        </row>
        <row r="248">
          <cell r="A248" t="str">
            <v>FT28</v>
          </cell>
          <cell r="B248">
            <v>0</v>
          </cell>
          <cell r="C248" t="str">
            <v>Checking FundsTransfer Success 0875 DTMF7 to New Acct#</v>
          </cell>
          <cell r="D248" t="str">
            <v>Client: Minimum 2 Accts - (checking, savings, loan) - 1 Checking + 1 Any Other (or more)</v>
          </cell>
          <cell r="E248">
            <v>0</v>
          </cell>
          <cell r="F248">
            <v>0</v>
          </cell>
        </row>
        <row r="249">
          <cell r="A249" t="str">
            <v>FT29</v>
          </cell>
          <cell r="B249">
            <v>0</v>
          </cell>
          <cell r="C249" t="str">
            <v xml:space="preserve">Savings FundsTransfer Success 0880 Repeat DTMF0 Xfer </v>
          </cell>
          <cell r="D249" t="str">
            <v>Client: Minimum 2 Accts - (checking, savings, loan) - 1 Savings + 1 Any Other (or more)</v>
          </cell>
          <cell r="E249">
            <v>0</v>
          </cell>
          <cell r="F249">
            <v>0</v>
          </cell>
        </row>
        <row r="250">
          <cell r="A250" t="str">
            <v>FT30</v>
          </cell>
          <cell r="B250">
            <v>0</v>
          </cell>
          <cell r="C250" t="str">
            <v xml:space="preserve">Savings FundsTransfer Success 0880 DTMF9 to MM </v>
          </cell>
          <cell r="D250" t="str">
            <v>Client: Minimum 2 Accts - (checking, savings, loan) - 1 Savings + 1 Any Other (or more)</v>
          </cell>
          <cell r="E250">
            <v>0</v>
          </cell>
          <cell r="F250">
            <v>0</v>
          </cell>
        </row>
        <row r="251">
          <cell r="A251" t="str">
            <v>FT31</v>
          </cell>
          <cell r="B251">
            <v>0</v>
          </cell>
          <cell r="C251" t="str">
            <v xml:space="preserve">Savings FundsTransfer Success 0880 DTMF8 to Savings Menu </v>
          </cell>
          <cell r="D251" t="str">
            <v>Client: Minimum 2 Accts - (checking, savings, loan) - 1 Savings + 1 Any Other (or more)</v>
          </cell>
          <cell r="E251">
            <v>0</v>
          </cell>
          <cell r="F251">
            <v>0</v>
          </cell>
        </row>
        <row r="252">
          <cell r="A252" t="str">
            <v>FT32</v>
          </cell>
          <cell r="B252">
            <v>0</v>
          </cell>
          <cell r="C252" t="str">
            <v>Savings FundsTransfer Success 0880 DTMF7 to New Acct#</v>
          </cell>
          <cell r="D252" t="str">
            <v>Client: Minimum 2 Accts - (checking, savings, loan) - 1 Savings + 1 Any Other (or more)</v>
          </cell>
          <cell r="E252">
            <v>0</v>
          </cell>
          <cell r="F252">
            <v>0</v>
          </cell>
        </row>
        <row r="253">
          <cell r="A253" t="str">
            <v>FT33</v>
          </cell>
          <cell r="B253">
            <v>0</v>
          </cell>
          <cell r="C253" t="str">
            <v>Checking to other FundsTransfer Cancel 0875 Repeat attempt</v>
          </cell>
          <cell r="D253" t="str">
            <v>Client: Minimum 2 Accts - (checking, savings, loan) - 1 Loan + 1 Any Other (or more)</v>
          </cell>
          <cell r="E253">
            <v>0</v>
          </cell>
          <cell r="F253">
            <v>0</v>
          </cell>
        </row>
        <row r="254">
          <cell r="A254" t="str">
            <v>FT34</v>
          </cell>
          <cell r="B254">
            <v>0</v>
          </cell>
          <cell r="C254" t="str">
            <v>Savings to other FundsTransfer Cancel 0880 Repeat attempt</v>
          </cell>
          <cell r="D254" t="str">
            <v>Client: Minimum 2 Accts - (checking, savings, loan) - 1 Loan + 1 Any Other (or more)</v>
          </cell>
          <cell r="E254">
            <v>0</v>
          </cell>
          <cell r="F254">
            <v>0</v>
          </cell>
        </row>
        <row r="255">
          <cell r="A255">
            <v>0</v>
          </cell>
          <cell r="B255">
            <v>0</v>
          </cell>
          <cell r="C255">
            <v>0</v>
          </cell>
          <cell r="D255">
            <v>0</v>
          </cell>
          <cell r="E255">
            <v>0</v>
          </cell>
          <cell r="F255">
            <v>0</v>
          </cell>
        </row>
        <row r="256">
          <cell r="A256" t="str">
            <v>Savings Test Cycle (SV#)</v>
          </cell>
          <cell r="B256">
            <v>0</v>
          </cell>
          <cell r="C256">
            <v>0</v>
          </cell>
          <cell r="D256">
            <v>0</v>
          </cell>
          <cell r="E256">
            <v>0</v>
          </cell>
          <cell r="F256">
            <v>0</v>
          </cell>
        </row>
        <row r="257">
          <cell r="A257" t="str">
            <v>SV01</v>
          </cell>
          <cell r="B257">
            <v>0</v>
          </cell>
          <cell r="C257" t="str">
            <v>Savings Goto SaveMenu Repeat Balance to DTMF0 CSRvice Xfer</v>
          </cell>
          <cell r="D257" t="str">
            <v xml:space="preserve">Client: Minimum 1 Savings </v>
          </cell>
          <cell r="E257">
            <v>0</v>
          </cell>
          <cell r="F257">
            <v>0</v>
          </cell>
        </row>
        <row r="258">
          <cell r="A258" t="str">
            <v>SV02</v>
          </cell>
          <cell r="B258">
            <v>0</v>
          </cell>
          <cell r="C258" t="str">
            <v>Savings Menu Debits for A withdrawal + DTMF* Start over during play, DTMF* 0425, &amp; 0425 DTMF9 to MM Landing</v>
          </cell>
          <cell r="D258" t="str">
            <v>Client: Minimum 1 Savings - WS18 tran code 0084</v>
          </cell>
          <cell r="E258">
            <v>0</v>
          </cell>
          <cell r="F258">
            <v>0</v>
          </cell>
        </row>
        <row r="259">
          <cell r="A259" t="str">
            <v>SV03</v>
          </cell>
          <cell r="B259">
            <v>0</v>
          </cell>
          <cell r="C259" t="str">
            <v>Savings Menu Debits for an ATM Withdrawal + Return to Savings Menu &amp; 0425 DTMF0 CSRvice Xfer</v>
          </cell>
          <cell r="D259" t="str">
            <v>Client: Minimum 1 Savings - WS18 tran code 0085</v>
          </cell>
          <cell r="E259">
            <v>0</v>
          </cell>
          <cell r="F259">
            <v>0</v>
          </cell>
        </row>
        <row r="260">
          <cell r="A260" t="str">
            <v>SV04</v>
          </cell>
          <cell r="B260">
            <v>0</v>
          </cell>
          <cell r="C260" t="str">
            <v>Savings Menu Debits for a 0086 Debit + DTMF7 New Acct#</v>
          </cell>
          <cell r="D260" t="str">
            <v>Client: Minimum 1 Savings - WS18 tran code0086</v>
          </cell>
          <cell r="E260">
            <v>0</v>
          </cell>
          <cell r="F260">
            <v>0</v>
          </cell>
        </row>
        <row r="261">
          <cell r="A261" t="str">
            <v>SV05</v>
          </cell>
          <cell r="B261">
            <v>0</v>
          </cell>
          <cell r="C261" t="str">
            <v>Savings Menu Debits an "Else" Debit For</v>
          </cell>
          <cell r="D261" t="str">
            <v>Client: Minimum 1 Savings - WS18 tran code "Else"</v>
          </cell>
          <cell r="E261">
            <v>0</v>
          </cell>
          <cell r="F261">
            <v>0</v>
          </cell>
        </row>
        <row r="262">
          <cell r="A262" t="str">
            <v>SV06</v>
          </cell>
          <cell r="B262">
            <v>0</v>
          </cell>
          <cell r="C262" t="str">
            <v>Savings Menu Debits DTMF* Start over during play, DTMF* 0425, &amp; 0425 DTMF9 to MM Landing</v>
          </cell>
          <cell r="D262" t="str">
            <v>**SEE SV02**</v>
          </cell>
          <cell r="E262">
            <v>0</v>
          </cell>
          <cell r="F262">
            <v>0</v>
          </cell>
        </row>
        <row r="263">
          <cell r="A263" t="str">
            <v>SV07</v>
          </cell>
          <cell r="B263">
            <v>0</v>
          </cell>
          <cell r="C263" t="str">
            <v>Debits Menu DTMF0 CSRvice Xfer</v>
          </cell>
          <cell r="D263" t="str">
            <v>**SEE SV03**</v>
          </cell>
          <cell r="E263">
            <v>0</v>
          </cell>
          <cell r="F263">
            <v>0</v>
          </cell>
        </row>
        <row r="264">
          <cell r="A264" t="str">
            <v>SV08</v>
          </cell>
          <cell r="B264">
            <v>0</v>
          </cell>
          <cell r="C264" t="str">
            <v xml:space="preserve">Debits Menu Return to Savings Menu </v>
          </cell>
          <cell r="D264" t="str">
            <v>**SEE SV03**</v>
          </cell>
          <cell r="E264">
            <v>0</v>
          </cell>
          <cell r="F264">
            <v>0</v>
          </cell>
        </row>
        <row r="265">
          <cell r="A265" t="str">
            <v>SV09</v>
          </cell>
          <cell r="B265">
            <v>0</v>
          </cell>
          <cell r="C265" t="str">
            <v>Debits Menu Enter a New Account Number</v>
          </cell>
          <cell r="D265" t="str">
            <v>**SEE SV04**</v>
          </cell>
          <cell r="E265">
            <v>0</v>
          </cell>
          <cell r="F265">
            <v>0</v>
          </cell>
        </row>
        <row r="266">
          <cell r="A266" t="str">
            <v>SV10</v>
          </cell>
          <cell r="B266">
            <v>0</v>
          </cell>
          <cell r="C266" t="str">
            <v>Savings Menu Debits Play Multiple Tran Code Types in Single 5 play through</v>
          </cell>
          <cell r="D266" t="str">
            <v>***SEE SV02/03/04/05***</v>
          </cell>
          <cell r="E266">
            <v>0</v>
          </cell>
          <cell r="F266">
            <v>0</v>
          </cell>
        </row>
        <row r="267">
          <cell r="A267" t="str">
            <v>SV11</v>
          </cell>
          <cell r="B267">
            <v>0</v>
          </cell>
          <cell r="C267" t="str">
            <v>Savings Menu Debits No Debits Since Last Statement + 0405 DTMF7 New Acct# Landing</v>
          </cell>
          <cell r="D267" t="str">
            <v>Client: Minimum 1 Savings - No Transactions WS18 NoData</v>
          </cell>
          <cell r="E267">
            <v>0</v>
          </cell>
          <cell r="F267">
            <v>0</v>
          </cell>
        </row>
        <row r="268">
          <cell r="A268" t="str">
            <v>SV12</v>
          </cell>
          <cell r="B268">
            <v>0</v>
          </cell>
          <cell r="C268" t="str">
            <v>Checking Menu Debits WS18 Failure Xfer</v>
          </cell>
          <cell r="D268" t="str">
            <v>Client: Minimum 1 Savings - WS18 Failure/Breakdown</v>
          </cell>
          <cell r="E268">
            <v>0</v>
          </cell>
          <cell r="F268">
            <v>0</v>
          </cell>
        </row>
        <row r="269">
          <cell r="A269" t="str">
            <v>SV13</v>
          </cell>
          <cell r="B269">
            <v>0</v>
          </cell>
          <cell r="C269" t="str">
            <v>Savings Menu Credits for A Deposit + Start Over DTMF* during play, DTMF* 0395, &amp; 0395 DTMF9 to MM</v>
          </cell>
          <cell r="D269" t="str">
            <v>Client: Minimum 1 Savings - WS18 tran code 0071</v>
          </cell>
          <cell r="E269">
            <v>0</v>
          </cell>
          <cell r="F269">
            <v>0</v>
          </cell>
        </row>
        <row r="270">
          <cell r="A270" t="str">
            <v>SV14</v>
          </cell>
          <cell r="B270">
            <v>0</v>
          </cell>
          <cell r="C270" t="str">
            <v>Savings Menu Credits for an ATM Deposit + 0445 DTMF0 CSRvice Xfer</v>
          </cell>
          <cell r="D270" t="str">
            <v>Client: Minimum 1 Savings - WS18 tran code 0073</v>
          </cell>
          <cell r="E270">
            <v>0</v>
          </cell>
          <cell r="F270">
            <v>0</v>
          </cell>
        </row>
        <row r="271">
          <cell r="A271" t="str">
            <v>SV15</v>
          </cell>
          <cell r="B271">
            <v>0</v>
          </cell>
          <cell r="C271" t="str">
            <v>Savings Menu Credits for a 0074 Credit + DTMF8 Return to Savings Menu</v>
          </cell>
          <cell r="D271" t="str">
            <v>Client: Minimum 1 Savings - WS18 tran code 0074</v>
          </cell>
          <cell r="E271">
            <v>0</v>
          </cell>
          <cell r="F271">
            <v>0</v>
          </cell>
        </row>
        <row r="272">
          <cell r="A272" t="str">
            <v>SV16</v>
          </cell>
          <cell r="B272">
            <v>0</v>
          </cell>
          <cell r="C272" t="str">
            <v>Savings Menu Credits for an Else Credit + DTMF7 New Acct#</v>
          </cell>
          <cell r="D272" t="str">
            <v>Client: Minimum 1 Savings - WS18 tran code else</v>
          </cell>
          <cell r="E272">
            <v>0</v>
          </cell>
          <cell r="F272">
            <v>0</v>
          </cell>
        </row>
        <row r="273">
          <cell r="A273" t="str">
            <v>SV17</v>
          </cell>
          <cell r="B273">
            <v>0</v>
          </cell>
          <cell r="C273" t="str">
            <v>Savings Menu Credits DTMF0 CSRvice</v>
          </cell>
          <cell r="D273" t="str">
            <v>**SEE SV14**</v>
          </cell>
          <cell r="E273">
            <v>0</v>
          </cell>
          <cell r="F273">
            <v>0</v>
          </cell>
        </row>
        <row r="274">
          <cell r="A274" t="str">
            <v>SV18</v>
          </cell>
          <cell r="B274">
            <v>0</v>
          </cell>
          <cell r="C274" t="str">
            <v>Savings Menu Credits DTMF8 to Checking Menu</v>
          </cell>
          <cell r="D274" t="str">
            <v>**SEE SV15**</v>
          </cell>
          <cell r="E274">
            <v>0</v>
          </cell>
          <cell r="F274">
            <v>0</v>
          </cell>
        </row>
        <row r="275">
          <cell r="A275" t="str">
            <v>SV19</v>
          </cell>
          <cell r="B275">
            <v>0</v>
          </cell>
          <cell r="C275" t="str">
            <v>Savings Menu Credits DTMF7 to Enter a new Account</v>
          </cell>
          <cell r="D275" t="str">
            <v>**SEE SV16**</v>
          </cell>
          <cell r="E275">
            <v>0</v>
          </cell>
          <cell r="F275">
            <v>0</v>
          </cell>
        </row>
        <row r="276">
          <cell r="A276" t="str">
            <v>SV20</v>
          </cell>
          <cell r="B276">
            <v>0</v>
          </cell>
          <cell r="C276" t="str">
            <v>Savings Menu Credits Play Multiple Tran Code Types in Single 5 play through</v>
          </cell>
          <cell r="D276" t="str">
            <v>**SEE SV13/14/15/16**</v>
          </cell>
          <cell r="E276">
            <v>0</v>
          </cell>
          <cell r="F276">
            <v>0</v>
          </cell>
        </row>
        <row r="277">
          <cell r="A277" t="str">
            <v>SV21</v>
          </cell>
          <cell r="B277">
            <v>0</v>
          </cell>
          <cell r="C277" t="str">
            <v>Savings Menu Credits Start Over DTMF* during play, DTMF* 0395, &amp; 0395 DTMF9 to MM</v>
          </cell>
          <cell r="D277" t="str">
            <v>**SEE SV13**</v>
          </cell>
          <cell r="E277">
            <v>0</v>
          </cell>
          <cell r="F277">
            <v>0</v>
          </cell>
        </row>
        <row r="278">
          <cell r="A278" t="str">
            <v>SV22</v>
          </cell>
          <cell r="B278">
            <v>0</v>
          </cell>
          <cell r="C278" t="str">
            <v>Savings Menu Credits No Deposits or Credits WS18 No Data</v>
          </cell>
          <cell r="D278" t="str">
            <v>Client: Minimum 1 Savings - No Transactions WS18 NoData</v>
          </cell>
          <cell r="E278">
            <v>0</v>
          </cell>
          <cell r="F278">
            <v>0</v>
          </cell>
        </row>
        <row r="279">
          <cell r="A279" t="str">
            <v>SV23</v>
          </cell>
          <cell r="B279">
            <v>0</v>
          </cell>
          <cell r="C279" t="str">
            <v>Savings Menu Interest Info $0 int Current YTD &amp; prior year to Savings Menu</v>
          </cell>
          <cell r="D279" t="str">
            <v>Client: Minimum 1 Savings - any Transactions - Interest $0 Current &amp; Prior YTD</v>
          </cell>
          <cell r="E279">
            <v>0</v>
          </cell>
          <cell r="F279">
            <v>0</v>
          </cell>
        </row>
        <row r="280">
          <cell r="A280" t="str">
            <v>SV24</v>
          </cell>
          <cell r="B280">
            <v>0</v>
          </cell>
          <cell r="C280" t="str">
            <v>Savings Menu Interest Info $0 int Current YTD &amp;  Else Int Prior Year to Savings Menu</v>
          </cell>
          <cell r="D280" t="str">
            <v xml:space="preserve">Client: Minimum 1 Savings - any Transactions - Interest $0 Current &amp; &gt;0 Prior </v>
          </cell>
          <cell r="E280">
            <v>0</v>
          </cell>
          <cell r="F280">
            <v>0</v>
          </cell>
        </row>
        <row r="281">
          <cell r="A281" t="str">
            <v>SV25</v>
          </cell>
          <cell r="B281">
            <v>0</v>
          </cell>
          <cell r="C281" t="str">
            <v>Savings Menu Interest Info Else Current YTD &amp; $0 Int Prior Year to Savings Menu</v>
          </cell>
          <cell r="D281" t="str">
            <v xml:space="preserve">Client: Minimum 1 Savings - any Transactions - Interest &gt;0 Current &amp; $0 Prior </v>
          </cell>
          <cell r="E281">
            <v>0</v>
          </cell>
          <cell r="F281">
            <v>0</v>
          </cell>
        </row>
        <row r="282">
          <cell r="A282" t="str">
            <v>SV26</v>
          </cell>
          <cell r="B282">
            <v>0</v>
          </cell>
          <cell r="C282" t="str">
            <v>Savings Menu Interest Info Else Int Current YTD &amp; Else Int Prior Year to Savings Menu</v>
          </cell>
          <cell r="D282" t="str">
            <v xml:space="preserve">Client: Minimum 1 Savings - any Transactions - Interest  &gt;0 Current &amp; Prior </v>
          </cell>
          <cell r="E282">
            <v>0</v>
          </cell>
          <cell r="F282">
            <v>0</v>
          </cell>
        </row>
        <row r="283">
          <cell r="A283" t="str">
            <v>SV27</v>
          </cell>
          <cell r="B283">
            <v>0</v>
          </cell>
          <cell r="C283" t="str">
            <v>Savings Menu Transfer Funds/Pmt Transfer Funds Landing</v>
          </cell>
          <cell r="D283" t="str">
            <v xml:space="preserve">Client: Minimum 1 Savings </v>
          </cell>
          <cell r="E283">
            <v>0</v>
          </cell>
          <cell r="F283">
            <v>0</v>
          </cell>
        </row>
        <row r="285">
          <cell r="D285">
            <v>0</v>
          </cell>
        </row>
        <row r="286">
          <cell r="A286" t="str">
            <v>CD Test Cycle (CD#)</v>
          </cell>
          <cell r="B286">
            <v>0</v>
          </cell>
          <cell r="C286">
            <v>0</v>
          </cell>
          <cell r="D286">
            <v>0</v>
          </cell>
          <cell r="E286">
            <v>0</v>
          </cell>
          <cell r="F286">
            <v>0</v>
          </cell>
        </row>
        <row r="287">
          <cell r="A287" t="str">
            <v>CD01</v>
          </cell>
          <cell r="B287">
            <v>0</v>
          </cell>
          <cell r="C287" t="str">
            <v>CD WS17 NoData/Error Fail Xfer</v>
          </cell>
          <cell r="D287" t="str">
            <v>***DEVELOPER ASSIST***</v>
          </cell>
          <cell r="E287">
            <v>0</v>
          </cell>
          <cell r="F287">
            <v>0</v>
          </cell>
        </row>
        <row r="288">
          <cell r="A288" t="str">
            <v>CD02</v>
          </cell>
          <cell r="B288">
            <v>0</v>
          </cell>
          <cell r="C288" t="str">
            <v>CD Menu CD Balance Repeat to DTMF0 CSRvice Xfer</v>
          </cell>
          <cell r="D288" t="str">
            <v>No ANI SSN+Code - Client:  checking, savings, Credit Card, loan, cd, &amp; 2+ all types Has Balance</v>
          </cell>
          <cell r="E288">
            <v>0</v>
          </cell>
          <cell r="F288">
            <v>0</v>
          </cell>
        </row>
        <row r="289">
          <cell r="A289" t="str">
            <v>CD03</v>
          </cell>
          <cell r="B289">
            <v>0</v>
          </cell>
          <cell r="C289" t="str">
            <v>CD Menu IRA Balance Repeat to DTMF9 Goto MM Landing</v>
          </cell>
          <cell r="D289" t="str">
            <v>No ANI SSN+Code - Client:  Minimum 1 IRA Account</v>
          </cell>
          <cell r="E289">
            <v>0</v>
          </cell>
          <cell r="F289">
            <v>0</v>
          </cell>
        </row>
        <row r="290">
          <cell r="A290" t="str">
            <v>CD04</v>
          </cell>
          <cell r="B290">
            <v>0</v>
          </cell>
          <cell r="C290" t="str">
            <v>CD Menu CD Balance DTMF7 Enter New Acct Landing</v>
          </cell>
          <cell r="D290" t="str">
            <v>No ANI SSN+Code - Client:  checking, savings, Credit Card, loan, cd, &amp; 2+ all types Has Balance</v>
          </cell>
          <cell r="E290">
            <v>0</v>
          </cell>
          <cell r="F290">
            <v>0</v>
          </cell>
        </row>
        <row r="292">
          <cell r="A292" t="str">
            <v>CTI Test Cycle (CTI#)</v>
          </cell>
          <cell r="B292">
            <v>0</v>
          </cell>
          <cell r="C292">
            <v>0</v>
          </cell>
          <cell r="D292">
            <v>0</v>
          </cell>
          <cell r="E292">
            <v>0</v>
          </cell>
          <cell r="F292">
            <v>0</v>
          </cell>
        </row>
        <row r="293">
          <cell r="A293" t="str">
            <v>CTI01</v>
          </cell>
          <cell r="B293">
            <v>0</v>
          </cell>
          <cell r="C293">
            <v>0</v>
          </cell>
          <cell r="D293">
            <v>0</v>
          </cell>
          <cell r="E293">
            <v>0</v>
          </cell>
          <cell r="F293">
            <v>0</v>
          </cell>
        </row>
        <row r="294">
          <cell r="A294" t="str">
            <v>CTI02</v>
          </cell>
          <cell r="B294">
            <v>0</v>
          </cell>
          <cell r="C294">
            <v>0</v>
          </cell>
          <cell r="D294">
            <v>0</v>
          </cell>
          <cell r="E294">
            <v>0</v>
          </cell>
          <cell r="F294">
            <v>0</v>
          </cell>
        </row>
        <row r="295">
          <cell r="A295" t="str">
            <v>CTI03</v>
          </cell>
          <cell r="B295">
            <v>0</v>
          </cell>
          <cell r="C295">
            <v>0</v>
          </cell>
          <cell r="D295">
            <v>0</v>
          </cell>
          <cell r="E295">
            <v>0</v>
          </cell>
          <cell r="F295">
            <v>0</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6:F34" headerRowCount="0" totalsRowShown="0" headerRowDxfId="7860" dataDxfId="7858" headerRowBorderDxfId="7859" tableBorderDxfId="7857" totalsRowBorderDxfId="7856">
  <tableColumns count="6">
    <tableColumn id="1" xr3:uid="{00000000-0010-0000-0000-000001000000}" name="1" headerRowDxfId="7855" dataDxfId="7854" headerRowCellStyle="Hyperlink" dataCellStyle="Hyperlink"/>
    <tableColumn id="2" xr3:uid="{00000000-0010-0000-0000-000002000000}" name="8000" headerRowDxfId="7853" dataDxfId="7852"/>
    <tableColumn id="3" xr3:uid="{00000000-0010-0000-0000-000003000000}" name="General DNIS Entry Point Greeting Test" headerRowDxfId="7851" dataDxfId="7850"/>
    <tableColumn id="6" xr3:uid="{00000000-0010-0000-0000-000006000000}" name="Column3" headerRowDxfId="7849" dataDxfId="7848"/>
    <tableColumn id="4" xr3:uid="{00000000-0010-0000-0000-000004000000}" name="Column1" headerRowDxfId="7847" dataDxfId="7846"/>
    <tableColumn id="5" xr3:uid="{00000000-0010-0000-0000-000005000000}" name="Column2" headerRowDxfId="7845" dataDxfId="7844"/>
  </tableColumns>
  <tableStyleInfo name="TableStyleMedium1"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00000000-000C-0000-FFFF-FFFF09000000}" name="Table2575525269111220" displayName="Table2575525269111220" ref="A7:E20" totalsRowShown="0" headerRowDxfId="7755" headerRowBorderDxfId="7754" tableBorderDxfId="7753" totalsRowBorderDxfId="7752">
  <autoFilter ref="A7:E20" xr:uid="{00000000-0009-0000-0100-000013000000}"/>
  <tableColumns count="5">
    <tableColumn id="1" xr3:uid="{00000000-0010-0000-0900-000001000000}" name="Step" dataDxfId="7751"/>
    <tableColumn id="2" xr3:uid="{00000000-0010-0000-0900-000002000000}" name="Action" dataDxfId="7750"/>
    <tableColumn id="3" xr3:uid="{00000000-0010-0000-0900-000003000000}" name="Message | Input" dataDxfId="7749"/>
    <tableColumn id="5" xr3:uid="{00000000-0010-0000-0900-000005000000}" name="PEG" dataDxfId="7748"/>
    <tableColumn id="4" xr3:uid="{00000000-0010-0000-0900-000004000000}" name="Notes &amp; Data Settings" dataDxfId="7747"/>
  </tableColumns>
  <tableStyleInfo name="TableStyleLight1" showFirstColumn="0" showLastColumn="0" showRowStripes="1" showColumnStripes="0"/>
</table>
</file>

<file path=xl/tables/table10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5" xr:uid="{05A21AB0-E864-4556-9D59-22A1A6A8D096}" name="Table25751986" displayName="Table25751986" ref="A7:E44" totalsRowShown="0" headerRowDxfId="6945" headerRowBorderDxfId="6944" tableBorderDxfId="6943" totalsRowBorderDxfId="6942">
  <autoFilter ref="A7:E44" xr:uid="{5D831E87-821D-4BB5-B296-D38451F6BAF5}"/>
  <tableColumns count="5">
    <tableColumn id="1" xr3:uid="{365B8F4A-9F70-43B1-A293-21E0CAADB6AE}" name="Step" dataDxfId="6941"/>
    <tableColumn id="2" xr3:uid="{CC0478D1-9212-484E-83AA-C56697AB22E8}" name="Action" dataDxfId="6940"/>
    <tableColumn id="3" xr3:uid="{0366CDC8-FC09-481B-94C5-946A24B851AF}" name="Message | Input" dataDxfId="6939"/>
    <tableColumn id="5" xr3:uid="{CF65BF00-4CE7-44FA-99F8-1C038D4557FA}" name="PEG" dataDxfId="6938"/>
    <tableColumn id="4" xr3:uid="{987C1A17-38E7-4BB6-9307-E310D9BEB360}" name="Notes &amp; Data Settings" dataDxfId="6937"/>
  </tableColumns>
  <tableStyleInfo name="TableStyleLight1" showFirstColumn="0" showLastColumn="0" showRowStripes="1" showColumnStripes="0"/>
</table>
</file>

<file path=xl/tables/table10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8" xr:uid="{CC7A0EA2-4006-499C-9744-1BB5B1678B5C}" name="Table25751989" displayName="Table25751989" ref="A7:E44" totalsRowShown="0" headerRowDxfId="6936" headerRowBorderDxfId="6935" tableBorderDxfId="6934" totalsRowBorderDxfId="6933">
  <autoFilter ref="A7:E44" xr:uid="{F56571D2-B199-4BA4-9AF1-FFB8865A1D49}"/>
  <tableColumns count="5">
    <tableColumn id="1" xr3:uid="{75390D3F-8138-4FFF-A623-0709E4618817}" name="Step" dataDxfId="6932"/>
    <tableColumn id="2" xr3:uid="{0E0E6C89-8E28-4FE9-BE8D-18799F40DE09}" name="Action" dataDxfId="6931"/>
    <tableColumn id="3" xr3:uid="{868330BB-0E52-4D4C-9EEC-11FE93A54681}" name="Message | Input" dataDxfId="6930"/>
    <tableColumn id="5" xr3:uid="{7A859920-EFA4-41F8-823B-E25A949BE95B}" name="PEG" dataDxfId="6929"/>
    <tableColumn id="4" xr3:uid="{8A5A8DC6-B979-435A-A035-BA391DADDBCF}" name="Notes &amp; Data Settings" dataDxfId="6928"/>
  </tableColumns>
  <tableStyleInfo name="TableStyleLight1" showFirstColumn="0" showLastColumn="0" showRowStripes="1" showColumnStripes="0"/>
</table>
</file>

<file path=xl/tables/table10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9" xr:uid="{BDF43876-ABC3-40C1-987B-3AC98EBE58C4}" name="Table25751990" displayName="Table25751990" ref="A7:E44" totalsRowShown="0" headerRowDxfId="6927" headerRowBorderDxfId="6926" tableBorderDxfId="6925" totalsRowBorderDxfId="6924">
  <autoFilter ref="A7:E44" xr:uid="{ECFB6293-5DA7-44D5-BDB5-5BAFA5165858}"/>
  <tableColumns count="5">
    <tableColumn id="1" xr3:uid="{666AA32A-85CC-4806-AD4C-4CD0AD7E2BF6}" name="Step" dataDxfId="6923"/>
    <tableColumn id="2" xr3:uid="{A7AFF0E6-3D83-4849-B0D2-B61F1EE301D4}" name="Action" dataDxfId="6922"/>
    <tableColumn id="3" xr3:uid="{36FCAA25-EAD6-4425-98DD-0193D5F25893}" name="Message | Input" dataDxfId="6921"/>
    <tableColumn id="5" xr3:uid="{E36CD60B-30EE-48FE-A1CE-625FA589FA09}" name="PEG" dataDxfId="6920"/>
    <tableColumn id="4" xr3:uid="{AB3B24C7-7433-457D-822B-CF5F5EDA760F}" name="Notes &amp; Data Settings" dataDxfId="6919"/>
  </tableColumns>
  <tableStyleInfo name="TableStyleLight1" showFirstColumn="0" showLastColumn="0" showRowStripes="1" showColumnStripes="0"/>
</table>
</file>

<file path=xl/tables/table10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0" xr:uid="{63A2EC03-F3E6-4E50-A5A9-198872092A3D}" name="Table25751991" displayName="Table25751991" ref="A7:E44" totalsRowShown="0" headerRowDxfId="6918" headerRowBorderDxfId="6917" tableBorderDxfId="6916" totalsRowBorderDxfId="6915">
  <autoFilter ref="A7:E44" xr:uid="{40B5AA22-68E5-44AF-BFC5-00478FAA4BBA}"/>
  <tableColumns count="5">
    <tableColumn id="1" xr3:uid="{A8ED6FB2-53DA-4A9C-9138-E473915E3409}" name="Step" dataDxfId="6914"/>
    <tableColumn id="2" xr3:uid="{CA413F9D-597D-4BBE-98F9-F9D6FE67DF7C}" name="Action" dataDxfId="6913"/>
    <tableColumn id="3" xr3:uid="{53D4A25D-54CF-4C9C-8D69-82A5BDEB1313}" name="Message | Input" dataDxfId="6912"/>
    <tableColumn id="5" xr3:uid="{4264FD38-863A-4F73-8CA5-F31AA6A13F50}" name="PEG" dataDxfId="6911"/>
    <tableColumn id="4" xr3:uid="{DC08225B-FB17-48DD-BED1-F0C1DA73997F}" name="Notes &amp; Data Settings" dataDxfId="6910"/>
  </tableColumns>
  <tableStyleInfo name="TableStyleLight1" showFirstColumn="0" showLastColumn="0" showRowStripes="1" showColumnStripes="0"/>
</table>
</file>

<file path=xl/tables/table10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D1298D58-E7DC-45FF-98F2-999EC661A578}" name="Table257519918" displayName="Table257519918" ref="A7:E44" totalsRowShown="0" headerRowDxfId="6909" headerRowBorderDxfId="6908" tableBorderDxfId="6907" totalsRowBorderDxfId="6906">
  <autoFilter ref="A7:E44" xr:uid="{55B95FE1-3C7D-43B5-840D-A40B63498970}"/>
  <tableColumns count="5">
    <tableColumn id="1" xr3:uid="{ECE5A2A7-82AF-4A51-A812-71BE0B839260}" name="Step" dataDxfId="6905"/>
    <tableColumn id="2" xr3:uid="{12797A99-119D-4D4D-BB2F-9DC84E2F5C43}" name="Action" dataDxfId="6904"/>
    <tableColumn id="3" xr3:uid="{E0E32C22-DB21-49C3-A1D1-250643F0CEF6}" name="Message | Input" dataDxfId="6903"/>
    <tableColumn id="5" xr3:uid="{7E55F6D9-3666-4F00-9BD5-F5BD35191C56}" name="PEG" dataDxfId="6902"/>
    <tableColumn id="4" xr3:uid="{3780043D-ED71-4F13-BD6D-C238FF47954E}" name="Notes &amp; Data Settings" dataDxfId="6901"/>
  </tableColumns>
  <tableStyleInfo name="TableStyleLight1" showFirstColumn="0" showLastColumn="0" showRowStripes="1" showColumnStripes="0"/>
</table>
</file>

<file path=xl/tables/table10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2BFC71D2-1CED-40C1-A28C-6C15EC9BCC9B}" name="Table2575199127" displayName="Table2575199127" ref="A7:E44" totalsRowShown="0" headerRowDxfId="6900" headerRowBorderDxfId="6899" tableBorderDxfId="6898" totalsRowBorderDxfId="6897">
  <autoFilter ref="A7:E44" xr:uid="{08D3A2A5-87C5-4506-846E-AA4CA65B2C32}"/>
  <tableColumns count="5">
    <tableColumn id="1" xr3:uid="{68C68C29-57E2-483D-B498-5FA44C2DE0CD}" name="Step" dataDxfId="6896"/>
    <tableColumn id="2" xr3:uid="{3502C8BC-49A0-4CD8-A197-885F1A4031F1}" name="Action" dataDxfId="6895"/>
    <tableColumn id="3" xr3:uid="{A4DC75FB-B959-4872-A17C-9EE8028894B5}" name="Message | Input" dataDxfId="6894"/>
    <tableColumn id="5" xr3:uid="{7901D30B-C595-4F1D-9645-762AB74DD0A9}" name="PEG" dataDxfId="6893"/>
    <tableColumn id="4" xr3:uid="{662B8CFF-54AB-4047-945E-D723EDCF239C}" name="Notes &amp; Data Settings" dataDxfId="6892"/>
  </tableColumns>
  <tableStyleInfo name="TableStyleLight1" showFirstColumn="0" showLastColumn="0" showRowStripes="1" showColumnStripes="0"/>
</table>
</file>

<file path=xl/tables/table10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90CD377C-B658-4C8B-BD2C-ECB8E1624ED1}" name="Table2575199129" displayName="Table2575199129" ref="A7:E44" totalsRowShown="0" headerRowDxfId="6891" headerRowBorderDxfId="6890" tableBorderDxfId="6889" totalsRowBorderDxfId="6888">
  <autoFilter ref="A7:E44" xr:uid="{FDFE49E6-035A-4FA8-901C-4D2F623430A3}"/>
  <tableColumns count="5">
    <tableColumn id="1" xr3:uid="{45AE7C8F-AC0E-42B2-AB46-254184829E30}" name="Step" dataDxfId="6887"/>
    <tableColumn id="2" xr3:uid="{7FA1DCDC-0291-4CF4-9D9F-BC331C930049}" name="Action" dataDxfId="6886"/>
    <tableColumn id="3" xr3:uid="{124AE741-3C42-4F35-B649-B8B3DB6D7A47}" name="Message | Input" dataDxfId="6885"/>
    <tableColumn id="5" xr3:uid="{B599B018-90BE-462B-9F4E-381CFD6FDDB9}" name="PEG" dataDxfId="6884"/>
    <tableColumn id="4" xr3:uid="{ED216232-078E-437D-8D01-1A5B1BC67B27}" name="Notes &amp; Data Settings" dataDxfId="6883"/>
  </tableColumns>
  <tableStyleInfo name="TableStyleLight1" showFirstColumn="0" showLastColumn="0" showRowStripes="1" showColumnStripes="0"/>
</table>
</file>

<file path=xl/tables/table10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1CBAE309-7499-492B-BD5D-5E6D245C6C44}" name="Table2575199131" displayName="Table2575199131" ref="A7:E44" totalsRowShown="0" headerRowDxfId="6882" headerRowBorderDxfId="6881" tableBorderDxfId="6880" totalsRowBorderDxfId="6879">
  <autoFilter ref="A7:E44" xr:uid="{24CF718B-01D4-4D11-BF60-00B34E1FBF3A}"/>
  <tableColumns count="5">
    <tableColumn id="1" xr3:uid="{00465C17-DD90-4D57-8ED4-7729D3A45043}" name="Step" dataDxfId="6878"/>
    <tableColumn id="2" xr3:uid="{46F2B20F-A91B-4E35-84E3-BAC2A0596A6A}" name="Action" dataDxfId="6877"/>
    <tableColumn id="3" xr3:uid="{A521D560-4992-48A9-9FC8-8A51F78BA4E1}" name="Message | Input" dataDxfId="6876"/>
    <tableColumn id="5" xr3:uid="{85D3ED31-9108-41F5-9F71-2EB12E866FC8}" name="PEG" dataDxfId="6875"/>
    <tableColumn id="4" xr3:uid="{FA10C377-C5FE-4488-A4E7-1D90DAB1067A}" name="Notes &amp; Data Settings" dataDxfId="6874"/>
  </tableColumns>
  <tableStyleInfo name="TableStyleLight1" showFirstColumn="0" showLastColumn="0" showRowStripes="1" showColumnStripes="0"/>
</table>
</file>

<file path=xl/tables/table10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 xr:uid="{F51AB161-FA64-4EC7-83C5-24456694EC4E}" name="Table257519913135" displayName="Table257519913135" ref="A7:E44" totalsRowShown="0" headerRowDxfId="6873" headerRowBorderDxfId="6872" tableBorderDxfId="6871" totalsRowBorderDxfId="6870">
  <autoFilter ref="A7:E44" xr:uid="{A1832713-B37D-497B-A555-B2BCC6D2C5F3}"/>
  <tableColumns count="5">
    <tableColumn id="1" xr3:uid="{C368F03C-35BF-468F-885B-4804C4D049A9}" name="Step" dataDxfId="6869"/>
    <tableColumn id="2" xr3:uid="{D24B5BB1-7FC1-420D-81E8-33566F0C3EAE}" name="Action" dataDxfId="6868"/>
    <tableColumn id="3" xr3:uid="{81A72C6B-ACDF-4277-8C23-D4885002067D}" name="Message | Input" dataDxfId="6867"/>
    <tableColumn id="5" xr3:uid="{79036F29-8449-4418-ABA1-B966FAF08A2E}" name="PEG" dataDxfId="6866"/>
    <tableColumn id="4" xr3:uid="{F138E61D-6BF0-4D99-9462-01A059D288FD}" name="Notes &amp; Data Settings" dataDxfId="6865"/>
  </tableColumns>
  <tableStyleInfo name="TableStyleLight1" showFirstColumn="0" showLastColumn="0" showRowStripes="1" showColumnStripes="0"/>
</table>
</file>

<file path=xl/tables/table10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6" xr:uid="{43C152B3-C31A-44FF-8BC8-F09DFADCA578}" name="Table257519913137" displayName="Table257519913137" ref="A7:E44" totalsRowShown="0" headerRowDxfId="6864" headerRowBorderDxfId="6863" tableBorderDxfId="6862" totalsRowBorderDxfId="6861">
  <autoFilter ref="A7:E44" xr:uid="{403C537C-7325-47E4-8323-D217A932D2B9}"/>
  <tableColumns count="5">
    <tableColumn id="1" xr3:uid="{95267A88-092F-44A0-9592-2889EB4756C3}" name="Step" dataDxfId="6860"/>
    <tableColumn id="2" xr3:uid="{0ED591A0-360E-4609-96AD-ED2C2145A346}" name="Action" dataDxfId="6859"/>
    <tableColumn id="3" xr3:uid="{56E282DC-8717-4E68-820C-4AF294CBF6FB}" name="Message | Input" dataDxfId="6858"/>
    <tableColumn id="5" xr3:uid="{E2DD5E3A-DE1B-4597-A2F5-5850EDD1F4B4}" name="PEG" dataDxfId="6857"/>
    <tableColumn id="4" xr3:uid="{4BFA64A0-00B3-4CCE-9A48-8E13DD9AEDB8}" name="Notes &amp; Data Settings" dataDxfId="6856"/>
  </tableColumns>
  <tableStyleInfo name="TableStyleLight1"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00000000-000C-0000-FFFF-FFFF0A000000}" name="Table257552526911122021" displayName="Table257552526911122021" ref="A7:E35" totalsRowShown="0" headerRowDxfId="7746" headerRowBorderDxfId="7745" tableBorderDxfId="7744" totalsRowBorderDxfId="7743">
  <autoFilter ref="A7:E35" xr:uid="{00000000-0009-0000-0100-000014000000}"/>
  <tableColumns count="5">
    <tableColumn id="1" xr3:uid="{00000000-0010-0000-0A00-000001000000}" name="Step" dataDxfId="7742"/>
    <tableColumn id="2" xr3:uid="{00000000-0010-0000-0A00-000002000000}" name="Action" dataDxfId="7741"/>
    <tableColumn id="3" xr3:uid="{00000000-0010-0000-0A00-000003000000}" name="Message | Input" dataDxfId="7740"/>
    <tableColumn id="5" xr3:uid="{00000000-0010-0000-0A00-000005000000}" name="PEG" dataDxfId="7739"/>
    <tableColumn id="4" xr3:uid="{00000000-0010-0000-0A00-000004000000}" name="Notes &amp; Data Settings" dataDxfId="7738"/>
  </tableColumns>
  <tableStyleInfo name="TableStyleLight1" showFirstColumn="0" showLastColumn="0" showRowStripes="1" showColumnStripes="0"/>
</table>
</file>

<file path=xl/tables/table1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9" xr:uid="{303B71EF-E3CC-4A26-877A-8C499D83A666}" name="Table257519913140" displayName="Table257519913140" ref="A7:E44" totalsRowShown="0" headerRowDxfId="6855" headerRowBorderDxfId="6854" tableBorderDxfId="6853" totalsRowBorderDxfId="6852">
  <autoFilter ref="A7:E44" xr:uid="{EAD983B3-4D03-4DAD-8994-820355BA6CCB}"/>
  <tableColumns count="5">
    <tableColumn id="1" xr3:uid="{AD178959-9729-4308-990F-67C1DBB701D0}" name="Step" dataDxfId="6851"/>
    <tableColumn id="2" xr3:uid="{11F502FF-681A-4494-9707-9E5C9C7C4B79}" name="Action" dataDxfId="6850"/>
    <tableColumn id="3" xr3:uid="{8992EB71-CA5C-420C-8868-DC8D2AB4B4F6}" name="Message | Input" dataDxfId="6849"/>
    <tableColumn id="5" xr3:uid="{D1672EE4-87FB-4459-883B-783B6BE5368D}" name="PEG" dataDxfId="6848"/>
    <tableColumn id="4" xr3:uid="{99DCB603-8B43-44E8-9236-22FC83F06836}" name="Notes &amp; Data Settings" dataDxfId="6847"/>
  </tableColumns>
  <tableStyleInfo name="TableStyleLight1" showFirstColumn="0" showLastColumn="0" showRowStripes="1" showColumnStripes="0"/>
</table>
</file>

<file path=xl/tables/table1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8" xr:uid="{B4F3D8EB-AB77-450B-8007-503D4A73DC31}" name="Table25751991314099" displayName="Table25751991314099" ref="A7:E44" totalsRowShown="0" headerRowDxfId="6846" headerRowBorderDxfId="6845" tableBorderDxfId="6844" totalsRowBorderDxfId="6843">
  <autoFilter ref="A7:E44" xr:uid="{6B66681F-EFAA-442B-A908-C37BCA9EC6B2}"/>
  <tableColumns count="5">
    <tableColumn id="1" xr3:uid="{32A483D8-96BF-4E54-AF7F-8A9C0AA1460C}" name="Step" dataDxfId="6842"/>
    <tableColumn id="2" xr3:uid="{7B902766-76F0-450A-984D-732922EF06A4}" name="Action" dataDxfId="6841"/>
    <tableColumn id="3" xr3:uid="{95745D3B-3EA9-4B4D-B4D8-71996F65F10D}" name="Message | Input" dataDxfId="6840"/>
    <tableColumn id="5" xr3:uid="{E965495E-BCEB-4CA2-9BC8-774896BA0B7E}" name="PEG" dataDxfId="6839"/>
    <tableColumn id="4" xr3:uid="{6A34A70D-9B41-4312-9D70-089BF418AF09}" name="Notes &amp; Data Settings" dataDxfId="6838"/>
  </tableColumns>
  <tableStyleInfo name="TableStyleLight1" showFirstColumn="0" showLastColumn="0" showRowStripes="1" showColumnStripes="0"/>
</table>
</file>

<file path=xl/tables/table1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2" xr:uid="{6838C206-C16E-4495-A06B-4AA0D5CF90A9}" name="Table257519913140103" displayName="Table257519913140103" ref="A7:E44" totalsRowShown="0" headerRowDxfId="6837" headerRowBorderDxfId="6836" tableBorderDxfId="6835" totalsRowBorderDxfId="6834">
  <autoFilter ref="A7:E44" xr:uid="{2235F325-CF22-4502-9FD6-FA8B8A7CE570}"/>
  <tableColumns count="5">
    <tableColumn id="1" xr3:uid="{0998AE99-F6AA-4BC1-A6E7-B330CE2BCE31}" name="Step" dataDxfId="6833"/>
    <tableColumn id="2" xr3:uid="{B2159A22-3AAB-4861-A162-82580DD65BC3}" name="Action" dataDxfId="6832"/>
    <tableColumn id="3" xr3:uid="{48195507-20FC-468B-841E-8157ED44EDB4}" name="Message | Input" dataDxfId="6831"/>
    <tableColumn id="5" xr3:uid="{1C641683-2545-4556-9DE1-AF021ED40DA9}" name="PEG" dataDxfId="6830"/>
    <tableColumn id="4" xr3:uid="{05778CB1-2574-4B54-ACB4-71E56835D34E}" name="Notes &amp; Data Settings" dataDxfId="6829"/>
  </tableColumns>
  <tableStyleInfo name="TableStyleLight1" showFirstColumn="0" showLastColumn="0" showRowStripes="1" showColumnStripes="0"/>
</table>
</file>

<file path=xl/tables/table1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5" xr:uid="{CB30F36B-A8C2-4F54-BB9B-75E32ACB5794}" name="Table257519913140106" displayName="Table257519913140106" ref="A7:E44" totalsRowShown="0" headerRowDxfId="6828" headerRowBorderDxfId="6827" tableBorderDxfId="6826" totalsRowBorderDxfId="6825">
  <autoFilter ref="A7:E44" xr:uid="{1D1C1FA0-6102-43FD-8DF0-DA553490BD2F}"/>
  <tableColumns count="5">
    <tableColumn id="1" xr3:uid="{24489D88-6018-4A3F-A9AD-61FD5608BC70}" name="Step" dataDxfId="6824"/>
    <tableColumn id="2" xr3:uid="{E8E0CB96-7338-4642-8855-D91A095A98C4}" name="Action" dataDxfId="6823"/>
    <tableColumn id="3" xr3:uid="{4EE51ED9-1BEA-4438-9E50-69A5AFDF09A8}" name="Message | Input" dataDxfId="6822"/>
    <tableColumn id="5" xr3:uid="{D0103D36-74B3-4C3F-91F6-0467B8672C88}" name="PEG" dataDxfId="6821"/>
    <tableColumn id="4" xr3:uid="{21EBA7AC-AF4C-43EC-975D-FC0F2EAC57DD}" name="Notes &amp; Data Settings" dataDxfId="6820"/>
  </tableColumns>
  <tableStyleInfo name="TableStyleLight1" showFirstColumn="0" showLastColumn="0" showRowStripes="1" showColumnStripes="0"/>
</table>
</file>

<file path=xl/tables/table1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9" xr:uid="{99069CB0-BD2F-41A2-8583-6F7D2707E251}" name="Table257519913140106110" displayName="Table257519913140106110" ref="A7:E44" totalsRowShown="0" headerRowDxfId="6819" headerRowBorderDxfId="6818" tableBorderDxfId="6817" totalsRowBorderDxfId="6816">
  <autoFilter ref="A7:E44" xr:uid="{256B0C45-A1FC-4182-8B73-4A6EAE36025C}"/>
  <tableColumns count="5">
    <tableColumn id="1" xr3:uid="{4A753662-1CED-4B50-9B85-2DACD1B5EF7F}" name="Step" dataDxfId="6815"/>
    <tableColumn id="2" xr3:uid="{4A36DA5A-44B4-466C-A472-518680E55B88}" name="Action" dataDxfId="6814"/>
    <tableColumn id="3" xr3:uid="{D6875D02-3D51-41F2-89FD-03F29470CE95}" name="Message | Input" dataDxfId="6813"/>
    <tableColumn id="5" xr3:uid="{A3219C0E-71CA-4723-83AE-C17E9B1A4298}" name="PEG" dataDxfId="6812"/>
    <tableColumn id="4" xr3:uid="{A1A2A2EE-9696-4B7E-8420-25A840E93C9A}" name="Notes &amp; Data Settings" dataDxfId="6811"/>
  </tableColumns>
  <tableStyleInfo name="TableStyleLight1" showFirstColumn="0" showLastColumn="0" showRowStripes="1" showColumnStripes="0"/>
</table>
</file>

<file path=xl/tables/table1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3" xr:uid="{48C76F04-0A63-44FF-A4F8-DDE36557D4EB}" name="Table257519913140106110114" displayName="Table257519913140106110114" ref="A7:E44" totalsRowShown="0" headerRowDxfId="6810" headerRowBorderDxfId="6809" tableBorderDxfId="6808" totalsRowBorderDxfId="6807">
  <autoFilter ref="A7:E44" xr:uid="{E718BAF1-FF62-4AEA-A83B-A74E15B79B65}"/>
  <tableColumns count="5">
    <tableColumn id="1" xr3:uid="{43C8F372-B68B-4497-80BF-6343005034BA}" name="Step" dataDxfId="6806"/>
    <tableColumn id="2" xr3:uid="{49EBC07A-5DBF-4DA0-BC3F-69D0B97A08E1}" name="Action" dataDxfId="6805"/>
    <tableColumn id="3" xr3:uid="{C4BCBEE7-EF89-42F4-913C-E32C7E6C478D}" name="Message | Input" dataDxfId="6804"/>
    <tableColumn id="5" xr3:uid="{A4935DD2-965F-4056-B1CD-5139AE9679AA}" name="PEG" dataDxfId="6803"/>
    <tableColumn id="4" xr3:uid="{1ED9B564-DF44-4BF1-B0BD-EFE73A67AE12}" name="Notes &amp; Data Settings" dataDxfId="6802"/>
  </tableColumns>
  <tableStyleInfo name="TableStyleLight1" showFirstColumn="0" showLastColumn="0" showRowStripes="1" showColumnStripes="0"/>
</table>
</file>

<file path=xl/tables/table1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7" xr:uid="{50DEDE8C-41D1-4765-9769-B1C9A8F80E18}" name="Table257519913140106110118" displayName="Table257519913140106110118" ref="A7:E44" totalsRowShown="0" headerRowDxfId="6801" headerRowBorderDxfId="6800" tableBorderDxfId="6799" totalsRowBorderDxfId="6798">
  <autoFilter ref="A7:E44" xr:uid="{62C7D578-7DDD-4321-A88E-C3BD0380F83B}"/>
  <tableColumns count="5">
    <tableColumn id="1" xr3:uid="{CBA71997-06D4-4C9E-91AA-C90A4CF0F18E}" name="Step" dataDxfId="6797"/>
    <tableColumn id="2" xr3:uid="{EAAF0BB2-2705-4DBF-99E0-7B671032AD8D}" name="Action" dataDxfId="6796"/>
    <tableColumn id="3" xr3:uid="{168B3D0C-33B6-406F-A91C-7ADC855E4063}" name="Message | Input" dataDxfId="6795"/>
    <tableColumn id="5" xr3:uid="{3D3F2098-A90B-4E9A-B19B-C28B71BA784B}" name="PEG" dataDxfId="6794"/>
    <tableColumn id="4" xr3:uid="{D99AAA6B-CCED-4C96-B10A-9BC3370BC712}" name="Notes &amp; Data Settings" dataDxfId="6793"/>
  </tableColumns>
  <tableStyleInfo name="TableStyleLight1" showFirstColumn="0" showLastColumn="0" showRowStripes="1" showColumnStripes="0"/>
</table>
</file>

<file path=xl/tables/table1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1" xr:uid="{E250BCED-E325-49B6-B420-4F0DB84969C3}" name="Table257519913140106110122" displayName="Table257519913140106110122" ref="A7:E44" totalsRowShown="0" headerRowDxfId="6792" headerRowBorderDxfId="6791" tableBorderDxfId="6790" totalsRowBorderDxfId="6789">
  <autoFilter ref="A7:E44" xr:uid="{79D080CD-AFF3-41B2-8C9A-7343B51E3D53}"/>
  <tableColumns count="5">
    <tableColumn id="1" xr3:uid="{76903BB2-0A97-43F5-886A-54B28E06E6BF}" name="Step" dataDxfId="6788"/>
    <tableColumn id="2" xr3:uid="{BD359959-562C-40EF-A2F0-8665E452FC9F}" name="Action" dataDxfId="6787"/>
    <tableColumn id="3" xr3:uid="{6DB3E30C-159D-45D4-8C10-8EE157A6AD59}" name="Message | Input" dataDxfId="6786"/>
    <tableColumn id="5" xr3:uid="{BF518380-A0A5-4BC1-B8EA-2667EC7C1CAC}" name="PEG" dataDxfId="6785"/>
    <tableColumn id="4" xr3:uid="{086C94EE-BF13-431F-909D-9FECC5FA032B}" name="Notes &amp; Data Settings" dataDxfId="6784"/>
  </tableColumns>
  <tableStyleInfo name="TableStyleLight1" showFirstColumn="0" showLastColumn="0" showRowStripes="1" showColumnStripes="0"/>
</table>
</file>

<file path=xl/tables/table1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5" xr:uid="{C6B77D64-BCDE-42FE-A281-28BF25386A23}" name="Table257519913140106110126" displayName="Table257519913140106110126" ref="A7:E44" totalsRowShown="0" headerRowDxfId="6783" headerRowBorderDxfId="6782" tableBorderDxfId="6781" totalsRowBorderDxfId="6780">
  <autoFilter ref="A7:E44" xr:uid="{25E92FC8-75CC-4BBE-8F00-BA9049B81882}"/>
  <tableColumns count="5">
    <tableColumn id="1" xr3:uid="{0FA3BA8E-8204-4E87-9F05-876EC2F3EA57}" name="Step" dataDxfId="6779"/>
    <tableColumn id="2" xr3:uid="{E718C55D-736C-417E-927A-E1164D7AF8A7}" name="Action" dataDxfId="6778"/>
    <tableColumn id="3" xr3:uid="{7B9AAE14-0399-4AB1-896E-968F31BB098F}" name="Message | Input" dataDxfId="6777"/>
    <tableColumn id="5" xr3:uid="{92219E7B-6851-4BDE-B919-BB1FEA4A03CF}" name="PEG" dataDxfId="6776"/>
    <tableColumn id="4" xr3:uid="{A66CF239-15AA-4708-8E51-DDE54E3965B0}" name="Notes &amp; Data Settings" dataDxfId="6775"/>
  </tableColumns>
  <tableStyleInfo name="TableStyleLight1" showFirstColumn="0" showLastColumn="0" showRowStripes="1" showColumnStripes="0"/>
</table>
</file>

<file path=xl/tables/table1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9" xr:uid="{E88B251A-5CD3-433D-822A-91733C37859D}" name="Table257519913140106110130" displayName="Table257519913140106110130" ref="A7:E44" totalsRowShown="0" headerRowDxfId="6774" headerRowBorderDxfId="6773" tableBorderDxfId="6772" totalsRowBorderDxfId="6771">
  <autoFilter ref="A7:E44" xr:uid="{90D80B86-7692-4C18-9D50-561A2D419ADC}"/>
  <tableColumns count="5">
    <tableColumn id="1" xr3:uid="{687244BA-A8F0-472F-9B68-7852859E4378}" name="Step" dataDxfId="6770"/>
    <tableColumn id="2" xr3:uid="{E9B5D042-DB96-4738-ACAC-58CF565E0FEE}" name="Action" dataDxfId="6769"/>
    <tableColumn id="3" xr3:uid="{D05EF279-ACE2-44B5-BAA0-81B30EE42677}" name="Message | Input" dataDxfId="6768"/>
    <tableColumn id="5" xr3:uid="{B7EC10BA-AFDA-47AA-9151-3631F51BA2B5}" name="PEG" dataDxfId="6767"/>
    <tableColumn id="4" xr3:uid="{68483738-F258-4E0C-94A5-845F68E0B1E6}" name="Notes &amp; Data Settings" dataDxfId="6766"/>
  </tableColumns>
  <tableStyleInfo name="TableStyleLight1"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0" xr:uid="{00000000-000C-0000-FFFF-FFFF0B000000}" name="Table257552526911122021222361" displayName="Table257552526911122021222361" ref="A7:E30" totalsRowShown="0" headerRowDxfId="7737" headerRowBorderDxfId="7736" tableBorderDxfId="7735" totalsRowBorderDxfId="7734">
  <autoFilter ref="A7:E30" xr:uid="{00000000-0009-0000-0100-00003C000000}"/>
  <tableColumns count="5">
    <tableColumn id="1" xr3:uid="{00000000-0010-0000-0B00-000001000000}" name="Step" dataDxfId="7733"/>
    <tableColumn id="2" xr3:uid="{00000000-0010-0000-0B00-000002000000}" name="Action" dataDxfId="7732"/>
    <tableColumn id="3" xr3:uid="{00000000-0010-0000-0B00-000003000000}" name="Message | Input" dataDxfId="7731"/>
    <tableColumn id="5" xr3:uid="{00000000-0010-0000-0B00-000005000000}" name="PEG" dataDxfId="7730"/>
    <tableColumn id="4" xr3:uid="{00000000-0010-0000-0B00-000004000000}" name="Notes &amp; Data Settings" dataDxfId="7729"/>
  </tableColumns>
  <tableStyleInfo name="TableStyleLight1" showFirstColumn="0" showLastColumn="0" showRowStripes="1" showColumnStripes="0"/>
</table>
</file>

<file path=xl/tables/table1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3" xr:uid="{9216B828-0EAA-41C6-9836-684E542DB2C9}" name="Table257519913140106110134" displayName="Table257519913140106110134" ref="A7:E44" totalsRowShown="0" headerRowDxfId="6765" headerRowBorderDxfId="6764" tableBorderDxfId="6763" totalsRowBorderDxfId="6762">
  <autoFilter ref="A7:E44" xr:uid="{46F8274A-F01E-42CD-88E2-3ADC43B6AACA}"/>
  <tableColumns count="5">
    <tableColumn id="1" xr3:uid="{5D86F050-67F0-4610-8946-61F75CE1142C}" name="Step" dataDxfId="6761"/>
    <tableColumn id="2" xr3:uid="{53BD4FC9-3444-4AFE-BA66-C1E1AEEE5DB5}" name="Action" dataDxfId="6760"/>
    <tableColumn id="3" xr3:uid="{EA06A580-6DA3-430E-81F7-D476503C1714}" name="Message | Input" dataDxfId="6759"/>
    <tableColumn id="5" xr3:uid="{1872B00C-73B5-4ADC-B5CF-93AE0069DC3D}" name="PEG" dataDxfId="6758"/>
    <tableColumn id="4" xr3:uid="{04D2A8EC-E3FB-416A-946C-77C672DE03F7}" name="Notes &amp; Data Settings" dataDxfId="6757"/>
  </tableColumns>
  <tableStyleInfo name="TableStyleLight1" showFirstColumn="0" showLastColumn="0" showRowStripes="1" showColumnStripes="0"/>
</table>
</file>

<file path=xl/tables/table1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9" xr:uid="{861E5AB4-E83C-4B77-961A-0203B35258F8}" name="Table257519913140106110140" displayName="Table257519913140106110140" ref="A7:E44" totalsRowShown="0" headerRowDxfId="6756" headerRowBorderDxfId="6755" tableBorderDxfId="6754" totalsRowBorderDxfId="6753">
  <autoFilter ref="A7:E44" xr:uid="{38DEB995-BA97-45EA-A150-71FED29BEA6F}"/>
  <tableColumns count="5">
    <tableColumn id="1" xr3:uid="{A5E09BC9-D3D7-4189-9034-A33E03B83048}" name="Step" dataDxfId="6752"/>
    <tableColumn id="2" xr3:uid="{4FCCD0C2-E4E5-4696-A26B-D4C354B1F415}" name="Action" dataDxfId="6751"/>
    <tableColumn id="3" xr3:uid="{05EDCFA1-2E4E-44BD-8381-2819D2984B5C}" name="Message | Input" dataDxfId="6750"/>
    <tableColumn id="5" xr3:uid="{FB15BE46-565D-4E31-A183-CFCBAA840C4E}" name="PEG" dataDxfId="6749"/>
    <tableColumn id="4" xr3:uid="{B235AD6D-2490-4AD0-82E2-DEB0D63391D0}" name="Notes &amp; Data Settings" dataDxfId="6748"/>
  </tableColumns>
  <tableStyleInfo name="TableStyleLight1" showFirstColumn="0" showLastColumn="0" showRowStripes="1" showColumnStripes="0"/>
</table>
</file>

<file path=xl/tables/table1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2" xr:uid="{492F3170-B64B-449A-94BE-976939C4674C}" name="Table257519913140106110143" displayName="Table257519913140106110143" ref="A7:E44" totalsRowShown="0" headerRowDxfId="6747" headerRowBorderDxfId="6746" tableBorderDxfId="6745" totalsRowBorderDxfId="6744">
  <autoFilter ref="A7:E44" xr:uid="{29BF809B-2A90-4C68-8977-870C0189C08B}"/>
  <tableColumns count="5">
    <tableColumn id="1" xr3:uid="{926A70B5-1C15-45B2-B231-06F449ED913A}" name="Step" dataDxfId="6743"/>
    <tableColumn id="2" xr3:uid="{DC8F67ED-7FD5-494F-B8BD-ABA903AAED3D}" name="Action" dataDxfId="6742"/>
    <tableColumn id="3" xr3:uid="{F0DC9327-6FE9-46FD-B6A1-01F7089DF439}" name="Message | Input" dataDxfId="6741"/>
    <tableColumn id="5" xr3:uid="{66636713-847F-4A82-A0C4-2B7811933CE6}" name="PEG" dataDxfId="6740"/>
    <tableColumn id="4" xr3:uid="{354A6AB8-31D0-4C9C-BCFE-4AB71EAF3948}" name="Notes &amp; Data Settings" dataDxfId="6739"/>
  </tableColumns>
  <tableStyleInfo name="TableStyleLight1" showFirstColumn="0" showLastColumn="0" showRowStripes="1" showColumnStripes="0"/>
</table>
</file>

<file path=xl/tables/table1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4" xr:uid="{543A35CB-688D-4AB0-A45A-2A631629CC9F}" name="Table257519913140106110145" displayName="Table257519913140106110145" ref="A7:E44" totalsRowShown="0" headerRowDxfId="6738" headerRowBorderDxfId="6737" tableBorderDxfId="6736" totalsRowBorderDxfId="6735">
  <autoFilter ref="A7:E44" xr:uid="{75A09B4F-3DA9-4C01-8950-D3D46AABEE69}"/>
  <tableColumns count="5">
    <tableColumn id="1" xr3:uid="{FE6D2936-6689-4DE7-8488-6FF1B8708C96}" name="Step" dataDxfId="6734"/>
    <tableColumn id="2" xr3:uid="{261EC5FB-150A-431C-9CE2-17B9237DEA6A}" name="Action" dataDxfId="6733"/>
    <tableColumn id="3" xr3:uid="{A3B57D79-AC3D-42C7-B843-FF114E9B6CAB}" name="Message | Input" dataDxfId="6732"/>
    <tableColumn id="5" xr3:uid="{406E1FEA-8FFC-454E-9EB9-386D37A92751}" name="PEG" dataDxfId="6731"/>
    <tableColumn id="4" xr3:uid="{0B96010D-3A72-40E0-9605-775CF6250F7C}" name="Notes &amp; Data Settings" dataDxfId="6730"/>
  </tableColumns>
  <tableStyleInfo name="TableStyleLight1" showFirstColumn="0" showLastColumn="0" showRowStripes="1" showColumnStripes="0"/>
</table>
</file>

<file path=xl/tables/table1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6" xr:uid="{8B99D6A6-8170-410C-B811-B62B596545A2}" name="Table257519913140106110147" displayName="Table257519913140106110147" ref="A7:E44" totalsRowShown="0" headerRowDxfId="6729" headerRowBorderDxfId="6728" tableBorderDxfId="6727" totalsRowBorderDxfId="6726">
  <autoFilter ref="A7:E44" xr:uid="{E4D22625-5DA3-4111-AC7D-6BDD073837EC}"/>
  <tableColumns count="5">
    <tableColumn id="1" xr3:uid="{C87DC70A-6BAF-4F12-9FAF-BC4FBDC2A488}" name="Step" dataDxfId="6725"/>
    <tableColumn id="2" xr3:uid="{7F336C06-E4AE-427C-887A-2C2830936663}" name="Action" dataDxfId="6724"/>
    <tableColumn id="3" xr3:uid="{2E17C068-4C1C-4D7E-A7DC-F6E674B6EE9F}" name="Message | Input" dataDxfId="6723"/>
    <tableColumn id="5" xr3:uid="{FAE56246-CD2A-4F61-9D54-780759637C70}" name="PEG" dataDxfId="6722"/>
    <tableColumn id="4" xr3:uid="{65BE0E36-C79D-40D8-8E3A-0BCA045C7572}" name="Notes &amp; Data Settings" dataDxfId="6721"/>
  </tableColumns>
  <tableStyleInfo name="TableStyleLight1" showFirstColumn="0" showLastColumn="0" showRowStripes="1" showColumnStripes="0"/>
</table>
</file>

<file path=xl/tables/table1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8" xr:uid="{0FE7429F-15C5-4AD3-BE26-39660B7BDF05}" name="Table257519913140106110149" displayName="Table257519913140106110149" ref="A7:E44" totalsRowShown="0" headerRowDxfId="6720" headerRowBorderDxfId="6719" tableBorderDxfId="6718" totalsRowBorderDxfId="6717">
  <autoFilter ref="A7:E44" xr:uid="{F656E96D-BF18-43F9-BC37-612C2F16CFDD}"/>
  <tableColumns count="5">
    <tableColumn id="1" xr3:uid="{1E4E55DA-C354-4295-A57C-2A548439AF2D}" name="Step" dataDxfId="6716"/>
    <tableColumn id="2" xr3:uid="{CF2DB239-18E1-4EE2-8FD7-0FAEAC258BD9}" name="Action" dataDxfId="6715"/>
    <tableColumn id="3" xr3:uid="{9BF90268-9ED8-44B5-89BE-EB993B225994}" name="Message | Input" dataDxfId="6714"/>
    <tableColumn id="5" xr3:uid="{52230ED1-CFF3-41E5-AB65-06FCB3BEEEFC}" name="PEG" dataDxfId="6713"/>
    <tableColumn id="4" xr3:uid="{04E92A13-E0CA-4EB4-9083-2EB732E25300}" name="Notes &amp; Data Settings" dataDxfId="6712"/>
  </tableColumns>
  <tableStyleInfo name="TableStyleLight1" showFirstColumn="0" showLastColumn="0" showRowStripes="1" showColumnStripes="0"/>
</table>
</file>

<file path=xl/tables/table1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0" xr:uid="{8595ECE1-06AB-40CB-A5D2-41195A9CBA9B}" name="Table257519913140106110151" displayName="Table257519913140106110151" ref="A7:E44" totalsRowShown="0" headerRowDxfId="6711" headerRowBorderDxfId="6710" tableBorderDxfId="6709" totalsRowBorderDxfId="6708">
  <autoFilter ref="A7:E44" xr:uid="{F20ED25B-5AF5-483A-B186-E74F24245436}"/>
  <tableColumns count="5">
    <tableColumn id="1" xr3:uid="{572FEDBC-B000-4E46-8C3A-ECDB0D6E1729}" name="Step" dataDxfId="6707"/>
    <tableColumn id="2" xr3:uid="{B6D68191-1C8F-49BE-A12F-6963237B6776}" name="Action" dataDxfId="6706"/>
    <tableColumn id="3" xr3:uid="{5C50CF32-5A5C-4BE7-BFB0-821C8D31A615}" name="Message | Input" dataDxfId="6705"/>
    <tableColumn id="5" xr3:uid="{E8B657FC-6118-4967-91E5-FCC3F57D304E}" name="PEG" dataDxfId="6704"/>
    <tableColumn id="4" xr3:uid="{D5354760-230B-4665-B5D1-32FE1D75B8F4}" name="Notes &amp; Data Settings" dataDxfId="6703"/>
  </tableColumns>
  <tableStyleInfo name="TableStyleLight1" showFirstColumn="0" showLastColumn="0" showRowStripes="1" showColumnStripes="0"/>
</table>
</file>

<file path=xl/tables/table1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2" xr:uid="{B68EA164-F946-4D17-9392-FF808CC0BAE7}" name="Table257519913140106110151153" displayName="Table257519913140106110151153" ref="A7:E44" totalsRowShown="0" headerRowDxfId="6702" headerRowBorderDxfId="6701" tableBorderDxfId="6700" totalsRowBorderDxfId="6699">
  <autoFilter ref="A7:E44" xr:uid="{E4E6A883-F1E9-42FF-9212-B22A8841676F}"/>
  <tableColumns count="5">
    <tableColumn id="1" xr3:uid="{B0D2CD21-5003-403B-B501-9CD86E3C188F}" name="Step" dataDxfId="6698"/>
    <tableColumn id="2" xr3:uid="{B8D3B4A4-B95F-44CD-BEDF-63C900F5724B}" name="Action" dataDxfId="6697"/>
    <tableColumn id="3" xr3:uid="{D48A6136-65AF-43AA-BFA1-C9859EC53B2E}" name="Message | Input" dataDxfId="6696"/>
    <tableColumn id="5" xr3:uid="{8AD2B0C3-4583-4BE0-91EA-665A8D9E6AFA}" name="PEG" dataDxfId="6695"/>
    <tableColumn id="4" xr3:uid="{674167FC-2969-490A-BE66-FC462B0BD37B}" name="Notes &amp; Data Settings" dataDxfId="6694"/>
  </tableColumns>
  <tableStyleInfo name="TableStyleLight1" showFirstColumn="0" showLastColumn="0" showRowStripes="1" showColumnStripes="0"/>
</table>
</file>

<file path=xl/tables/table1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4" xr:uid="{92664968-77F5-47EA-BFBF-B786A2C00A36}" name="Table257519913140106110151155" displayName="Table257519913140106110151155" ref="A7:E44" totalsRowShown="0" headerRowDxfId="6693" headerRowBorderDxfId="6692" tableBorderDxfId="6691" totalsRowBorderDxfId="6690">
  <autoFilter ref="A7:E44" xr:uid="{F6466E5E-D4BC-48FB-82CD-3F1A5D0988B2}"/>
  <tableColumns count="5">
    <tableColumn id="1" xr3:uid="{F50369C0-9C87-4691-BED1-821FCD20B3EF}" name="Step" dataDxfId="6689"/>
    <tableColumn id="2" xr3:uid="{6DC5A2AD-B725-45B4-9884-FF410FE1C4CF}" name="Action" dataDxfId="6688"/>
    <tableColumn id="3" xr3:uid="{0EC17B30-D216-4350-A0C4-801DD98218A4}" name="Message | Input" dataDxfId="6687"/>
    <tableColumn id="5" xr3:uid="{0A37A24F-0E81-4E3B-8B66-42AA7DA5E291}" name="PEG" dataDxfId="6686"/>
    <tableColumn id="4" xr3:uid="{693C0010-C5F6-4558-8920-97CC4D531F33}" name="Notes &amp; Data Settings" dataDxfId="6685"/>
  </tableColumns>
  <tableStyleInfo name="TableStyleLight1" showFirstColumn="0" showLastColumn="0" showRowStripes="1" showColumnStripes="0"/>
</table>
</file>

<file path=xl/tables/table1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7" xr:uid="{C20ACCD7-E605-4719-8173-9BAE95D3A906}" name="Table257519913140106110151155158" displayName="Table257519913140106110151155158" ref="A7:E44" totalsRowShown="0" headerRowDxfId="6684" headerRowBorderDxfId="6683" tableBorderDxfId="6682" totalsRowBorderDxfId="6681">
  <autoFilter ref="A7:E44" xr:uid="{AFF03A27-C51E-4100-88AB-62C6C77448A5}"/>
  <tableColumns count="5">
    <tableColumn id="1" xr3:uid="{3807D726-6219-4805-8153-238D720DB34A}" name="Step" dataDxfId="6680"/>
    <tableColumn id="2" xr3:uid="{F15B40A1-625C-432F-A86E-5EDECB8455A0}" name="Action" dataDxfId="6679"/>
    <tableColumn id="3" xr3:uid="{BD293BE0-6697-4A23-A830-AE3A143060C5}" name="Message | Input" dataDxfId="6678"/>
    <tableColumn id="5" xr3:uid="{53449B28-649F-4AEE-88B9-38F230F83D66}" name="PEG" dataDxfId="6677"/>
    <tableColumn id="4" xr3:uid="{BB9F06E1-BFE5-49E0-81DC-9282E84F2CE2}" name="Notes &amp; Data Settings" dataDxfId="6676"/>
  </tableColumns>
  <tableStyleInfo name="TableStyleLight1"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00000000-000C-0000-FFFF-FFFF0C000000}" name="Table2575525269111220212223" displayName="Table2575525269111220212223" ref="A7:E18" totalsRowShown="0" headerRowDxfId="7728" headerRowBorderDxfId="7727" tableBorderDxfId="7726" totalsRowBorderDxfId="7725">
  <autoFilter ref="A7:E18" xr:uid="{00000000-0009-0000-0100-000016000000}"/>
  <tableColumns count="5">
    <tableColumn id="1" xr3:uid="{00000000-0010-0000-0C00-000001000000}" name="Step" dataDxfId="7724"/>
    <tableColumn id="2" xr3:uid="{00000000-0010-0000-0C00-000002000000}" name="Action" dataDxfId="7723"/>
    <tableColumn id="3" xr3:uid="{00000000-0010-0000-0C00-000003000000}" name="Message | Input" dataDxfId="7722"/>
    <tableColumn id="5" xr3:uid="{00000000-0010-0000-0C00-000005000000}" name="PEG" dataDxfId="7721"/>
    <tableColumn id="4" xr3:uid="{00000000-0010-0000-0C00-000004000000}" name="Notes &amp; Data Settings" dataDxfId="7720"/>
  </tableColumns>
  <tableStyleInfo name="TableStyleLight1" showFirstColumn="0" showLastColumn="0" showRowStripes="1" showColumnStripes="0"/>
</table>
</file>

<file path=xl/tables/table1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9" xr:uid="{42588C80-16E5-43DB-9190-68605D85576E}" name="Table257519913140106110151155160" displayName="Table257519913140106110151155160" ref="A7:E44" totalsRowShown="0" headerRowDxfId="6675" headerRowBorderDxfId="6674" tableBorderDxfId="6673" totalsRowBorderDxfId="6672">
  <autoFilter ref="A7:E44" xr:uid="{DC079AC5-BC01-4C65-8822-8CFA43E39CC2}"/>
  <tableColumns count="5">
    <tableColumn id="1" xr3:uid="{46AB792F-E6BE-42CA-9BA7-B9B3099AFCB6}" name="Step" dataDxfId="6671"/>
    <tableColumn id="2" xr3:uid="{5ADE4A92-A29C-46CF-9333-89198D400318}" name="Action" dataDxfId="6670"/>
    <tableColumn id="3" xr3:uid="{94D32368-F14D-4F23-B5A4-9693657B3416}" name="Message | Input" dataDxfId="6669"/>
    <tableColumn id="5" xr3:uid="{78803E32-327E-4FBA-A02F-B7E29D13FD26}" name="PEG" dataDxfId="6668"/>
    <tableColumn id="4" xr3:uid="{501D26F8-B638-4868-B154-CB3FCB7BFB4D}" name="Notes &amp; Data Settings" dataDxfId="6667"/>
  </tableColumns>
  <tableStyleInfo name="TableStyleLight1" showFirstColumn="0" showLastColumn="0" showRowStripes="1" showColumnStripes="0"/>
</table>
</file>

<file path=xl/tables/table13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1" xr:uid="{7DF61113-B529-4A92-A714-3EAE5AE7FAAE}" name="Table257519913140106110151155162" displayName="Table257519913140106110151155162" ref="A7:E44" totalsRowShown="0" headerRowDxfId="6666" headerRowBorderDxfId="6665" tableBorderDxfId="6664" totalsRowBorderDxfId="6663">
  <autoFilter ref="A7:E44" xr:uid="{0D82B41B-4704-451A-9464-7C7D18F5A4CF}"/>
  <tableColumns count="5">
    <tableColumn id="1" xr3:uid="{9721D60D-1571-41D8-BCD7-545253210F65}" name="Step" dataDxfId="6662"/>
    <tableColumn id="2" xr3:uid="{315DC00C-C348-4FF1-91D0-158396E1DE96}" name="Action" dataDxfId="6661"/>
    <tableColumn id="3" xr3:uid="{B2076E2A-E789-442B-AE93-7067B60D39C8}" name="Message | Input" dataDxfId="6660"/>
    <tableColumn id="5" xr3:uid="{9E398AF3-439F-440F-9ADD-22E7C3267B3E}" name="PEG" dataDxfId="6659"/>
    <tableColumn id="4" xr3:uid="{75DEF5D0-12B7-44A8-ACC4-DDB8A7AA3D53}" name="Notes &amp; Data Settings" dataDxfId="6658"/>
  </tableColumns>
  <tableStyleInfo name="TableStyleLight1" showFirstColumn="0" showLastColumn="0" showRowStripes="1" showColumnStripes="0"/>
</table>
</file>

<file path=xl/tables/table13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3" xr:uid="{0CC3A7F3-6B61-462A-AEF3-68ABF01CE500}" name="Table257519913140106110151155164" displayName="Table257519913140106110151155164" ref="A7:E44" totalsRowShown="0" headerRowDxfId="6657" headerRowBorderDxfId="6656" tableBorderDxfId="6655" totalsRowBorderDxfId="6654">
  <autoFilter ref="A7:E44" xr:uid="{A14D0F5A-0205-4379-8797-1078263F1312}"/>
  <tableColumns count="5">
    <tableColumn id="1" xr3:uid="{35080861-B710-4DD8-967D-38B207E0C64D}" name="Step" dataDxfId="6653"/>
    <tableColumn id="2" xr3:uid="{FE87D2B7-ACF8-4CF3-93AF-6E5C2B6CF440}" name="Action" dataDxfId="6652"/>
    <tableColumn id="3" xr3:uid="{829DFD65-6CE3-4E2F-9F7F-642BE823855B}" name="Message | Input" dataDxfId="6651"/>
    <tableColumn id="5" xr3:uid="{AFBC8753-BF62-434D-92A4-2D386BAD90BD}" name="PEG" dataDxfId="6650"/>
    <tableColumn id="4" xr3:uid="{EC92FF87-B7D5-4972-A8A1-D75FFC1F188D}" name="Notes &amp; Data Settings" dataDxfId="6649"/>
  </tableColumns>
  <tableStyleInfo name="TableStyleLight1" showFirstColumn="0" showLastColumn="0" showRowStripes="1" showColumnStripes="0"/>
</table>
</file>

<file path=xl/tables/table13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5" xr:uid="{C8BB597B-2045-4D82-9422-422E90475E62}" name="Table257519913140106110151155166" displayName="Table257519913140106110151155166" ref="A7:E44" totalsRowShown="0" headerRowDxfId="6648" headerRowBorderDxfId="6647" tableBorderDxfId="6646" totalsRowBorderDxfId="6645">
  <autoFilter ref="A7:E44" xr:uid="{09BD6B9F-F027-4680-A01E-2512710F0A1E}"/>
  <tableColumns count="5">
    <tableColumn id="1" xr3:uid="{5005F402-7BA7-47AF-BDF0-72492D00B649}" name="Step" dataDxfId="6644"/>
    <tableColumn id="2" xr3:uid="{794F9874-B35B-4283-B79E-C7D7F05DC3C9}" name="Action" dataDxfId="6643"/>
    <tableColumn id="3" xr3:uid="{EFD52E76-6C2D-4E34-A8A7-4D49A5F74690}" name="Message | Input" dataDxfId="6642"/>
    <tableColumn id="5" xr3:uid="{E890645F-E29B-4E6C-978D-6F5384C753FC}" name="PEG" dataDxfId="6641"/>
    <tableColumn id="4" xr3:uid="{793D5833-5E69-4A40-9148-820BDD948360}" name="Notes &amp; Data Settings" dataDxfId="6640"/>
  </tableColumns>
  <tableStyleInfo name="TableStyleLight1" showFirstColumn="0" showLastColumn="0" showRowStripes="1" showColumnStripes="0"/>
</table>
</file>

<file path=xl/tables/table13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7" xr:uid="{46F61BEA-27B1-47F5-A6D3-1C66513AD770}" name="Table257519913140106110151155168" displayName="Table257519913140106110151155168" ref="A7:E44" totalsRowShown="0" headerRowDxfId="6639" headerRowBorderDxfId="6638" tableBorderDxfId="6637" totalsRowBorderDxfId="6636">
  <autoFilter ref="A7:E44" xr:uid="{A2269D8A-ECCA-4BEB-B505-B42E1029D861}"/>
  <tableColumns count="5">
    <tableColumn id="1" xr3:uid="{15F19231-28A9-4177-B27D-67E12A03AE41}" name="Step" dataDxfId="6635"/>
    <tableColumn id="2" xr3:uid="{1E48397C-9511-4069-ACCA-65D7EE1F178A}" name="Action" dataDxfId="6634"/>
    <tableColumn id="3" xr3:uid="{39FED7B8-6BA2-4DD9-BCDE-78AB65BBF306}" name="Message | Input" dataDxfId="6633"/>
    <tableColumn id="5" xr3:uid="{ACA6D922-F527-4017-9338-FF0C150DD903}" name="PEG" dataDxfId="6632"/>
    <tableColumn id="4" xr3:uid="{4C4AB9A8-D48F-4F53-B69C-FF22F0CC702B}" name="Notes &amp; Data Settings" dataDxfId="6631"/>
  </tableColumns>
  <tableStyleInfo name="TableStyleLight1" showFirstColumn="0" showLastColumn="0" showRowStripes="1" showColumnStripes="0"/>
</table>
</file>

<file path=xl/tables/table13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9" xr:uid="{BC8FB2FC-865E-485C-8EB7-A7705BAF5E2A}" name="Table257519913140106110151155170" displayName="Table257519913140106110151155170" ref="A7:E44" totalsRowShown="0" headerRowDxfId="6630" headerRowBorderDxfId="6629" tableBorderDxfId="6628" totalsRowBorderDxfId="6627">
  <autoFilter ref="A7:E44" xr:uid="{7D8C7020-EE6A-4B93-B2A0-192125C22AA6}"/>
  <tableColumns count="5">
    <tableColumn id="1" xr3:uid="{8ECF746B-37FD-4925-A17F-D62DAD06D4DC}" name="Step" dataDxfId="6626"/>
    <tableColumn id="2" xr3:uid="{516DACAB-0A9F-4908-9C9C-8683B1EE9F84}" name="Action" dataDxfId="6625"/>
    <tableColumn id="3" xr3:uid="{7B65BC2C-2461-4A5D-A590-C719B394AA1C}" name="Message | Input" dataDxfId="6624"/>
    <tableColumn id="5" xr3:uid="{ABFFD784-1B96-42EE-A552-5652AA04B233}" name="PEG" dataDxfId="6623"/>
    <tableColumn id="4" xr3:uid="{91E047DF-4C48-45DE-8F84-C5139976957B}" name="Notes &amp; Data Settings" dataDxfId="6622"/>
  </tableColumns>
  <tableStyleInfo name="TableStyleLight1" showFirstColumn="0" showLastColumn="0" showRowStripes="1" showColumnStripes="0"/>
</table>
</file>

<file path=xl/tables/table13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1" xr:uid="{F0979898-EE7F-4647-AFDD-D1BF2AE5920C}" name="Table257519913140106110151155170172" displayName="Table257519913140106110151155170172" ref="A7:E44" totalsRowShown="0" headerRowDxfId="6621" headerRowBorderDxfId="6620" tableBorderDxfId="6619" totalsRowBorderDxfId="6618">
  <autoFilter ref="A7:E44" xr:uid="{9ACADDCF-3B60-49F7-A385-512DEE912778}"/>
  <tableColumns count="5">
    <tableColumn id="1" xr3:uid="{3BC5230D-468C-46D3-8715-EC24751F1EE7}" name="Step" dataDxfId="6617"/>
    <tableColumn id="2" xr3:uid="{39E39390-972B-4341-BABC-C17508127C6D}" name="Action" dataDxfId="6616"/>
    <tableColumn id="3" xr3:uid="{F6B5A315-A01F-4C92-B733-677C28771DD8}" name="Message | Input" dataDxfId="6615"/>
    <tableColumn id="5" xr3:uid="{D7EBF7EB-63A4-4E06-ABCC-9A7F34B22F94}" name="PEG" dataDxfId="6614"/>
    <tableColumn id="4" xr3:uid="{89EBE9FA-CB83-42E0-850F-3883E699E48A}" name="Notes &amp; Data Settings" dataDxfId="6613"/>
  </tableColumns>
  <tableStyleInfo name="TableStyleLight1" showFirstColumn="0" showLastColumn="0" showRowStripes="1" showColumnStripes="0"/>
</table>
</file>

<file path=xl/tables/table13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3" xr:uid="{1898AA00-0E6F-4DB1-A731-B040DDC1E4A8}" name="Table257519913140106110151155170174" displayName="Table257519913140106110151155170174" ref="A7:E44" totalsRowShown="0" headerRowDxfId="6612" headerRowBorderDxfId="6611" tableBorderDxfId="6610" totalsRowBorderDxfId="6609">
  <autoFilter ref="A7:E44" xr:uid="{58E2FFD0-75D3-4DF5-91CA-F98D7ACD0087}"/>
  <tableColumns count="5">
    <tableColumn id="1" xr3:uid="{570F26FD-FC97-4D45-B495-70E00319B798}" name="Step" dataDxfId="6608"/>
    <tableColumn id="2" xr3:uid="{2571FC70-7813-4B5C-97A9-2D3B5E3F7B07}" name="Action" dataDxfId="6607"/>
    <tableColumn id="3" xr3:uid="{DE0F09C1-9D4F-43B9-8800-DCF4A1113443}" name="Message | Input" dataDxfId="6606"/>
    <tableColumn id="5" xr3:uid="{2D415107-CC57-480C-A0B2-0B6066DF8129}" name="PEG" dataDxfId="6605"/>
    <tableColumn id="4" xr3:uid="{E592516E-8CF3-4290-9D87-51B5F73FAF1C}" name="Notes &amp; Data Settings" dataDxfId="6604"/>
  </tableColumns>
  <tableStyleInfo name="TableStyleLight1" showFirstColumn="0" showLastColumn="0" showRowStripes="1" showColumnStripes="0"/>
</table>
</file>

<file path=xl/tables/table13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5" xr:uid="{6DFDF57B-10E5-4038-884C-9E3C9A1F4167}" name="Table257519913140106110151155170176" displayName="Table257519913140106110151155170176" ref="A7:E44" totalsRowShown="0" headerRowDxfId="6603" headerRowBorderDxfId="6602" tableBorderDxfId="6601" totalsRowBorderDxfId="6600">
  <autoFilter ref="A7:E44" xr:uid="{D8321699-2DD8-4EE2-90FA-66614AEB1AB9}"/>
  <tableColumns count="5">
    <tableColumn id="1" xr3:uid="{AC199FBD-2532-4F1D-8DA1-EDC51232A75A}" name="Step" dataDxfId="6599"/>
    <tableColumn id="2" xr3:uid="{C93453D6-B6D4-4A80-B5F1-AA05829DDF5F}" name="Action" dataDxfId="6598"/>
    <tableColumn id="3" xr3:uid="{88F453A2-9D14-4531-9798-445D85B1EED2}" name="Message | Input" dataDxfId="6597"/>
    <tableColumn id="5" xr3:uid="{2C7C70F1-84A1-455D-9CAC-AA53CBA49E8D}" name="PEG" dataDxfId="6596"/>
    <tableColumn id="4" xr3:uid="{68B4532A-B1C5-451A-8FEE-43E30D8713BB}" name="Notes &amp; Data Settings" dataDxfId="6595"/>
  </tableColumns>
  <tableStyleInfo name="TableStyleLight1" showFirstColumn="0" showLastColumn="0" showRowStripes="1" showColumnStripes="0"/>
</table>
</file>

<file path=xl/tables/table13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7" xr:uid="{1AEA6FF2-849C-4BCD-BE84-265DE397E9D6}" name="Table257519913140106110151155170178" displayName="Table257519913140106110151155170178" ref="A7:E44" totalsRowShown="0" headerRowDxfId="6594" headerRowBorderDxfId="6593" tableBorderDxfId="6592" totalsRowBorderDxfId="6591">
  <autoFilter ref="A7:E44" xr:uid="{C3FBF5AD-97E3-4EC1-8C9E-86D041039A10}"/>
  <tableColumns count="5">
    <tableColumn id="1" xr3:uid="{6896968C-2FBD-4928-8AA9-C6A56FAF6F7F}" name="Step" dataDxfId="6590"/>
    <tableColumn id="2" xr3:uid="{4EF16FED-A35A-4CF6-983D-AD9EFF586F0C}" name="Action" dataDxfId="6589"/>
    <tableColumn id="3" xr3:uid="{81FE6B83-7765-4020-9316-2DCB2117BF4F}" name="Message | Input" dataDxfId="6588"/>
    <tableColumn id="5" xr3:uid="{C70EC5ED-A130-46BF-9567-2AF92B20224C}" name="PEG" dataDxfId="6587"/>
    <tableColumn id="4" xr3:uid="{775FB66C-DD4F-4C0D-9996-32014F494A1E}" name="Notes &amp; Data Settings" dataDxfId="6586"/>
  </tableColumns>
  <tableStyleInfo name="TableStyleLight1"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00000000-000C-0000-FFFF-FFFF0D000000}" name="Table25755252691024" displayName="Table25755252691024" ref="A7:E33" totalsRowShown="0" headerRowDxfId="7719" headerRowBorderDxfId="7718" tableBorderDxfId="7717" totalsRowBorderDxfId="7716">
  <autoFilter ref="A7:E33" xr:uid="{00000000-0009-0000-0100-000017000000}"/>
  <tableColumns count="5">
    <tableColumn id="1" xr3:uid="{00000000-0010-0000-0D00-000001000000}" name="Step" dataDxfId="7715"/>
    <tableColumn id="2" xr3:uid="{00000000-0010-0000-0D00-000002000000}" name="Action" dataDxfId="7714"/>
    <tableColumn id="3" xr3:uid="{00000000-0010-0000-0D00-000003000000}" name="Message | Input" dataDxfId="7713"/>
    <tableColumn id="5" xr3:uid="{00000000-0010-0000-0D00-000005000000}" name="PEG" dataDxfId="7712"/>
    <tableColumn id="4" xr3:uid="{00000000-0010-0000-0D00-000004000000}" name="Notes &amp; Data Settings" dataDxfId="7711"/>
  </tableColumns>
  <tableStyleInfo name="TableStyleLight1" showFirstColumn="0" showLastColumn="0" showRowStripes="1" showColumnStripes="0"/>
</table>
</file>

<file path=xl/tables/table14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9" xr:uid="{82EA5166-BEDC-4710-AFCE-6B6C000E996D}" name="Table257519913140106110151155170178180" displayName="Table257519913140106110151155170178180" ref="A7:E44" totalsRowShown="0" headerRowDxfId="6585" headerRowBorderDxfId="6584" tableBorderDxfId="6583" totalsRowBorderDxfId="6582">
  <autoFilter ref="A7:E44" xr:uid="{D5CDB62B-E460-4F8A-811B-8F365BBCFB94}"/>
  <tableColumns count="5">
    <tableColumn id="1" xr3:uid="{027ECF57-9C35-43DE-9136-2846C3F7E2A1}" name="Step" dataDxfId="6581"/>
    <tableColumn id="2" xr3:uid="{60E1F777-D166-448E-BDE8-20FF99916304}" name="Action" dataDxfId="6580"/>
    <tableColumn id="3" xr3:uid="{D6BBBFE5-AD43-4F30-A2D4-6C45534F8F97}" name="Message | Input" dataDxfId="6579"/>
    <tableColumn id="5" xr3:uid="{41122CEA-DF7B-4178-AC05-CEE44489F349}" name="PEG" dataDxfId="6578"/>
    <tableColumn id="4" xr3:uid="{D95EDE74-814B-4FDB-A550-A4C8151BEB16}" name="Notes &amp; Data Settings" dataDxfId="6577"/>
  </tableColumns>
  <tableStyleInfo name="TableStyleLight1" showFirstColumn="0" showLastColumn="0" showRowStripes="1" showColumnStripes="0"/>
</table>
</file>

<file path=xl/tables/table14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1" xr:uid="{0D8C3EE3-8E4C-45D2-98D6-21D134BD9FFF}" name="Table257519913140106110151155170178182" displayName="Table257519913140106110151155170178182" ref="A7:E44" totalsRowShown="0" headerRowDxfId="6576" headerRowBorderDxfId="6575" tableBorderDxfId="6574" totalsRowBorderDxfId="6573">
  <autoFilter ref="A7:E44" xr:uid="{F713F04B-A08C-4B67-8081-DE2C1218CF74}"/>
  <tableColumns count="5">
    <tableColumn id="1" xr3:uid="{6C1BA28F-FBFA-42BB-A869-7CE76A2DC300}" name="Step" dataDxfId="6572"/>
    <tableColumn id="2" xr3:uid="{99DE5394-170A-4C1A-A3CB-507B23460C29}" name="Action" dataDxfId="6571"/>
    <tableColumn id="3" xr3:uid="{803C9878-9017-4D79-9D13-206F8B6056F6}" name="Message | Input" dataDxfId="6570"/>
    <tableColumn id="5" xr3:uid="{27FE4703-6E37-444F-92B9-4C0A32637ABE}" name="PEG" dataDxfId="6569"/>
    <tableColumn id="4" xr3:uid="{01C847BE-B88B-4419-A8CB-0994875F52AD}" name="Notes &amp; Data Settings" dataDxfId="6568"/>
  </tableColumns>
  <tableStyleInfo name="TableStyleLight1" showFirstColumn="0" showLastColumn="0" showRowStripes="1" showColumnStripes="0"/>
</table>
</file>

<file path=xl/tables/table14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3" xr:uid="{8CB360AB-2E99-4C1B-B3E0-AB4E8A4644AC}" name="Table257519913140106110151155170178184" displayName="Table257519913140106110151155170178184" ref="A7:E44" totalsRowShown="0" headerRowDxfId="6567" headerRowBorderDxfId="6566" tableBorderDxfId="6565" totalsRowBorderDxfId="6564">
  <autoFilter ref="A7:E44" xr:uid="{B60A9A71-E8DC-4204-A043-77B239B6F9DF}"/>
  <tableColumns count="5">
    <tableColumn id="1" xr3:uid="{9C901EF1-B047-47CE-9FF3-C4B580F77C8A}" name="Step" dataDxfId="6563"/>
    <tableColumn id="2" xr3:uid="{0E15D870-B18E-40A5-99CB-D1235B105ED6}" name="Action" dataDxfId="6562"/>
    <tableColumn id="3" xr3:uid="{61631878-7B44-4FDE-BE28-0BCD6DCC201D}" name="Message | Input" dataDxfId="6561"/>
    <tableColumn id="5" xr3:uid="{7BEB41CA-29DD-4FDA-B1B2-75E367DDC698}" name="PEG" dataDxfId="6560"/>
    <tableColumn id="4" xr3:uid="{71B399C9-97E9-4BE6-B6B4-D6FB6895EDF7}" name="Notes &amp; Data Settings" dataDxfId="6559"/>
  </tableColumns>
  <tableStyleInfo name="TableStyleLight1" showFirstColumn="0" showLastColumn="0" showRowStripes="1" showColumnStripes="0"/>
</table>
</file>

<file path=xl/tables/table14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5" xr:uid="{8FDDACED-F5FC-4B46-BDE0-19E669BDA809}" name="Table257519913140106110151155170178186" displayName="Table257519913140106110151155170178186" ref="A7:E44" totalsRowShown="0" headerRowDxfId="6558" headerRowBorderDxfId="6557" tableBorderDxfId="6556" totalsRowBorderDxfId="6555">
  <autoFilter ref="A7:E44" xr:uid="{A3DEF1A1-8E94-4094-8623-CD8CD6432859}"/>
  <tableColumns count="5">
    <tableColumn id="1" xr3:uid="{57F39B86-5684-4B73-8000-483E8EEA3889}" name="Step" dataDxfId="6554"/>
    <tableColumn id="2" xr3:uid="{C6C68C2B-B10B-43DF-AFEF-8C45B4EE2A5E}" name="Action" dataDxfId="6553"/>
    <tableColumn id="3" xr3:uid="{EAFDA65C-5925-43B2-B181-11535594B096}" name="Message | Input" dataDxfId="6552"/>
    <tableColumn id="5" xr3:uid="{63FB1D26-E1E8-4B00-8290-7936A1920124}" name="PEG" dataDxfId="6551"/>
    <tableColumn id="4" xr3:uid="{BB6B96F3-61E5-4967-8686-5C7E79FAD4CA}" name="Notes &amp; Data Settings" dataDxfId="6550"/>
  </tableColumns>
  <tableStyleInfo name="TableStyleLight1" showFirstColumn="0" showLastColumn="0" showRowStripes="1" showColumnStripes="0"/>
</table>
</file>

<file path=xl/tables/table14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7" xr:uid="{AED15E9E-F4FF-49EB-9661-12C326188C3D}" name="Table257519913140106110151155170178188" displayName="Table257519913140106110151155170178188" ref="A7:E44" totalsRowShown="0" headerRowDxfId="6549" headerRowBorderDxfId="6548" tableBorderDxfId="6547" totalsRowBorderDxfId="6546">
  <autoFilter ref="A7:E44" xr:uid="{BB958737-C19A-435A-9307-7508851D8730}"/>
  <tableColumns count="5">
    <tableColumn id="1" xr3:uid="{902DD189-0303-40BE-AB86-391C94E078FE}" name="Step" dataDxfId="6545"/>
    <tableColumn id="2" xr3:uid="{A59D0DC5-09D9-40BD-9BCF-F91F4F51F4B0}" name="Action" dataDxfId="6544"/>
    <tableColumn id="3" xr3:uid="{927B9DFC-FBB4-4807-B88B-0FB0D9914E7B}" name="Message | Input" dataDxfId="6543"/>
    <tableColumn id="5" xr3:uid="{BB44BE1F-A4F3-4B7B-875C-9267CED7AE70}" name="PEG" dataDxfId="6542"/>
    <tableColumn id="4" xr3:uid="{B74BD45A-80B3-4931-943D-A75D774C0177}" name="Notes &amp; Data Settings" dataDxfId="6541"/>
  </tableColumns>
  <tableStyleInfo name="TableStyleLight1" showFirstColumn="0" showLastColumn="0" showRowStripes="1" showColumnStripes="0"/>
</table>
</file>

<file path=xl/tables/table14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9" xr:uid="{D51C3406-A27E-4D2E-A2BB-C46E83046EE8}" name="Table257519913140106110151155170178190" displayName="Table257519913140106110151155170178190" ref="A7:E44" totalsRowShown="0" headerRowDxfId="6540" headerRowBorderDxfId="6539" tableBorderDxfId="6538" totalsRowBorderDxfId="6537">
  <autoFilter ref="A7:E44" xr:uid="{3F5CAC5E-C563-443A-B591-ADF8F963732D}"/>
  <tableColumns count="5">
    <tableColumn id="1" xr3:uid="{27D0AB39-3939-4A30-B83A-0FDE7D26034E}" name="Step" dataDxfId="6536"/>
    <tableColumn id="2" xr3:uid="{9772203F-7251-4393-AE24-7A23295ABCFC}" name="Action" dataDxfId="6535"/>
    <tableColumn id="3" xr3:uid="{5706E83B-29AC-4AA1-9B33-F8ED2C76CFB3}" name="Message | Input" dataDxfId="6534"/>
    <tableColumn id="5" xr3:uid="{5D27EFF9-0798-49DE-8A60-4A68ED2EF785}" name="PEG" dataDxfId="6533"/>
    <tableColumn id="4" xr3:uid="{88F321D3-E5F4-487C-BD13-1C7AF943F30F}" name="Notes &amp; Data Settings" dataDxfId="6532"/>
  </tableColumns>
  <tableStyleInfo name="TableStyleLight1" showFirstColumn="0" showLastColumn="0" showRowStripes="1" showColumnStripes="0"/>
</table>
</file>

<file path=xl/tables/table14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1" xr:uid="{A016A984-74A5-420D-ABB8-21A208FAF222}" name="Table257519913140106110151155170178192" displayName="Table257519913140106110151155170178192" ref="A7:E44" totalsRowShown="0" headerRowDxfId="6531" headerRowBorderDxfId="6530" tableBorderDxfId="6529" totalsRowBorderDxfId="6528">
  <autoFilter ref="A7:E44" xr:uid="{F215E6F9-C487-4D96-BE3D-410AEE044EAE}"/>
  <tableColumns count="5">
    <tableColumn id="1" xr3:uid="{12058B38-784F-4D6D-9B8C-56DE83629F22}" name="Step" dataDxfId="6527"/>
    <tableColumn id="2" xr3:uid="{DFA61370-E5D4-4D0B-BEF8-396C960DE7AB}" name="Action" dataDxfId="6526"/>
    <tableColumn id="3" xr3:uid="{F84D4BC2-88B3-48AB-980F-348EDB990F5E}" name="Message | Input" dataDxfId="6525"/>
    <tableColumn id="5" xr3:uid="{FDFD8A96-B3D3-447C-9D38-3219A8BF16CE}" name="PEG" dataDxfId="6524"/>
    <tableColumn id="4" xr3:uid="{073BF010-948F-4350-88AD-F759347A7994}" name="Notes &amp; Data Settings" dataDxfId="6523"/>
  </tableColumns>
  <tableStyleInfo name="TableStyleLight1" showFirstColumn="0" showLastColumn="0" showRowStripes="1" showColumnStripes="0"/>
</table>
</file>

<file path=xl/tables/table14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3" xr:uid="{9E5492B6-5751-41D7-ABFE-066369571E63}" name="Table257519913140106110151155170178194" displayName="Table257519913140106110151155170178194" ref="A7:E44" totalsRowShown="0" headerRowDxfId="6522" headerRowBorderDxfId="6521" tableBorderDxfId="6520" totalsRowBorderDxfId="6519">
  <autoFilter ref="A7:E44" xr:uid="{5511AE7C-9F87-4A35-8BAC-5F519C90997D}"/>
  <tableColumns count="5">
    <tableColumn id="1" xr3:uid="{AA88BD40-5B42-46D8-B1C8-B73FB165FB54}" name="Step" dataDxfId="6518"/>
    <tableColumn id="2" xr3:uid="{DAF8C0B7-65E3-450A-BF4C-8EC3BA407ECA}" name="Action" dataDxfId="6517"/>
    <tableColumn id="3" xr3:uid="{929EF6B7-6C9B-4742-B642-0941EA349F58}" name="Message | Input" dataDxfId="6516"/>
    <tableColumn id="5" xr3:uid="{CE0E352C-CF6F-40A1-9991-B58538AD1DC6}" name="PEG" dataDxfId="6515"/>
    <tableColumn id="4" xr3:uid="{2AE3061E-C397-4FCB-A901-20EFCD3ED787}" name="Notes &amp; Data Settings" dataDxfId="6514"/>
  </tableColumns>
  <tableStyleInfo name="TableStyleLight1" showFirstColumn="0" showLastColumn="0" showRowStripes="1" showColumnStripes="0"/>
</table>
</file>

<file path=xl/tables/table14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5" xr:uid="{36D2D3B5-E62C-4194-9325-8A418C397BFA}" name="Table257519913140106110151155170178196" displayName="Table257519913140106110151155170178196" ref="A7:E44" totalsRowShown="0" headerRowDxfId="6513" headerRowBorderDxfId="6512" tableBorderDxfId="6511" totalsRowBorderDxfId="6510">
  <autoFilter ref="A7:E44" xr:uid="{BAA0485E-48EF-4662-A327-414AC7ECCA8B}"/>
  <tableColumns count="5">
    <tableColumn id="1" xr3:uid="{70724B00-03A0-4740-A08C-7BDA881F2D19}" name="Step" dataDxfId="6509"/>
    <tableColumn id="2" xr3:uid="{2DDCCC23-2590-4C86-BEE0-779496579149}" name="Action" dataDxfId="6508"/>
    <tableColumn id="3" xr3:uid="{3119405C-2286-4EB2-B44A-07E7B682D139}" name="Message | Input" dataDxfId="6507"/>
    <tableColumn id="5" xr3:uid="{5557187E-B4B3-4BEC-B331-BCA05DF50726}" name="PEG" dataDxfId="6506"/>
    <tableColumn id="4" xr3:uid="{8375B9A4-5FD2-4FDB-84CA-34DA87FF339E}" name="Notes &amp; Data Settings" dataDxfId="6505"/>
  </tableColumns>
  <tableStyleInfo name="TableStyleLight1" showFirstColumn="0" showLastColumn="0" showRowStripes="1" showColumnStripes="0"/>
</table>
</file>

<file path=xl/tables/table14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7" xr:uid="{34BD7FBA-E658-4345-9960-222E9782E17E}" name="Table257519913140106110151155170178198" displayName="Table257519913140106110151155170178198" ref="A7:E44" totalsRowShown="0" headerRowDxfId="6504" headerRowBorderDxfId="6503" tableBorderDxfId="6502" totalsRowBorderDxfId="6501">
  <autoFilter ref="A7:E44" xr:uid="{99E3BE9A-3DC1-4EF4-AF90-1E8F7B65A33F}"/>
  <tableColumns count="5">
    <tableColumn id="1" xr3:uid="{106F58C0-0790-4879-A267-302E6462C7DD}" name="Step" dataDxfId="6500"/>
    <tableColumn id="2" xr3:uid="{2E35B25F-1FD9-46DF-BBD2-518E3F363D5F}" name="Action" dataDxfId="6499"/>
    <tableColumn id="3" xr3:uid="{3945BB17-F675-48AF-8AFD-5BF23EB2B5E7}" name="Message | Input" dataDxfId="6498"/>
    <tableColumn id="5" xr3:uid="{1628AC2F-77B5-4421-B66A-AB0A846EE48D}" name="PEG" dataDxfId="6497"/>
    <tableColumn id="4" xr3:uid="{287D924E-5DE8-44CC-9BB7-098FBA641C37}" name="Notes &amp; Data Settings" dataDxfId="6496"/>
  </tableColumns>
  <tableStyleInfo name="TableStyleLight1"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00000000-000C-0000-FFFF-FFFF0E000000}" name="Table2575525269102425" displayName="Table2575525269102425" ref="A7:E18" totalsRowShown="0" headerRowDxfId="7710" headerRowBorderDxfId="7709" tableBorderDxfId="7708" totalsRowBorderDxfId="7707">
  <autoFilter ref="A7:E18" xr:uid="{00000000-0009-0000-0100-000018000000}"/>
  <tableColumns count="5">
    <tableColumn id="1" xr3:uid="{00000000-0010-0000-0E00-000001000000}" name="Step" dataDxfId="7706"/>
    <tableColumn id="2" xr3:uid="{00000000-0010-0000-0E00-000002000000}" name="Action" dataDxfId="7705"/>
    <tableColumn id="3" xr3:uid="{00000000-0010-0000-0E00-000003000000}" name="Message | Input" dataDxfId="7704"/>
    <tableColumn id="5" xr3:uid="{00000000-0010-0000-0E00-000005000000}" name="PEG" dataDxfId="7703"/>
    <tableColumn id="4" xr3:uid="{00000000-0010-0000-0E00-000004000000}" name="Notes &amp; Data Settings" dataDxfId="7702"/>
  </tableColumns>
  <tableStyleInfo name="TableStyleLight1" showFirstColumn="0" showLastColumn="0" showRowStripes="1" showColumnStripes="0"/>
</table>
</file>

<file path=xl/tables/table15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9" xr:uid="{FD9AE22E-3576-46DE-8659-F5C586A25943}" name="Table257519913140106110151155170178200" displayName="Table257519913140106110151155170178200" ref="A7:E44" totalsRowShown="0" headerRowDxfId="6495" headerRowBorderDxfId="6494" tableBorderDxfId="6493" totalsRowBorderDxfId="6492">
  <autoFilter ref="A7:E44" xr:uid="{5C906636-0817-4D76-9865-13917DB55BCB}"/>
  <tableColumns count="5">
    <tableColumn id="1" xr3:uid="{46BBCC70-CDC8-485C-B462-F6193E280BFC}" name="Step" dataDxfId="6491"/>
    <tableColumn id="2" xr3:uid="{A2963B24-34B8-407A-AA7A-4AB1865FF8BE}" name="Action" dataDxfId="6490"/>
    <tableColumn id="3" xr3:uid="{B67B3DA2-3545-4A48-9750-C5A7EEF404A7}" name="Message | Input" dataDxfId="6489"/>
    <tableColumn id="5" xr3:uid="{3B6087BC-7EB4-48B3-AFDD-B5B31AA6B38A}" name="PEG" dataDxfId="6488"/>
    <tableColumn id="4" xr3:uid="{51747FDF-2B90-4943-ACC7-4B5E50B8523D}" name="Notes &amp; Data Settings" dataDxfId="6487"/>
  </tableColumns>
  <tableStyleInfo name="TableStyleLight1" showFirstColumn="0" showLastColumn="0" showRowStripes="1" showColumnStripes="0"/>
</table>
</file>

<file path=xl/tables/table15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1" xr:uid="{1AE289D1-DAD5-4D03-A001-BBC6D5320304}" name="Table257519913140106110151155170178202" displayName="Table257519913140106110151155170178202" ref="A7:E44" totalsRowShown="0" headerRowDxfId="6486" headerRowBorderDxfId="6485" tableBorderDxfId="6484" totalsRowBorderDxfId="6483">
  <autoFilter ref="A7:E44" xr:uid="{EFBC800C-B96F-4877-8F13-6ED28878D9A2}"/>
  <tableColumns count="5">
    <tableColumn id="1" xr3:uid="{2F09710E-6767-4354-BA86-AC766A7264BA}" name="Step" dataDxfId="6482"/>
    <tableColumn id="2" xr3:uid="{B30FC565-4C35-4E83-9FB6-56454BE57D78}" name="Action" dataDxfId="6481"/>
    <tableColumn id="3" xr3:uid="{C56C4E13-93C7-4706-A499-B7EE07935B5A}" name="Message | Input" dataDxfId="6480"/>
    <tableColumn id="5" xr3:uid="{6F1E7168-601D-4A63-84DA-6346A5B08A30}" name="PEG" dataDxfId="6479"/>
    <tableColumn id="4" xr3:uid="{374EED8F-FD72-4750-84A0-93A6EBFE456C}" name="Notes &amp; Data Settings" dataDxfId="6478"/>
  </tableColumns>
  <tableStyleInfo name="TableStyleLight1" showFirstColumn="0" showLastColumn="0" showRowStripes="1" showColumnStripes="0"/>
</table>
</file>

<file path=xl/tables/table15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3" xr:uid="{DA93AB7C-0519-40F0-AB90-988832ED5D1C}" name="Table257519913140106110151155170178204" displayName="Table257519913140106110151155170178204" ref="A7:E44" totalsRowShown="0" headerRowDxfId="6477" headerRowBorderDxfId="6476" tableBorderDxfId="6475" totalsRowBorderDxfId="6474">
  <autoFilter ref="A7:E44" xr:uid="{70A967E1-0BA3-4E78-930F-BC2556488A16}"/>
  <tableColumns count="5">
    <tableColumn id="1" xr3:uid="{30FAC2EE-BDF5-4784-A248-06BC72A0CEEB}" name="Step" dataDxfId="6473"/>
    <tableColumn id="2" xr3:uid="{4A4017BD-A3D8-46AE-A92D-91E2D3D3272E}" name="Action" dataDxfId="6472"/>
    <tableColumn id="3" xr3:uid="{08A56BEC-D2B8-4955-8292-4F386E8F044B}" name="Message | Input" dataDxfId="6471"/>
    <tableColumn id="5" xr3:uid="{68A569EE-2F22-486A-9B76-E654FF3493FC}" name="PEG" dataDxfId="6470"/>
    <tableColumn id="4" xr3:uid="{20F99E3B-E06D-4D02-9BBB-52004E64757D}" name="Notes &amp; Data Settings" dataDxfId="6469"/>
  </tableColumns>
  <tableStyleInfo name="TableStyleLight1" showFirstColumn="0" showLastColumn="0" showRowStripes="1" showColumnStripes="0"/>
</table>
</file>

<file path=xl/tables/table15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6" xr:uid="{32D4A636-1B4C-4F5C-A94C-DA3F12B9A622}" name="Table257519913140106110151155170178204207" displayName="Table257519913140106110151155170178204207" ref="A7:E44" totalsRowShown="0" headerRowDxfId="6468" headerRowBorderDxfId="6467" tableBorderDxfId="6466" totalsRowBorderDxfId="6465">
  <autoFilter ref="A7:E44" xr:uid="{A82A3014-793B-401C-BB1A-6E52B9FFF206}"/>
  <tableColumns count="5">
    <tableColumn id="1" xr3:uid="{8FF2DDBF-8062-4FDC-A7C7-338AB626674D}" name="Step" dataDxfId="6464"/>
    <tableColumn id="2" xr3:uid="{6914B669-1E5B-49FA-8CFD-ABD89D56F83B}" name="Action" dataDxfId="6463"/>
    <tableColumn id="3" xr3:uid="{101E3F1F-2612-4D62-97AC-28BB1284287C}" name="Message | Input" dataDxfId="6462"/>
    <tableColumn id="5" xr3:uid="{B8C17958-0025-4CE3-93D2-01DCE000D57E}" name="PEG" dataDxfId="6461"/>
    <tableColumn id="4" xr3:uid="{934A4347-1AA5-444B-A673-AC0426E49531}" name="Notes &amp; Data Settings" dataDxfId="6460"/>
  </tableColumns>
  <tableStyleInfo name="TableStyleLight1" showFirstColumn="0" showLastColumn="0" showRowStripes="1" showColumnStripes="0"/>
</table>
</file>

<file path=xl/tables/table15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8" xr:uid="{53838F1E-7C81-4584-89D0-4FE0410272BC}" name="Table257519913140106110151155170178204209" displayName="Table257519913140106110151155170178204209" ref="A7:E44" totalsRowShown="0" headerRowDxfId="6459" headerRowBorderDxfId="6458" tableBorderDxfId="6457" totalsRowBorderDxfId="6456">
  <autoFilter ref="A7:E44" xr:uid="{755637A1-7B72-42D1-BB62-38067BDF3020}"/>
  <tableColumns count="5">
    <tableColumn id="1" xr3:uid="{4A134AF0-A6EA-4599-92BC-500CD1E43B19}" name="Step" dataDxfId="6455"/>
    <tableColumn id="2" xr3:uid="{FA11DB9C-EF27-42D2-B73D-4F53CB00D34D}" name="Action" dataDxfId="6454"/>
    <tableColumn id="3" xr3:uid="{92488A01-1172-4326-9638-88754F873CDB}" name="Message | Input" dataDxfId="6453"/>
    <tableColumn id="5" xr3:uid="{9A791089-AB7B-4714-8026-B74ABAA9FF23}" name="PEG" dataDxfId="6452"/>
    <tableColumn id="4" xr3:uid="{3884B3FF-E4CB-4C1C-89BE-D3EE0545EF52}" name="Notes &amp; Data Settings" dataDxfId="6451"/>
  </tableColumns>
  <tableStyleInfo name="TableStyleLight1" showFirstColumn="0" showLastColumn="0" showRowStripes="1" showColumnStripes="0"/>
</table>
</file>

<file path=xl/tables/table15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0" xr:uid="{DF03A715-9A33-4EA5-AA9E-89649B484386}" name="Table257519913140106110151155170178204211" displayName="Table257519913140106110151155170178204211" ref="A7:E44" totalsRowShown="0" headerRowDxfId="6450" headerRowBorderDxfId="6449" tableBorderDxfId="6448" totalsRowBorderDxfId="6447">
  <autoFilter ref="A7:E44" xr:uid="{45BAB2E7-08C6-4C72-A966-2BEAE3BFCE79}"/>
  <tableColumns count="5">
    <tableColumn id="1" xr3:uid="{701766FA-9B8E-49C8-9262-F3B35487EE57}" name="Step" dataDxfId="6446"/>
    <tableColumn id="2" xr3:uid="{9D1D7C7A-BC3F-48E3-83E0-869EC6DDEB45}" name="Action" dataDxfId="6445"/>
    <tableColumn id="3" xr3:uid="{615C3D8C-94FD-4593-ACB9-07716A370950}" name="Message | Input" dataDxfId="6444"/>
    <tableColumn id="5" xr3:uid="{562E3DCC-FE9F-4263-893C-67F4AD4DFAB2}" name="PEG" dataDxfId="6443"/>
    <tableColumn id="4" xr3:uid="{098836E8-DACC-42FC-8F86-F5C5FFF8E7BC}" name="Notes &amp; Data Settings" dataDxfId="6442"/>
  </tableColumns>
  <tableStyleInfo name="TableStyleLight1" showFirstColumn="0" showLastColumn="0" showRowStripes="1" showColumnStripes="0"/>
</table>
</file>

<file path=xl/tables/table15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2" xr:uid="{38DBEFE4-74FF-4C76-951E-0F585A76FAB6}" name="Table257519913140106110151155170178204213" displayName="Table257519913140106110151155170178204213" ref="A7:E44" totalsRowShown="0" headerRowDxfId="6441" headerRowBorderDxfId="6440" tableBorderDxfId="6439" totalsRowBorderDxfId="6438">
  <autoFilter ref="A7:E44" xr:uid="{4282965A-6BBC-4748-99D6-FB64F89931BA}"/>
  <tableColumns count="5">
    <tableColumn id="1" xr3:uid="{1AF07E01-8C03-445A-A6E2-704EDA48BA29}" name="Step" dataDxfId="6437"/>
    <tableColumn id="2" xr3:uid="{CA6E11E7-A6EA-42F3-842D-66E5601B2431}" name="Action" dataDxfId="6436"/>
    <tableColumn id="3" xr3:uid="{F6F9B0D8-F1A0-41A1-B6A2-0671CED33838}" name="Message | Input" dataDxfId="6435"/>
    <tableColumn id="5" xr3:uid="{15753336-6C0B-4978-996B-632AA9944258}" name="PEG" dataDxfId="6434"/>
    <tableColumn id="4" xr3:uid="{E6375690-261A-4F56-9627-F2B48916757E}" name="Notes &amp; Data Settings" dataDxfId="6433"/>
  </tableColumns>
  <tableStyleInfo name="TableStyleLight1" showFirstColumn="0" showLastColumn="0" showRowStripes="1" showColumnStripes="0"/>
</table>
</file>

<file path=xl/tables/table15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4" xr:uid="{0B0E391D-BB77-4D31-B634-0673391CC945}" name="Table257519913140106110151155170178204215" displayName="Table257519913140106110151155170178204215" ref="A7:E44" totalsRowShown="0" headerRowDxfId="6432" headerRowBorderDxfId="6431" tableBorderDxfId="6430" totalsRowBorderDxfId="6429">
  <autoFilter ref="A7:E44" xr:uid="{3EA4791A-F06A-4CD6-A1F7-66FB25028B25}"/>
  <tableColumns count="5">
    <tableColumn id="1" xr3:uid="{A36F9980-2D83-4B47-B954-2D8AE9F99AA3}" name="Step" dataDxfId="6428"/>
    <tableColumn id="2" xr3:uid="{433D461D-AD12-4F21-9784-458C81F05C13}" name="Action" dataDxfId="6427"/>
    <tableColumn id="3" xr3:uid="{4AC8547C-0C04-4F2D-858F-3110E4974671}" name="Message | Input" dataDxfId="6426"/>
    <tableColumn id="5" xr3:uid="{D09A3FE4-210E-4375-9156-98D7D1E35659}" name="PEG" dataDxfId="6425"/>
    <tableColumn id="4" xr3:uid="{0CA3E44A-A245-467D-839B-B7441F7B1431}" name="Notes &amp; Data Settings" dataDxfId="6424"/>
  </tableColumns>
  <tableStyleInfo name="TableStyleLight1" showFirstColumn="0" showLastColumn="0" showRowStripes="1" showColumnStripes="0"/>
</table>
</file>

<file path=xl/tables/table15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6" xr:uid="{0EF845F6-2488-4F33-AEF8-CABCF8AFFA0A}" name="Table257519913140106110151155170178204217" displayName="Table257519913140106110151155170178204217" ref="A7:E44" totalsRowShown="0" headerRowDxfId="6423" headerRowBorderDxfId="6422" tableBorderDxfId="6421" totalsRowBorderDxfId="6420">
  <autoFilter ref="A7:E44" xr:uid="{843EF760-C0C9-46A7-AC3C-5A34DE8F3D46}"/>
  <tableColumns count="5">
    <tableColumn id="1" xr3:uid="{CE2EFC8E-A6DE-46B8-BDF8-22C4C719268A}" name="Step" dataDxfId="6419"/>
    <tableColumn id="2" xr3:uid="{573F40D3-BBDE-44F9-8A98-4EF43DB73410}" name="Action" dataDxfId="6418"/>
    <tableColumn id="3" xr3:uid="{D781C53E-5626-4AF2-8009-7FD1345B4834}" name="Message | Input" dataDxfId="6417"/>
    <tableColumn id="5" xr3:uid="{E8E56E14-9A59-4832-812F-2103D1A76678}" name="PEG" dataDxfId="6416"/>
    <tableColumn id="4" xr3:uid="{F4C9D519-8608-4983-A166-B82B935EB43E}" name="Notes &amp; Data Settings" dataDxfId="6415"/>
  </tableColumns>
  <tableStyleInfo name="TableStyleLight1" showFirstColumn="0" showLastColumn="0" showRowStripes="1" showColumnStripes="0"/>
</table>
</file>

<file path=xl/tables/table15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8" xr:uid="{B126FB1C-F909-497B-AE27-1E8EDB388FFE}" name="Table257519913140106110151155170178204219" displayName="Table257519913140106110151155170178204219" ref="A7:E44" totalsRowShown="0" headerRowDxfId="6414" headerRowBorderDxfId="6413" tableBorderDxfId="6412" totalsRowBorderDxfId="6411">
  <autoFilter ref="A7:E44" xr:uid="{A2B0EA93-834B-4FE5-A132-1E54BBF11E4D}"/>
  <tableColumns count="5">
    <tableColumn id="1" xr3:uid="{B8EF95FC-0360-4898-A16B-C0290BEEB471}" name="Step" dataDxfId="6410"/>
    <tableColumn id="2" xr3:uid="{D31CC6EA-6938-40C5-A755-D1CEF2581148}" name="Action" dataDxfId="6409"/>
    <tableColumn id="3" xr3:uid="{B16387C1-FD40-4061-9736-4970419D3FF6}" name="Message | Input" dataDxfId="6408"/>
    <tableColumn id="5" xr3:uid="{31BE0A16-56B1-4526-AA85-B695CA85BDEF}" name="PEG" dataDxfId="6407"/>
    <tableColumn id="4" xr3:uid="{10A978C9-A346-43DA-AFEA-577358D5959A}" name="Notes &amp; Data Settings" dataDxfId="6406"/>
  </tableColumns>
  <tableStyleInfo name="TableStyleLight1"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 xr:uid="{00000000-000C-0000-FFFF-FFFF0F000000}" name="Table257552526910242533" displayName="Table257552526910242533" ref="A7:E18" totalsRowShown="0" headerRowDxfId="7701" headerRowBorderDxfId="7700" tableBorderDxfId="7699" totalsRowBorderDxfId="7698">
  <autoFilter ref="A7:E18" xr:uid="{00000000-0009-0000-0100-000020000000}"/>
  <tableColumns count="5">
    <tableColumn id="1" xr3:uid="{00000000-0010-0000-0F00-000001000000}" name="Step" dataDxfId="7697"/>
    <tableColumn id="2" xr3:uid="{00000000-0010-0000-0F00-000002000000}" name="Action" dataDxfId="7696"/>
    <tableColumn id="3" xr3:uid="{00000000-0010-0000-0F00-000003000000}" name="Message | Input" dataDxfId="7695"/>
    <tableColumn id="5" xr3:uid="{00000000-0010-0000-0F00-000005000000}" name="PEG" dataDxfId="7694"/>
    <tableColumn id="4" xr3:uid="{00000000-0010-0000-0F00-000004000000}" name="Notes &amp; Data Settings" dataDxfId="7693"/>
  </tableColumns>
  <tableStyleInfo name="TableStyleLight1" showFirstColumn="0" showLastColumn="0" showRowStripes="1" showColumnStripes="0"/>
</table>
</file>

<file path=xl/tables/table16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0" xr:uid="{26D33EE0-67BB-4E63-A869-F97E0C839D28}" name="Table257519913140106110151155170178204221" displayName="Table257519913140106110151155170178204221" ref="A7:E44" totalsRowShown="0" headerRowDxfId="6405" headerRowBorderDxfId="6404" tableBorderDxfId="6403" totalsRowBorderDxfId="6402">
  <autoFilter ref="A7:E44" xr:uid="{16D708EB-D8C5-4ADB-9FA3-85B50BD354DF}"/>
  <tableColumns count="5">
    <tableColumn id="1" xr3:uid="{37694F29-5E36-4A71-9ED7-53DF6756AA99}" name="Step" dataDxfId="6401"/>
    <tableColumn id="2" xr3:uid="{8E163EA4-BE1B-429F-88E4-A7D3E0C5F3F7}" name="Action" dataDxfId="6400"/>
    <tableColumn id="3" xr3:uid="{FC57BDEA-4E95-4ED8-B092-1700A979761A}" name="Message | Input" dataDxfId="6399"/>
    <tableColumn id="5" xr3:uid="{4B3DA737-C0FC-4CF1-901F-5910D7A01994}" name="PEG" dataDxfId="6398"/>
    <tableColumn id="4" xr3:uid="{2EFABE4E-187D-4EE1-AE64-2BD7A0D8855B}" name="Notes &amp; Data Settings" dataDxfId="6397"/>
  </tableColumns>
  <tableStyleInfo name="TableStyleLight1" showFirstColumn="0" showLastColumn="0" showRowStripes="1" showColumnStripes="0"/>
</table>
</file>

<file path=xl/tables/table16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2" xr:uid="{987C2953-5742-4613-8B3D-DCC3ED4FE63B}" name="Table257519913140106110151155170178204223" displayName="Table257519913140106110151155170178204223" ref="A7:E44" totalsRowShown="0" headerRowDxfId="6396" headerRowBorderDxfId="6395" tableBorderDxfId="6394" totalsRowBorderDxfId="6393">
  <autoFilter ref="A7:E44" xr:uid="{3F4E6FB5-0E74-41D9-A4D8-92B17EC67621}"/>
  <tableColumns count="5">
    <tableColumn id="1" xr3:uid="{D19BFDEA-E772-484F-94DF-BBD201FCD829}" name="Step" dataDxfId="6392"/>
    <tableColumn id="2" xr3:uid="{E8A06ACD-04D0-4C39-BD13-78E25776DE6D}" name="Action" dataDxfId="6391"/>
    <tableColumn id="3" xr3:uid="{F687A1B5-2D51-4E7B-8B5B-69DBDB283848}" name="Message | Input" dataDxfId="6390"/>
    <tableColumn id="5" xr3:uid="{6C310502-E197-4AC3-8B17-74CC79A7B6DF}" name="PEG" dataDxfId="6389"/>
    <tableColumn id="4" xr3:uid="{45D6C044-1B4C-446C-AA9D-B8663AD20E3F}" name="Notes &amp; Data Settings" dataDxfId="6388"/>
  </tableColumns>
  <tableStyleInfo name="TableStyleLight1" showFirstColumn="0" showLastColumn="0" showRowStripes="1" showColumnStripes="0"/>
</table>
</file>

<file path=xl/tables/table16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4" xr:uid="{E4ABD027-EA27-4CA0-9BDA-19D3434C253B}" name="Table257519913140106110151155170178204225" displayName="Table257519913140106110151155170178204225" ref="A7:E44" totalsRowShown="0" headerRowDxfId="6387" headerRowBorderDxfId="6386" tableBorderDxfId="6385" totalsRowBorderDxfId="6384">
  <autoFilter ref="A7:E44" xr:uid="{7FB4A41E-D5B3-4481-AF1F-F679B046FD5C}"/>
  <tableColumns count="5">
    <tableColumn id="1" xr3:uid="{444908EC-AEC5-40D8-B00C-F912D8914F22}" name="Step" dataDxfId="6383"/>
    <tableColumn id="2" xr3:uid="{7B45032F-194E-4265-B63C-9326C2799D29}" name="Action" dataDxfId="6382"/>
    <tableColumn id="3" xr3:uid="{D6363BD0-53C7-45D6-B9E1-C3AE57146478}" name="Message | Input" dataDxfId="6381"/>
    <tableColumn id="5" xr3:uid="{9F2628F7-03A4-4E5D-8BB8-955C4B5A35B1}" name="PEG" dataDxfId="6380"/>
    <tableColumn id="4" xr3:uid="{71B6B9AF-7723-4B93-B28B-44AE80AB99FC}" name="Notes &amp; Data Settings" dataDxfId="6379"/>
  </tableColumns>
  <tableStyleInfo name="TableStyleLight1" showFirstColumn="0" showLastColumn="0" showRowStripes="1" showColumnStripes="0"/>
</table>
</file>

<file path=xl/tables/table16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6" xr:uid="{71B49AC7-7B4A-4CA9-A61F-BBC3DB656DC1}" name="Table257519913140106110151155170178204227" displayName="Table257519913140106110151155170178204227" ref="A7:E44" totalsRowShown="0" headerRowDxfId="6378" headerRowBorderDxfId="6377" tableBorderDxfId="6376" totalsRowBorderDxfId="6375">
  <autoFilter ref="A7:E44" xr:uid="{584ABD22-C3F6-43BD-B302-1BC7B262CBEB}"/>
  <tableColumns count="5">
    <tableColumn id="1" xr3:uid="{E1C93773-BB84-4928-BAA1-D39290D05E9E}" name="Step" dataDxfId="6374"/>
    <tableColumn id="2" xr3:uid="{5D4FA84A-8BDB-469B-8A97-76A9C4C769E9}" name="Action" dataDxfId="6373"/>
    <tableColumn id="3" xr3:uid="{7AC92EDB-ACA8-4A32-84EA-117E5BA1740E}" name="Message | Input" dataDxfId="6372"/>
    <tableColumn id="5" xr3:uid="{CAA7526F-E61D-46FB-BA33-E2906B7834D7}" name="PEG" dataDxfId="6371"/>
    <tableColumn id="4" xr3:uid="{9567A5A5-C8BC-4F00-8218-B501D4B94529}" name="Notes &amp; Data Settings" dataDxfId="6370"/>
  </tableColumns>
  <tableStyleInfo name="TableStyleLight1" showFirstColumn="0" showLastColumn="0" showRowStripes="1" showColumnStripes="0"/>
</table>
</file>

<file path=xl/tables/table16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8" xr:uid="{120CE3D3-B1B0-4091-9D31-8CBD5E47CF12}" name="Table257519913140106110151155170178204229" displayName="Table257519913140106110151155170178204229" ref="A7:E44" totalsRowShown="0" headerRowDxfId="6369" headerRowBorderDxfId="6368" tableBorderDxfId="6367" totalsRowBorderDxfId="6366">
  <autoFilter ref="A7:E44" xr:uid="{7DCE3E6C-09D9-44B3-9418-EE4E6B561FCC}"/>
  <tableColumns count="5">
    <tableColumn id="1" xr3:uid="{29943379-D847-4C80-B9E2-F6895D90F870}" name="Step" dataDxfId="6365"/>
    <tableColumn id="2" xr3:uid="{39AC7867-A7E8-4EE9-8907-83B63FB17F27}" name="Action" dataDxfId="6364"/>
    <tableColumn id="3" xr3:uid="{CC105A1E-736B-4AA2-A98F-C669D7384541}" name="Message | Input" dataDxfId="6363"/>
    <tableColumn id="5" xr3:uid="{7372F08D-1DD5-4203-9C03-5DF1A104D6E2}" name="PEG" dataDxfId="6362"/>
    <tableColumn id="4" xr3:uid="{829D2A2C-9DA0-4CB7-B7D6-8499868CD0B9}" name="Notes &amp; Data Settings" dataDxfId="6361"/>
  </tableColumns>
  <tableStyleInfo name="TableStyleLight1" showFirstColumn="0" showLastColumn="0" showRowStripes="1" showColumnStripes="0"/>
</table>
</file>

<file path=xl/tables/table16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0" xr:uid="{C7884F52-EC11-4EB4-9880-F782A48A3787}" name="Table257519913140106110151155170178204231" displayName="Table257519913140106110151155170178204231" ref="A7:E44" totalsRowShown="0" headerRowDxfId="6360" headerRowBorderDxfId="6359" tableBorderDxfId="6358" totalsRowBorderDxfId="6357">
  <autoFilter ref="A7:E44" xr:uid="{FC448835-6B33-45AB-B6CD-6D1335096D00}"/>
  <tableColumns count="5">
    <tableColumn id="1" xr3:uid="{AE123DA4-8668-43CE-B7E4-8417F802CE87}" name="Step" dataDxfId="6356"/>
    <tableColumn id="2" xr3:uid="{05596D02-0456-4ABA-BC5A-AAECC6236984}" name="Action" dataDxfId="6355"/>
    <tableColumn id="3" xr3:uid="{6B64771E-0F3F-4A2C-B6EE-581DD1D23B0C}" name="Message | Input" dataDxfId="6354"/>
    <tableColumn id="5" xr3:uid="{F37B90AA-ED30-4362-B96A-699399C24CE9}" name="PEG" dataDxfId="6353"/>
    <tableColumn id="4" xr3:uid="{F7722F87-1A7C-49CA-B532-33C3C3A7607E}" name="Notes &amp; Data Settings" dataDxfId="6352"/>
  </tableColumns>
  <tableStyleInfo name="TableStyleLight1" showFirstColumn="0" showLastColumn="0" showRowStripes="1" showColumnStripes="0"/>
</table>
</file>

<file path=xl/tables/table16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2" xr:uid="{15B20DC8-E4AB-408C-B655-8712D0220E17}" name="Table257519913140106110151155170178204233" displayName="Table257519913140106110151155170178204233" ref="A7:E44" totalsRowShown="0" headerRowDxfId="6351" headerRowBorderDxfId="6350" tableBorderDxfId="6349" totalsRowBorderDxfId="6348">
  <autoFilter ref="A7:E44" xr:uid="{B4A6B6FF-DEF6-4686-BBCF-F1A50BE6891B}"/>
  <tableColumns count="5">
    <tableColumn id="1" xr3:uid="{BDA3374D-D26C-4BE5-B293-B09578276D4D}" name="Step" dataDxfId="6347"/>
    <tableColumn id="2" xr3:uid="{5C256723-80BD-450F-9F9B-4BB7C5148F41}" name="Action" dataDxfId="6346"/>
    <tableColumn id="3" xr3:uid="{B3B326EB-D037-43CD-B900-F001DE31E353}" name="Message | Input" dataDxfId="6345"/>
    <tableColumn id="5" xr3:uid="{B77EB0F0-9AFA-4F1B-85CD-E4061AA98515}" name="PEG" dataDxfId="6344"/>
    <tableColumn id="4" xr3:uid="{F74BC95D-EFF5-437F-A6E4-61D0A020EF48}" name="Notes &amp; Data Settings" dataDxfId="6343"/>
  </tableColumns>
  <tableStyleInfo name="TableStyleLight1" showFirstColumn="0" showLastColumn="0" showRowStripes="1" showColumnStripes="0"/>
</table>
</file>

<file path=xl/tables/table16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4" xr:uid="{0581CA13-2A4C-49F5-9D71-BB8F0F31747D}" name="Table257519913140106110151155170178204235" displayName="Table257519913140106110151155170178204235" ref="A7:E44" totalsRowShown="0" headerRowDxfId="6342" headerRowBorderDxfId="6341" tableBorderDxfId="6340" totalsRowBorderDxfId="6339">
  <autoFilter ref="A7:E44" xr:uid="{EE972DFA-876B-43C6-9E08-5F8C0B1F4056}"/>
  <tableColumns count="5">
    <tableColumn id="1" xr3:uid="{2FA37FAF-E791-40E3-9159-3D5BD56D5190}" name="Step" dataDxfId="6338"/>
    <tableColumn id="2" xr3:uid="{C1B6C2D5-BFD7-41E8-B5ED-A513191AC4FA}" name="Action" dataDxfId="6337"/>
    <tableColumn id="3" xr3:uid="{6933C49D-3917-4BCA-9906-16B1F1845C5B}" name="Message | Input" dataDxfId="6336"/>
    <tableColumn id="5" xr3:uid="{0A4C73FF-4C06-4539-B8BF-BABCC757F8F6}" name="PEG" dataDxfId="6335"/>
    <tableColumn id="4" xr3:uid="{F09DD3D3-1714-410D-B6D4-F8C1104CA4E5}" name="Notes &amp; Data Settings" dataDxfId="6334"/>
  </tableColumns>
  <tableStyleInfo name="TableStyleLight1" showFirstColumn="0" showLastColumn="0" showRowStripes="1" showColumnStripes="0"/>
</table>
</file>

<file path=xl/tables/table16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6" xr:uid="{D3E82B72-BF9D-4627-9FB8-7C97FAF7265C}" name="Table257519913140106110151155170178204237" displayName="Table257519913140106110151155170178204237" ref="A7:E44" totalsRowShown="0" headerRowDxfId="6333" headerRowBorderDxfId="6332" tableBorderDxfId="6331" totalsRowBorderDxfId="6330">
  <autoFilter ref="A7:E44" xr:uid="{7D2AACD3-8848-47D2-B70A-4F88AFC05D51}"/>
  <tableColumns count="5">
    <tableColumn id="1" xr3:uid="{FFC8E819-FF9C-4708-BEAC-05061121B5D1}" name="Step" dataDxfId="6329"/>
    <tableColumn id="2" xr3:uid="{C76495B8-2179-4639-B6AF-D920BA8250E0}" name="Action" dataDxfId="6328"/>
    <tableColumn id="3" xr3:uid="{10240183-EFDF-4C09-AB2D-F0AAA2F88462}" name="Message | Input" dataDxfId="6327"/>
    <tableColumn id="5" xr3:uid="{F3F4ED2D-CF8E-4F68-9A92-FF901344A7BC}" name="PEG" dataDxfId="6326"/>
    <tableColumn id="4" xr3:uid="{AB11EADD-8A0B-40A5-8C27-C9A1F86B116A}" name="Notes &amp; Data Settings" dataDxfId="6325"/>
  </tableColumns>
  <tableStyleInfo name="TableStyleLight1" showFirstColumn="0" showLastColumn="0" showRowStripes="1" showColumnStripes="0"/>
</table>
</file>

<file path=xl/tables/table16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8" xr:uid="{280013E7-6945-47BB-991F-BD82AFC42707}" name="Table257519913140106110151155170178204239" displayName="Table257519913140106110151155170178204239" ref="A7:E44" totalsRowShown="0" headerRowDxfId="6324" headerRowBorderDxfId="6323" tableBorderDxfId="6322" totalsRowBorderDxfId="6321">
  <autoFilter ref="A7:E44" xr:uid="{F3F4A44E-269F-4571-90BE-0CC7678A3BD0}"/>
  <tableColumns count="5">
    <tableColumn id="1" xr3:uid="{3FA46A78-7BC2-418A-AD88-6DF38AF18456}" name="Step" dataDxfId="6320"/>
    <tableColumn id="2" xr3:uid="{4CE74A1B-7520-4D54-B96D-BA8525C31B81}" name="Action" dataDxfId="6319"/>
    <tableColumn id="3" xr3:uid="{A6CE04D9-C522-4758-A9DC-DA6488C63395}" name="Message | Input" dataDxfId="6318"/>
    <tableColumn id="5" xr3:uid="{B05D3F2B-AA34-4198-B4AA-638201A7F9ED}" name="PEG" dataDxfId="6317"/>
    <tableColumn id="4" xr3:uid="{9BAE0325-ACDD-49CD-8144-4BF2B414A17C}" name="Notes &amp; Data Settings" dataDxfId="6316"/>
  </tableColumns>
  <tableStyleInfo name="TableStyleLight1"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 xr:uid="{00000000-000C-0000-FFFF-FFFF10000000}" name="Table25755252691024253334" displayName="Table25755252691024253334" ref="A7:E34" totalsRowShown="0" headerRowDxfId="7692" headerRowBorderDxfId="7691" tableBorderDxfId="7690" totalsRowBorderDxfId="7689">
  <autoFilter ref="A7:E34" xr:uid="{00000000-0009-0000-0100-000021000000}"/>
  <tableColumns count="5">
    <tableColumn id="1" xr3:uid="{00000000-0010-0000-1000-000001000000}" name="Step" dataDxfId="7688"/>
    <tableColumn id="2" xr3:uid="{00000000-0010-0000-1000-000002000000}" name="Action" dataDxfId="7687"/>
    <tableColumn id="3" xr3:uid="{00000000-0010-0000-1000-000003000000}" name="Message | Input" dataDxfId="7686"/>
    <tableColumn id="5" xr3:uid="{00000000-0010-0000-1000-000005000000}" name="PEG" dataDxfId="7685"/>
    <tableColumn id="4" xr3:uid="{00000000-0010-0000-1000-000004000000}" name="Notes &amp; Data Settings" dataDxfId="7684"/>
  </tableColumns>
  <tableStyleInfo name="TableStyleLight1" showFirstColumn="0" showLastColumn="0" showRowStripes="1" showColumnStripes="0"/>
</table>
</file>

<file path=xl/tables/table17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0" xr:uid="{0559373B-0F31-44B6-A346-D7FBF6F59C4A}" name="Table257519913140106110151155170178204241" displayName="Table257519913140106110151155170178204241" ref="A7:E44" totalsRowShown="0" headerRowDxfId="6315" headerRowBorderDxfId="6314" tableBorderDxfId="6313" totalsRowBorderDxfId="6312">
  <autoFilter ref="A7:E44" xr:uid="{E688D65C-F827-4105-89F2-83F418B662DA}"/>
  <tableColumns count="5">
    <tableColumn id="1" xr3:uid="{D1DFFCBD-54B2-4084-929B-3916B3A233CA}" name="Step" dataDxfId="6311"/>
    <tableColumn id="2" xr3:uid="{B84A85CD-F550-41E7-BA4A-DBB5A6CF6B85}" name="Action" dataDxfId="6310"/>
    <tableColumn id="3" xr3:uid="{ADFE2D91-477E-468F-BC9D-8CFEB9BAB71F}" name="Message | Input" dataDxfId="6309"/>
    <tableColumn id="5" xr3:uid="{362CA019-FB57-4662-A4B7-FD8EBAE22C9E}" name="PEG" dataDxfId="6308"/>
    <tableColumn id="4" xr3:uid="{12C91845-B3EB-4822-AB7F-C740B8A63397}" name="Notes &amp; Data Settings" dataDxfId="6307"/>
  </tableColumns>
  <tableStyleInfo name="TableStyleLight1" showFirstColumn="0" showLastColumn="0" showRowStripes="1" showColumnStripes="0"/>
</table>
</file>

<file path=xl/tables/table17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2" xr:uid="{1A0B81BA-9CFE-4EF1-A4A3-DCD57D1FEDAC}" name="Table257519913140106110151155170178204243" displayName="Table257519913140106110151155170178204243" ref="A7:E44" totalsRowShown="0" headerRowDxfId="6306" headerRowBorderDxfId="6305" tableBorderDxfId="6304" totalsRowBorderDxfId="6303">
  <autoFilter ref="A7:E44" xr:uid="{59EEA417-A6A3-47FE-A34D-2A7F7AC8A325}"/>
  <tableColumns count="5">
    <tableColumn id="1" xr3:uid="{1D87526D-6B32-4992-8F50-1FE5014D4F14}" name="Step" dataDxfId="6302"/>
    <tableColumn id="2" xr3:uid="{1B90E755-D084-4547-99F5-1A17D32CD1EA}" name="Action" dataDxfId="6301"/>
    <tableColumn id="3" xr3:uid="{AAE5F9F0-623A-46F0-BED5-1B0F4EBDE2B5}" name="Message | Input" dataDxfId="6300"/>
    <tableColumn id="5" xr3:uid="{F02C81CB-8CE8-45CC-9AE0-A19048FBB472}" name="PEG" dataDxfId="6299"/>
    <tableColumn id="4" xr3:uid="{2C11AE3F-5F6C-4242-A8A5-3332D171BD6B}" name="Notes &amp; Data Settings" dataDxfId="6298"/>
  </tableColumns>
  <tableStyleInfo name="TableStyleLight1" showFirstColumn="0" showLastColumn="0" showRowStripes="1" showColumnStripes="0"/>
</table>
</file>

<file path=xl/tables/table17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4" xr:uid="{4B4A4D33-476D-4577-9B57-9A46DBE59ADE}" name="Table257519913140106110151155170178204245" displayName="Table257519913140106110151155170178204245" ref="A7:E44" totalsRowShown="0" headerRowDxfId="6297" headerRowBorderDxfId="6296" tableBorderDxfId="6295" totalsRowBorderDxfId="6294">
  <autoFilter ref="A7:E44" xr:uid="{E54B57FA-AF7E-4CA8-8577-2D2091770EC3}"/>
  <tableColumns count="5">
    <tableColumn id="1" xr3:uid="{725C0F38-A87B-461D-BBF3-3C78B8640F14}" name="Step" dataDxfId="6293"/>
    <tableColumn id="2" xr3:uid="{B9256B41-D9BB-45BF-B5DA-BA3D8F792A0C}" name="Action" dataDxfId="6292"/>
    <tableColumn id="3" xr3:uid="{525780F7-B357-4772-9440-38E254512D65}" name="Message | Input" dataDxfId="6291"/>
    <tableColumn id="5" xr3:uid="{ED9AE40F-F3D6-47C0-A54F-315636655364}" name="PEG" dataDxfId="6290"/>
    <tableColumn id="4" xr3:uid="{44980DC5-3F69-4448-8068-A4D164C44191}" name="Notes &amp; Data Settings" dataDxfId="6289"/>
  </tableColumns>
  <tableStyleInfo name="TableStyleLight1" showFirstColumn="0" showLastColumn="0" showRowStripes="1" showColumnStripes="0"/>
</table>
</file>

<file path=xl/tables/table17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6" xr:uid="{2C1A2DDD-055C-4348-8121-3F501602E8AA}" name="Table257519913140106110151155170178204247" displayName="Table257519913140106110151155170178204247" ref="A7:E44" totalsRowShown="0" headerRowDxfId="6288" headerRowBorderDxfId="6287" tableBorderDxfId="6286" totalsRowBorderDxfId="6285">
  <autoFilter ref="A7:E44" xr:uid="{69FDB2BA-E2A8-4345-B0A6-3A5E32642EBE}"/>
  <tableColumns count="5">
    <tableColumn id="1" xr3:uid="{B7263D4E-2505-4EBF-B562-8DAE01DFA549}" name="Step" dataDxfId="6284"/>
    <tableColumn id="2" xr3:uid="{9849A831-993C-41A0-99B6-8D6C14CAE83B}" name="Action" dataDxfId="6283"/>
    <tableColumn id="3" xr3:uid="{AD1EA227-FEB9-474D-B3AC-AF5F63B3A081}" name="Message | Input" dataDxfId="6282"/>
    <tableColumn id="5" xr3:uid="{32BB06D3-BFE5-479E-B472-3EF8EE8C898A}" name="PEG" dataDxfId="6281"/>
    <tableColumn id="4" xr3:uid="{2C99B2D6-E1F5-4D32-86A5-F22F13534A9E}" name="Notes &amp; Data Settings" dataDxfId="6280"/>
  </tableColumns>
  <tableStyleInfo name="TableStyleLight1" showFirstColumn="0" showLastColumn="0" showRowStripes="1" showColumnStripes="0"/>
</table>
</file>

<file path=xl/tables/table17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8" xr:uid="{542E15C4-6013-4528-96B7-A4F2F6089017}" name="Table257519913140106110151155170178204249" displayName="Table257519913140106110151155170178204249" ref="A7:E44" totalsRowShown="0" headerRowDxfId="6279" headerRowBorderDxfId="6278" tableBorderDxfId="6277" totalsRowBorderDxfId="6276">
  <autoFilter ref="A7:E44" xr:uid="{4FCC107B-CA88-4664-86CD-4ACC405A16F9}"/>
  <tableColumns count="5">
    <tableColumn id="1" xr3:uid="{F18CCF3B-A4CF-4280-A124-75B147CDD383}" name="Step" dataDxfId="6275"/>
    <tableColumn id="2" xr3:uid="{52E9C89A-B4A3-4E3F-B0C5-CC4FC0211D2E}" name="Action" dataDxfId="6274"/>
    <tableColumn id="3" xr3:uid="{FA5CDD1E-E43B-419B-AA3C-4AB180A17D65}" name="Message | Input" dataDxfId="6273"/>
    <tableColumn id="5" xr3:uid="{03BD7A22-DCFD-4CEF-8307-B21466C35314}" name="PEG" dataDxfId="6272"/>
    <tableColumn id="4" xr3:uid="{DA3BFE21-406F-4573-8737-7516D4539DC1}" name="Notes &amp; Data Settings" dataDxfId="6271"/>
  </tableColumns>
  <tableStyleInfo name="TableStyleLight1" showFirstColumn="0" showLastColumn="0" showRowStripes="1" showColumnStripes="0"/>
</table>
</file>

<file path=xl/tables/table17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0" xr:uid="{2B22E573-AF2D-467C-9653-E3951ACFC86A}" name="Table257519913140106110151155170178204251" displayName="Table257519913140106110151155170178204251" ref="A7:E44" totalsRowShown="0" headerRowDxfId="6270" headerRowBorderDxfId="6269" tableBorderDxfId="6268" totalsRowBorderDxfId="6267">
  <autoFilter ref="A7:E44" xr:uid="{B78EE61B-53FF-475D-8F8E-1EA632736C78}"/>
  <tableColumns count="5">
    <tableColumn id="1" xr3:uid="{88AA6546-0F5F-4697-B3C2-862658C06CCB}" name="Step" dataDxfId="6266"/>
    <tableColumn id="2" xr3:uid="{8D3E8A7B-4BCA-4683-B61A-73CB0E3F0403}" name="Action" dataDxfId="6265"/>
    <tableColumn id="3" xr3:uid="{CA240918-3D7F-4F76-B134-3E1F4C4DF791}" name="Message | Input" dataDxfId="6264"/>
    <tableColumn id="5" xr3:uid="{AF184960-7CA4-483F-AF8D-95EDF85ABA40}" name="PEG" dataDxfId="6263"/>
    <tableColumn id="4" xr3:uid="{24C51497-A1EC-41BB-8CA3-2E534017A3A1}" name="Notes &amp; Data Settings" dataDxfId="6262"/>
  </tableColumns>
  <tableStyleInfo name="TableStyleLight1" showFirstColumn="0" showLastColumn="0" showRowStripes="1" showColumnStripes="0"/>
</table>
</file>

<file path=xl/tables/table17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2" xr:uid="{9033B485-AEFC-42A2-8CD5-66FE1AE80061}" name="Table257519913140106110151155170178204253" displayName="Table257519913140106110151155170178204253" ref="A7:E44" totalsRowShown="0" headerRowDxfId="6261" headerRowBorderDxfId="6260" tableBorderDxfId="6259" totalsRowBorderDxfId="6258">
  <autoFilter ref="A7:E44" xr:uid="{33833AE3-EE06-4D02-82EE-E24A4DDFCC80}"/>
  <tableColumns count="5">
    <tableColumn id="1" xr3:uid="{80759313-DBF2-4DA2-A55B-69B730F4F5B3}" name="Step" dataDxfId="6257"/>
    <tableColumn id="2" xr3:uid="{C30546E6-05A1-4568-A5F7-6BC8126970A2}" name="Action" dataDxfId="6256"/>
    <tableColumn id="3" xr3:uid="{C1FB51DA-C53E-4448-AA3A-A1C13385C30A}" name="Message | Input" dataDxfId="6255"/>
    <tableColumn id="5" xr3:uid="{CDFCE4BB-FD0A-4AD5-AAA5-85CCFD39B480}" name="PEG" dataDxfId="6254"/>
    <tableColumn id="4" xr3:uid="{2629D724-0D3B-4592-A778-F2C4BD8D066C}" name="Notes &amp; Data Settings" dataDxfId="6253"/>
  </tableColumns>
  <tableStyleInfo name="TableStyleLight1" showFirstColumn="0" showLastColumn="0" showRowStripes="1" showColumnStripes="0"/>
</table>
</file>

<file path=xl/tables/table17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4" xr:uid="{49BDA467-20D0-42D9-AA1B-930562388340}" name="Table257519913140106110151155170178204255" displayName="Table257519913140106110151155170178204255" ref="A7:E44" totalsRowShown="0" headerRowDxfId="6252" headerRowBorderDxfId="6251" tableBorderDxfId="6250" totalsRowBorderDxfId="6249">
  <autoFilter ref="A7:E44" xr:uid="{1418E542-2C34-4FDA-A855-F95B199FD82C}"/>
  <tableColumns count="5">
    <tableColumn id="1" xr3:uid="{38064028-DDF1-4A6D-8B6D-27F0F3CDFC7E}" name="Step" dataDxfId="6248"/>
    <tableColumn id="2" xr3:uid="{07228386-38A7-412B-B1B7-7E5AD0EE762C}" name="Action" dataDxfId="6247"/>
    <tableColumn id="3" xr3:uid="{A061A26D-0D5E-43EE-A0FB-E915771C6AAD}" name="Message | Input" dataDxfId="6246"/>
    <tableColumn id="5" xr3:uid="{6A67EB35-5B02-4E3B-8C7D-AEA0FB7F8D92}" name="PEG" dataDxfId="6245"/>
    <tableColumn id="4" xr3:uid="{44B3E5DD-362E-4824-8489-57415A4D20B6}" name="Notes &amp; Data Settings" dataDxfId="6244"/>
  </tableColumns>
  <tableStyleInfo name="TableStyleLight1" showFirstColumn="0" showLastColumn="0" showRowStripes="1" showColumnStripes="0"/>
</table>
</file>

<file path=xl/tables/table17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6" xr:uid="{3EE0AC1D-0E92-4912-A682-B3005ABFD9DB}" name="Table257519913140106110151155170178204257" displayName="Table257519913140106110151155170178204257" ref="A7:E44" totalsRowShown="0" headerRowDxfId="6243" headerRowBorderDxfId="6242" tableBorderDxfId="6241" totalsRowBorderDxfId="6240">
  <autoFilter ref="A7:E44" xr:uid="{90A659E9-6641-40BD-BCF2-D5800623B4ED}"/>
  <tableColumns count="5">
    <tableColumn id="1" xr3:uid="{E2A352A8-50AC-461C-AD2D-BA042E31C2F2}" name="Step" dataDxfId="6239"/>
    <tableColumn id="2" xr3:uid="{04B1FB41-CB93-41DD-91D0-E001644F4FBF}" name="Action" dataDxfId="6238"/>
    <tableColumn id="3" xr3:uid="{8EBA8544-34D3-464E-8992-E72D5885C50A}" name="Message | Input" dataDxfId="6237"/>
    <tableColumn id="5" xr3:uid="{04E6E913-5BA8-440F-968A-FE0D4119D8C4}" name="PEG" dataDxfId="6236"/>
    <tableColumn id="4" xr3:uid="{2C4D8D10-1494-48A6-BA49-8D834AE2A978}" name="Notes &amp; Data Settings" dataDxfId="6235"/>
  </tableColumns>
  <tableStyleInfo name="TableStyleLight1" showFirstColumn="0" showLastColumn="0" showRowStripes="1" showColumnStripes="0"/>
</table>
</file>

<file path=xl/tables/table17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8" xr:uid="{8D7A5AFE-D985-4CD0-9B3E-EEDE3EDABADE}" name="Table257519913140106110151155170178204259" displayName="Table257519913140106110151155170178204259" ref="A7:E44" totalsRowShown="0" headerRowDxfId="6234" headerRowBorderDxfId="6233" tableBorderDxfId="6232" totalsRowBorderDxfId="6231">
  <autoFilter ref="A7:E44" xr:uid="{32B5BC7A-0989-415B-B469-9AE590E80EE1}"/>
  <tableColumns count="5">
    <tableColumn id="1" xr3:uid="{3CEC628B-1896-4434-8D72-8D4FA1F269E6}" name="Step" dataDxfId="6230"/>
    <tableColumn id="2" xr3:uid="{28271790-FC10-4F55-8A86-5F3AB5FC44EF}" name="Action" dataDxfId="6229"/>
    <tableColumn id="3" xr3:uid="{B9A45A98-2466-4BCE-95C8-0CFEA506E36C}" name="Message | Input" dataDxfId="6228"/>
    <tableColumn id="5" xr3:uid="{C1023A43-5F36-4A8E-8FA7-309F17E1E0DB}" name="PEG" dataDxfId="6227"/>
    <tableColumn id="4" xr3:uid="{47F65EDB-481B-4597-A89F-D695C647B7D4}" name="Notes &amp; Data Settings" dataDxfId="6226"/>
  </tableColumns>
  <tableStyleInfo name="TableStyleLight1"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1" xr:uid="{00000000-000C-0000-FFFF-FFFF11000000}" name="Table2575525269102425333442" displayName="Table2575525269102425333442" ref="A7:E29" totalsRowShown="0" headerRowDxfId="7683" headerRowBorderDxfId="7682" tableBorderDxfId="7681" totalsRowBorderDxfId="7680">
  <autoFilter ref="A7:E29" xr:uid="{00000000-0009-0000-0100-000029000000}"/>
  <tableColumns count="5">
    <tableColumn id="1" xr3:uid="{00000000-0010-0000-1100-000001000000}" name="Step" dataDxfId="7679"/>
    <tableColumn id="2" xr3:uid="{00000000-0010-0000-1100-000002000000}" name="Action" dataDxfId="7678"/>
    <tableColumn id="3" xr3:uid="{00000000-0010-0000-1100-000003000000}" name="Message | Input" dataDxfId="7677"/>
    <tableColumn id="5" xr3:uid="{00000000-0010-0000-1100-000005000000}" name="PEG" dataDxfId="7676"/>
    <tableColumn id="4" xr3:uid="{00000000-0010-0000-1100-000004000000}" name="Notes &amp; Data Settings" dataDxfId="7675"/>
  </tableColumns>
  <tableStyleInfo name="TableStyleLight1" showFirstColumn="0" showLastColumn="0" showRowStripes="1" showColumnStripes="0"/>
</table>
</file>

<file path=xl/tables/table18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0" xr:uid="{2DF6FDBA-12EF-4B7F-A381-53EBC440CF94}" name="Table257519913140106110151155170178204261" displayName="Table257519913140106110151155170178204261" ref="A7:E44" totalsRowShown="0" headerRowDxfId="6225" headerRowBorderDxfId="6224" tableBorderDxfId="6223" totalsRowBorderDxfId="6222">
  <autoFilter ref="A7:E44" xr:uid="{6609FCC8-608F-4CC5-AB41-CCC8E48EADCA}"/>
  <tableColumns count="5">
    <tableColumn id="1" xr3:uid="{007B4693-6AC5-4F3E-A9EB-852BA2631F43}" name="Step" dataDxfId="6221"/>
    <tableColumn id="2" xr3:uid="{F7AFD868-7BC9-48C4-A0F5-DC3523FB3AE4}" name="Action" dataDxfId="6220"/>
    <tableColumn id="3" xr3:uid="{5F99CA33-D0F0-46CD-B0FE-E80C0E7E139B}" name="Message | Input" dataDxfId="6219"/>
    <tableColumn id="5" xr3:uid="{3CF94858-47F9-410D-8B0C-D1C074DD8F9D}" name="PEG" dataDxfId="6218"/>
    <tableColumn id="4" xr3:uid="{8DCB6260-0D70-4667-B3B7-69ADD239366C}" name="Notes &amp; Data Settings" dataDxfId="6217"/>
  </tableColumns>
  <tableStyleInfo name="TableStyleLight1" showFirstColumn="0" showLastColumn="0" showRowStripes="1" showColumnStripes="0"/>
</table>
</file>

<file path=xl/tables/table18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2" xr:uid="{D258F764-4DE0-4727-877C-E8892D25F340}" name="Table257519913140106110151155170178204263" displayName="Table257519913140106110151155170178204263" ref="A7:E44" totalsRowShown="0" headerRowDxfId="6216" headerRowBorderDxfId="6215" tableBorderDxfId="6214" totalsRowBorderDxfId="6213">
  <autoFilter ref="A7:E44" xr:uid="{AA77F3B4-8DA4-4B70-90BC-576B4DABFE1E}"/>
  <tableColumns count="5">
    <tableColumn id="1" xr3:uid="{5770C7FB-1DAD-42BA-AB1A-9C9553BD56A9}" name="Step" dataDxfId="6212"/>
    <tableColumn id="2" xr3:uid="{1547B8B8-F644-4A4C-9A3E-EE68EDD10DAC}" name="Action" dataDxfId="6211"/>
    <tableColumn id="3" xr3:uid="{AF657DDC-ADDF-4DAF-8B99-6950FC59B707}" name="Message | Input" dataDxfId="6210"/>
    <tableColumn id="5" xr3:uid="{EC05B91A-D54B-4FE9-8DC0-E0636A609928}" name="PEG" dataDxfId="6209"/>
    <tableColumn id="4" xr3:uid="{30A0369F-228D-45B9-A2ED-5F32F22057C7}" name="Notes &amp; Data Settings" dataDxfId="6208"/>
  </tableColumns>
  <tableStyleInfo name="TableStyleLight1" showFirstColumn="0" showLastColumn="0" showRowStripes="1" showColumnStripes="0"/>
</table>
</file>

<file path=xl/tables/table18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4" xr:uid="{163E4E00-E3D8-4449-B6E3-C1F8E5F544F0}" name="Table257519913140106110151155170178204265" displayName="Table257519913140106110151155170178204265" ref="A7:E44" totalsRowShown="0" headerRowDxfId="6207" headerRowBorderDxfId="6206" tableBorderDxfId="6205" totalsRowBorderDxfId="6204">
  <autoFilter ref="A7:E44" xr:uid="{090EBBDE-CD3F-4D32-B5DB-D683A61C93BA}"/>
  <tableColumns count="5">
    <tableColumn id="1" xr3:uid="{5F7FE367-F62A-44D1-9C3E-2BA7848EC96D}" name="Step" dataDxfId="6203"/>
    <tableColumn id="2" xr3:uid="{D6D1ADF1-B279-4EDA-9210-2A04938E2A55}" name="Action" dataDxfId="6202"/>
    <tableColumn id="3" xr3:uid="{A23C0E89-05D7-441A-A319-97AE5B2204B7}" name="Message | Input" dataDxfId="6201"/>
    <tableColumn id="5" xr3:uid="{0C997287-61ED-4482-8F40-28FD8664E0FA}" name="PEG" dataDxfId="6200"/>
    <tableColumn id="4" xr3:uid="{96CB08F6-11BA-49CC-9587-31B8EB93D3C5}" name="Notes &amp; Data Settings" dataDxfId="6199"/>
  </tableColumns>
  <tableStyleInfo name="TableStyleLight1" showFirstColumn="0" showLastColumn="0" showRowStripes="1" showColumnStripes="0"/>
</table>
</file>

<file path=xl/tables/table18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6" xr:uid="{24EF5400-CE31-4C3E-9179-586B2D3D6399}" name="Table257519913140106110151155170178204267" displayName="Table257519913140106110151155170178204267" ref="A7:E44" totalsRowShown="0" headerRowDxfId="6198" headerRowBorderDxfId="6197" tableBorderDxfId="6196" totalsRowBorderDxfId="6195">
  <autoFilter ref="A7:E44" xr:uid="{8B7103BF-FBAD-46EB-803E-80C74CDAC2CF}"/>
  <tableColumns count="5">
    <tableColumn id="1" xr3:uid="{DF95BC5E-0DA0-403A-B8A0-C6462CDEB2CF}" name="Step" dataDxfId="6194"/>
    <tableColumn id="2" xr3:uid="{F53668BD-0E20-4460-9383-23EB68D1672E}" name="Action" dataDxfId="6193"/>
    <tableColumn id="3" xr3:uid="{7831EA6E-2AB9-40AD-B73E-4769BE0DA19E}" name="Message | Input" dataDxfId="6192"/>
    <tableColumn id="5" xr3:uid="{AE9753A4-E986-4ACF-B9E6-3232BE551811}" name="PEG" dataDxfId="6191"/>
    <tableColumn id="4" xr3:uid="{1B4F7DA9-53B8-4025-8109-B40A74D2D2DB}" name="Notes &amp; Data Settings" dataDxfId="6190"/>
  </tableColumns>
  <tableStyleInfo name="TableStyleLight1" showFirstColumn="0" showLastColumn="0" showRowStripes="1" showColumnStripes="0"/>
</table>
</file>

<file path=xl/tables/table18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8" xr:uid="{B774A5FF-C996-452E-96BC-1120F0F02CF1}" name="Table257519913140106110151155170178204269" displayName="Table257519913140106110151155170178204269" ref="A7:E44" totalsRowShown="0" headerRowDxfId="6189" headerRowBorderDxfId="6188" tableBorderDxfId="6187" totalsRowBorderDxfId="6186">
  <autoFilter ref="A7:E44" xr:uid="{414DD332-002C-4FB3-BB5D-2B7B72759F83}"/>
  <tableColumns count="5">
    <tableColumn id="1" xr3:uid="{69E22682-F97F-4124-BB7F-A5EDA1FC1304}" name="Step" dataDxfId="6185"/>
    <tableColumn id="2" xr3:uid="{F65314F3-8F5B-4679-9AA0-AB16992633FB}" name="Action" dataDxfId="6184"/>
    <tableColumn id="3" xr3:uid="{B9E3539B-FDB8-4473-9872-BF6BFD5672F1}" name="Message | Input" dataDxfId="6183"/>
    <tableColumn id="5" xr3:uid="{CD449647-EBC2-4CC6-9D66-2E513BBF40FD}" name="PEG" dataDxfId="6182"/>
    <tableColumn id="4" xr3:uid="{E4FA76EC-07D1-4BCA-A3B9-EFE2A226637B}" name="Notes &amp; Data Settings" dataDxfId="6181"/>
  </tableColumns>
  <tableStyleInfo name="TableStyleLight1" showFirstColumn="0" showLastColumn="0" showRowStripes="1" showColumnStripes="0"/>
</table>
</file>

<file path=xl/tables/table18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0" xr:uid="{D15E8FA5-1744-40D3-814E-D0008388AF05}" name="Table257519913140106110151155170178204271" displayName="Table257519913140106110151155170178204271" ref="A7:E44" totalsRowShown="0" headerRowDxfId="6180" headerRowBorderDxfId="6179" tableBorderDxfId="6178" totalsRowBorderDxfId="6177">
  <autoFilter ref="A7:E44" xr:uid="{66279B85-C061-4AB5-B886-0F45EB2A8898}"/>
  <tableColumns count="5">
    <tableColumn id="1" xr3:uid="{2EA7A710-CD66-40D0-85E6-069C50784007}" name="Step" dataDxfId="6176"/>
    <tableColumn id="2" xr3:uid="{CEF77CF5-A7A3-49D0-AEBC-53566649B8CC}" name="Action" dataDxfId="6175"/>
    <tableColumn id="3" xr3:uid="{BAFD376C-3900-4E5B-A66F-E36292DE3BD3}" name="Message | Input" dataDxfId="6174"/>
    <tableColumn id="5" xr3:uid="{4A743A00-54F1-47B2-8CBA-D9DBC28F0B11}" name="PEG" dataDxfId="6173"/>
    <tableColumn id="4" xr3:uid="{E50FEF31-9825-47B6-B521-544F6180D236}" name="Notes &amp; Data Settings" dataDxfId="6172"/>
  </tableColumns>
  <tableStyleInfo name="TableStyleLight1" showFirstColumn="0" showLastColumn="0" showRowStripes="1" showColumnStripes="0"/>
</table>
</file>

<file path=xl/tables/table18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2" xr:uid="{5F91D63A-E46B-4581-B8F7-3116528DE550}" name="Table257519913140106110151155170178204273" displayName="Table257519913140106110151155170178204273" ref="A7:E44" totalsRowShown="0" headerRowDxfId="6171" headerRowBorderDxfId="6170" tableBorderDxfId="6169" totalsRowBorderDxfId="6168">
  <autoFilter ref="A7:E44" xr:uid="{7FC3308C-6EEB-4A73-AC78-E58EDC38693E}"/>
  <tableColumns count="5">
    <tableColumn id="1" xr3:uid="{2B432855-0A77-46EB-9199-074C138E3DDD}" name="Step" dataDxfId="6167"/>
    <tableColumn id="2" xr3:uid="{B5BA2153-62D4-4335-A52C-422E8BE5DAED}" name="Action" dataDxfId="6166"/>
    <tableColumn id="3" xr3:uid="{0AF0E3C3-B18D-4068-B586-98D2EDD60D68}" name="Message | Input" dataDxfId="6165"/>
    <tableColumn id="5" xr3:uid="{CA032CF7-7C95-40C2-94B0-2178C477B4AA}" name="PEG" dataDxfId="6164"/>
    <tableColumn id="4" xr3:uid="{CEB1316E-81CF-4A6F-9F39-E9F5DE867449}" name="Notes &amp; Data Settings" dataDxfId="6163"/>
  </tableColumns>
  <tableStyleInfo name="TableStyleLight1" showFirstColumn="0" showLastColumn="0" showRowStripes="1" showColumnStripes="0"/>
</table>
</file>

<file path=xl/tables/table18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4" xr:uid="{E82BCA3D-B1E6-428E-B4F5-0BC633036515}" name="Table257519913140106110151155170178204275" displayName="Table257519913140106110151155170178204275" ref="A7:E44" totalsRowShown="0" headerRowDxfId="6162" headerRowBorderDxfId="6161" tableBorderDxfId="6160" totalsRowBorderDxfId="6159">
  <autoFilter ref="A7:E44" xr:uid="{843E795B-952E-4D79-8EDD-6D2D7D766B64}"/>
  <tableColumns count="5">
    <tableColumn id="1" xr3:uid="{D39D3B12-AB67-4C79-994F-005E3FDEFCB6}" name="Step" dataDxfId="6158"/>
    <tableColumn id="2" xr3:uid="{3BB56AD6-2FC2-425E-80B6-3D78A5C9A769}" name="Action" dataDxfId="6157"/>
    <tableColumn id="3" xr3:uid="{FA2E2B0D-A770-4474-99CE-E6DB7C809E27}" name="Message | Input" dataDxfId="6156"/>
    <tableColumn id="5" xr3:uid="{81631AEB-9041-4E26-813C-8CD78F29A19A}" name="PEG" dataDxfId="6155"/>
    <tableColumn id="4" xr3:uid="{74B6A321-60C6-4144-AE30-D9D9074FC63B}" name="Notes &amp; Data Settings" dataDxfId="6154"/>
  </tableColumns>
  <tableStyleInfo name="TableStyleLight1" showFirstColumn="0" showLastColumn="0" showRowStripes="1" showColumnStripes="0"/>
</table>
</file>

<file path=xl/tables/table18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6" xr:uid="{91617E6C-1C9A-4471-A89A-E89AD67A1B2E}" name="Table257519913140106110151155170178204277" displayName="Table257519913140106110151155170178204277" ref="A7:E44" totalsRowShown="0" headerRowDxfId="6153" headerRowBorderDxfId="6152" tableBorderDxfId="6151" totalsRowBorderDxfId="6150">
  <autoFilter ref="A7:E44" xr:uid="{64E8F90D-A013-4B8A-B1D2-2970E46BD7A5}"/>
  <tableColumns count="5">
    <tableColumn id="1" xr3:uid="{1D9941CA-C944-490C-9528-0843E388E66A}" name="Step" dataDxfId="6149"/>
    <tableColumn id="2" xr3:uid="{D967C51F-0AA1-4D91-8333-2D54B71B94BC}" name="Action" dataDxfId="6148"/>
    <tableColumn id="3" xr3:uid="{406FA4B5-C9CC-4C1D-A9FA-E860D621962A}" name="Message | Input" dataDxfId="6147"/>
    <tableColumn id="5" xr3:uid="{0403CCE9-7874-481B-92C4-12912B99DE91}" name="PEG" dataDxfId="6146"/>
    <tableColumn id="4" xr3:uid="{08DA0A0C-66D7-4A1D-9AD2-494FBDA4CE1D}" name="Notes &amp; Data Settings" dataDxfId="6145"/>
  </tableColumns>
  <tableStyleInfo name="TableStyleLight1" showFirstColumn="0" showLastColumn="0" showRowStripes="1" showColumnStripes="0"/>
</table>
</file>

<file path=xl/tables/table18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8" xr:uid="{C8ED260D-B717-43A7-BCBC-B0E2BC624352}" name="Table257519913140106110151155170178204279" displayName="Table257519913140106110151155170178204279" ref="A7:E44" totalsRowShown="0" headerRowDxfId="6144" headerRowBorderDxfId="6143" tableBorderDxfId="6142" totalsRowBorderDxfId="6141">
  <autoFilter ref="A7:E44" xr:uid="{03440AD8-6983-4202-98B0-CD3537919D7D}"/>
  <tableColumns count="5">
    <tableColumn id="1" xr3:uid="{B80FB54A-6F51-438A-B503-C65CECBD70E8}" name="Step" dataDxfId="6140"/>
    <tableColumn id="2" xr3:uid="{7E4CA86D-5972-4081-85AA-439FD2DE7F7E}" name="Action" dataDxfId="6139"/>
    <tableColumn id="3" xr3:uid="{E1DCFBBE-77A7-4ECC-B0EE-8445FAA77924}" name="Message | Input" dataDxfId="6138"/>
    <tableColumn id="5" xr3:uid="{EDC9F015-B6D3-409B-8A7D-535AA419D62D}" name="PEG" dataDxfId="6137"/>
    <tableColumn id="4" xr3:uid="{2F9E8990-B149-4FFA-80BC-9FBF40CD43D5}" name="Notes &amp; Data Settings" dataDxfId="6136"/>
  </tableColumns>
  <tableStyleInfo name="TableStyleLight1"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12000000}" name="Table25755252691013" displayName="Table25755252691013" ref="A7:E31" totalsRowShown="0" headerRowDxfId="7674" headerRowBorderDxfId="7673" tableBorderDxfId="7672" totalsRowBorderDxfId="7671">
  <autoFilter ref="A7:E31" xr:uid="{00000000-0009-0000-0100-00000C000000}"/>
  <tableColumns count="5">
    <tableColumn id="1" xr3:uid="{00000000-0010-0000-1200-000001000000}" name="Step" dataDxfId="7670"/>
    <tableColumn id="2" xr3:uid="{00000000-0010-0000-1200-000002000000}" name="Action" dataDxfId="7669"/>
    <tableColumn id="3" xr3:uid="{00000000-0010-0000-1200-000003000000}" name="Message | Input" dataDxfId="7668"/>
    <tableColumn id="5" xr3:uid="{00000000-0010-0000-1200-000005000000}" name="PEG" dataDxfId="7667"/>
    <tableColumn id="4" xr3:uid="{00000000-0010-0000-1200-000004000000}" name="Notes &amp; Data Settings" dataDxfId="7666"/>
  </tableColumns>
  <tableStyleInfo name="TableStyleLight1" showFirstColumn="0" showLastColumn="0" showRowStripes="1" showColumnStripes="0"/>
</table>
</file>

<file path=xl/tables/table19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0" xr:uid="{8ED9A784-2A27-4275-A340-5276A71FE9DE}" name="Table257519913140106110151155170178204281" displayName="Table257519913140106110151155170178204281" ref="A7:E44" totalsRowShown="0" headerRowDxfId="6135" headerRowBorderDxfId="6134" tableBorderDxfId="6133" totalsRowBorderDxfId="6132">
  <autoFilter ref="A7:E44" xr:uid="{9462F9A6-F214-4053-A217-F25662896D00}"/>
  <tableColumns count="5">
    <tableColumn id="1" xr3:uid="{E51AE9CF-6890-4915-85A1-E02F12E22452}" name="Step" dataDxfId="6131"/>
    <tableColumn id="2" xr3:uid="{833DDE24-EA76-43E4-8B7C-A650E5FBC7C8}" name="Action" dataDxfId="6130"/>
    <tableColumn id="3" xr3:uid="{AEF0442F-4151-4C6D-8F08-AC964BD7C45C}" name="Message | Input" dataDxfId="6129"/>
    <tableColumn id="5" xr3:uid="{D8A74DFA-7FBA-40E1-B4CD-EAED56EDB33E}" name="PEG" dataDxfId="6128"/>
    <tableColumn id="4" xr3:uid="{BBC8FAEC-4512-46B4-8ACA-9D0CEF8ABBF1}" name="Notes &amp; Data Settings" dataDxfId="6127"/>
  </tableColumns>
  <tableStyleInfo name="TableStyleLight1" showFirstColumn="0" showLastColumn="0" showRowStripes="1" showColumnStripes="0"/>
</table>
</file>

<file path=xl/tables/table19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2" xr:uid="{5F85E79B-45C3-42A5-8918-7C8032EBBC37}" name="Table257519913140106110151155170178204283" displayName="Table257519913140106110151155170178204283" ref="A7:E44" totalsRowShown="0" headerRowDxfId="6126" headerRowBorderDxfId="6125" tableBorderDxfId="6124" totalsRowBorderDxfId="6123">
  <autoFilter ref="A7:E44" xr:uid="{1D1E2D47-EAE2-47A1-87B6-503DB11A52AD}"/>
  <tableColumns count="5">
    <tableColumn id="1" xr3:uid="{7B9F94F1-6139-4D10-9380-0EF923D796F0}" name="Step" dataDxfId="6122"/>
    <tableColumn id="2" xr3:uid="{6DBEB39A-7F3E-477F-8C0F-A564ADAAAC8D}" name="Action" dataDxfId="6121"/>
    <tableColumn id="3" xr3:uid="{F7EC3783-65B5-401A-B127-B18B0BD869F3}" name="Message | Input" dataDxfId="6120"/>
    <tableColumn id="5" xr3:uid="{A7AFDE78-B7B2-4A15-BC79-91BD81B7B376}" name="PEG" dataDxfId="6119"/>
    <tableColumn id="4" xr3:uid="{79704CFF-1B33-4B05-ADD5-2C641217F11D}" name="Notes &amp; Data Settings" dataDxfId="6118"/>
  </tableColumns>
  <tableStyleInfo name="TableStyleLight1" showFirstColumn="0" showLastColumn="0" showRowStripes="1" showColumnStripes="0"/>
</table>
</file>

<file path=xl/tables/table19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4" xr:uid="{E72F0451-C44A-4C1A-A52E-3DE3DAB66FAB}" name="Table257519913140106110151155170178204285" displayName="Table257519913140106110151155170178204285" ref="A7:E44" totalsRowShown="0" headerRowDxfId="6117" headerRowBorderDxfId="6116" tableBorderDxfId="6115" totalsRowBorderDxfId="6114">
  <autoFilter ref="A7:E44" xr:uid="{112785CE-CF2C-4DE1-A6C1-E5C597344FF6}"/>
  <tableColumns count="5">
    <tableColumn id="1" xr3:uid="{D1DD27B2-0228-4C2C-9023-87A311092577}" name="Step" dataDxfId="6113"/>
    <tableColumn id="2" xr3:uid="{DD03A0B8-8188-47E4-89BA-1678BEFAB989}" name="Action" dataDxfId="6112"/>
    <tableColumn id="3" xr3:uid="{7451864C-A30A-4688-A251-1A7B9C8D077F}" name="Message | Input" dataDxfId="6111"/>
    <tableColumn id="5" xr3:uid="{33A39C9C-D771-4336-8933-A1A0F2653F05}" name="PEG" dataDxfId="6110"/>
    <tableColumn id="4" xr3:uid="{35EF38F7-1542-4070-A728-9743751DC85A}" name="Notes &amp; Data Settings" dataDxfId="6109"/>
  </tableColumns>
  <tableStyleInfo name="TableStyleLight1" showFirstColumn="0" showLastColumn="0" showRowStripes="1" showColumnStripes="0"/>
</table>
</file>

<file path=xl/tables/table19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6" xr:uid="{C3E9DBF1-7ADF-48CB-AA22-2F53ECE5083F}" name="Table257519913140106110151155170178204287" displayName="Table257519913140106110151155170178204287" ref="A7:E44" totalsRowShown="0" headerRowDxfId="6108" headerRowBorderDxfId="6107" tableBorderDxfId="6106" totalsRowBorderDxfId="6105">
  <autoFilter ref="A7:E44" xr:uid="{CF7089E0-07F1-4D65-B3BA-C06F7B04E644}"/>
  <tableColumns count="5">
    <tableColumn id="1" xr3:uid="{24047E8A-A5D1-48DA-974A-2DBFE80863E3}" name="Step" dataDxfId="6104"/>
    <tableColumn id="2" xr3:uid="{DDC21DF2-6BD2-4C9F-8C1F-317149EE8EBC}" name="Action" dataDxfId="6103"/>
    <tableColumn id="3" xr3:uid="{FCB172D4-A272-4DCB-AD96-6C801D7ACB50}" name="Message | Input" dataDxfId="6102"/>
    <tableColumn id="5" xr3:uid="{65679D07-316C-44D9-A4C0-F2FDEDE1CA2E}" name="PEG" dataDxfId="6101"/>
    <tableColumn id="4" xr3:uid="{52812A42-9EE5-4152-94DF-78507DCAD792}" name="Notes &amp; Data Settings" dataDxfId="6100"/>
  </tableColumns>
  <tableStyleInfo name="TableStyleLight1" showFirstColumn="0" showLastColumn="0" showRowStripes="1" showColumnStripes="0"/>
</table>
</file>

<file path=xl/tables/table19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8" xr:uid="{FFD761BD-602D-48F4-B3D6-E2176B42AF56}" name="Table257519913140106110151155170178204289" displayName="Table257519913140106110151155170178204289" ref="A7:E44" totalsRowShown="0" headerRowDxfId="6099" headerRowBorderDxfId="6098" tableBorderDxfId="6097" totalsRowBorderDxfId="6096">
  <autoFilter ref="A7:E44" xr:uid="{D02E6E51-EA30-4E43-BA3A-3C9B77A64C56}"/>
  <tableColumns count="5">
    <tableColumn id="1" xr3:uid="{D1AA1943-B217-416C-92F2-CD8BBAC1909B}" name="Step" dataDxfId="6095"/>
    <tableColumn id="2" xr3:uid="{6A638B2F-5751-4F85-866A-6D0A3A9F005E}" name="Action" dataDxfId="6094"/>
    <tableColumn id="3" xr3:uid="{2665E828-C92B-41E4-98EE-8DE6F26F0861}" name="Message | Input" dataDxfId="6093"/>
    <tableColumn id="5" xr3:uid="{665EF5EE-8C8E-40EF-B014-109CA3A7F2A0}" name="PEG" dataDxfId="6092"/>
    <tableColumn id="4" xr3:uid="{7F18D859-14F7-48FB-B0C6-A3C72D0E442E}" name="Notes &amp; Data Settings" dataDxfId="6091"/>
  </tableColumns>
  <tableStyleInfo name="TableStyleLight1" showFirstColumn="0" showLastColumn="0" showRowStripes="1" showColumnStripes="0"/>
</table>
</file>

<file path=xl/tables/table19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0" xr:uid="{3FD35353-8466-4DE8-8681-0A371FB06670}" name="Table257519913140106110151155170178204291" displayName="Table257519913140106110151155170178204291" ref="A7:E44" totalsRowShown="0" headerRowDxfId="6090" headerRowBorderDxfId="6089" tableBorderDxfId="6088" totalsRowBorderDxfId="6087">
  <autoFilter ref="A7:E44" xr:uid="{4367A81C-AD2C-4A6E-932B-7CC4BE61BAA7}"/>
  <tableColumns count="5">
    <tableColumn id="1" xr3:uid="{B9E10A2D-FA7B-4110-B6DF-2AD38EBC82A5}" name="Step" dataDxfId="6086"/>
    <tableColumn id="2" xr3:uid="{1CEB0521-6118-475F-821D-54BFD93A9BAE}" name="Action" dataDxfId="6085"/>
    <tableColumn id="3" xr3:uid="{7CB203D0-45D2-49E5-B031-E3AC4A5E62EC}" name="Message | Input" dataDxfId="6084"/>
    <tableColumn id="5" xr3:uid="{C789C9E4-701B-49C1-BD69-F216619C5351}" name="PEG" dataDxfId="6083"/>
    <tableColumn id="4" xr3:uid="{243A4D65-524E-489E-A5D0-C9148965F63C}" name="Notes &amp; Data Settings" dataDxfId="6082"/>
  </tableColumns>
  <tableStyleInfo name="TableStyleLight1" showFirstColumn="0" showLastColumn="0" showRowStripes="1" showColumnStripes="0"/>
</table>
</file>

<file path=xl/tables/table19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2" xr:uid="{C2E5A2D3-1935-42BD-9E9A-60BBFF1B62AE}" name="Table257519913140106110151155170178204293" displayName="Table257519913140106110151155170178204293" ref="A7:E44" totalsRowShown="0" headerRowDxfId="6081" headerRowBorderDxfId="6080" tableBorderDxfId="6079" totalsRowBorderDxfId="6078">
  <autoFilter ref="A7:E44" xr:uid="{00FDE4C3-4BA7-45EF-A834-5E75E6F2D4A0}"/>
  <tableColumns count="5">
    <tableColumn id="1" xr3:uid="{03EFA6EB-9F52-4AD6-98EC-B66E1D471485}" name="Step" dataDxfId="6077"/>
    <tableColumn id="2" xr3:uid="{235E9DF5-0131-4657-A611-67E2D3C8E9C2}" name="Action" dataDxfId="6076"/>
    <tableColumn id="3" xr3:uid="{2C8B7079-0EC2-4F7A-B6FD-CF259ECEEE97}" name="Message | Input" dataDxfId="6075"/>
    <tableColumn id="5" xr3:uid="{581DA6E4-D869-4FA9-99DD-67D6506C38B7}" name="PEG" dataDxfId="6074"/>
    <tableColumn id="4" xr3:uid="{588B00DF-8660-47B8-B48C-005BE20E25EB}" name="Notes &amp; Data Settings" dataDxfId="6073"/>
  </tableColumns>
  <tableStyleInfo name="TableStyleLight1" showFirstColumn="0" showLastColumn="0" showRowStripes="1" showColumnStripes="0"/>
</table>
</file>

<file path=xl/tables/table19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4" xr:uid="{03C0C62D-09E1-4A6B-BDDE-03A2630370B9}" name="Table257519913140106110151155170178204295" displayName="Table257519913140106110151155170178204295" ref="A7:E44" totalsRowShown="0" headerRowDxfId="6072" headerRowBorderDxfId="6071" tableBorderDxfId="6070" totalsRowBorderDxfId="6069">
  <autoFilter ref="A7:E44" xr:uid="{12901BBC-57D1-4BF9-819B-E46C1EB7CCD4}"/>
  <tableColumns count="5">
    <tableColumn id="1" xr3:uid="{C3DD7D8C-FC56-4C18-AF50-AB2831DE06A9}" name="Step" dataDxfId="6068"/>
    <tableColumn id="2" xr3:uid="{5F0E76FC-4A63-4358-BD39-6AD2F69B0663}" name="Action" dataDxfId="6067"/>
    <tableColumn id="3" xr3:uid="{DDDA67D4-260F-40F0-8517-06CA1CB1A40C}" name="Message | Input" dataDxfId="6066"/>
    <tableColumn id="5" xr3:uid="{A3D62491-9342-414C-96CA-CBEE4DC082FF}" name="PEG" dataDxfId="6065"/>
    <tableColumn id="4" xr3:uid="{E1A89DF5-9245-4A97-B8BD-D63034F32025}" name="Notes &amp; Data Settings" dataDxfId="6064"/>
  </tableColumns>
  <tableStyleInfo name="TableStyleLight1" showFirstColumn="0" showLastColumn="0" showRowStripes="1" showColumnStripes="0"/>
</table>
</file>

<file path=xl/tables/table19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6" xr:uid="{F59CB4E0-7F27-49F7-A4AA-AC998FF505BB}" name="Table257519913140106110151155170178204297" displayName="Table257519913140106110151155170178204297" ref="A7:E44" totalsRowShown="0" headerRowDxfId="6063" headerRowBorderDxfId="6062" tableBorderDxfId="6061" totalsRowBorderDxfId="6060">
  <autoFilter ref="A7:E44" xr:uid="{D3AD849B-266C-40A7-86BB-C035A208889A}"/>
  <tableColumns count="5">
    <tableColumn id="1" xr3:uid="{9167CCF4-42E6-4722-89A4-75F7513FA467}" name="Step" dataDxfId="6059"/>
    <tableColumn id="2" xr3:uid="{73B7A797-E8DF-4EC0-91BB-C7AB2686A7D6}" name="Action" dataDxfId="6058"/>
    <tableColumn id="3" xr3:uid="{4ED5CE2F-B5BE-470F-91AF-3C98BF40162C}" name="Message | Input" dataDxfId="6057"/>
    <tableColumn id="5" xr3:uid="{6DA0F90F-31DC-44A2-8898-F028E137482E}" name="PEG" dataDxfId="6056"/>
    <tableColumn id="4" xr3:uid="{AEB5CD76-1E26-4A30-9ACD-85519745620A}" name="Notes &amp; Data Settings" dataDxfId="6055"/>
  </tableColumns>
  <tableStyleInfo name="TableStyleLight1" showFirstColumn="0" showLastColumn="0" showRowStripes="1" showColumnStripes="0"/>
</table>
</file>

<file path=xl/tables/table19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8" xr:uid="{D8DDB30E-BD8E-4ED5-BC85-5AAA289F7D52}" name="Table257519913140106110151155170178204299" displayName="Table257519913140106110151155170178204299" ref="A7:E44" totalsRowShown="0" headerRowDxfId="6054" headerRowBorderDxfId="6053" tableBorderDxfId="6052" totalsRowBorderDxfId="6051">
  <autoFilter ref="A7:E44" xr:uid="{C84FDBBC-AA3A-41A9-89A8-C912C9B96493}"/>
  <tableColumns count="5">
    <tableColumn id="1" xr3:uid="{84FCC5B0-79F0-4BB5-A93D-7E16A4588AD5}" name="Step" dataDxfId="6050"/>
    <tableColumn id="2" xr3:uid="{0C5D06CB-DA93-4AF4-BB79-1DC01FC47CE1}" name="Action" dataDxfId="6049"/>
    <tableColumn id="3" xr3:uid="{3CBD7053-F17D-4E6E-860B-426ACCC25EDF}" name="Message | Input" dataDxfId="6048"/>
    <tableColumn id="5" xr3:uid="{CC82744F-EC39-463B-BC70-CC412825A929}" name="PEG" dataDxfId="6047"/>
    <tableColumn id="4" xr3:uid="{82D1C09B-21C7-4516-BE05-E4B4EE32F39A}" name="Notes &amp; Data Settings" dataDxfId="6046"/>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53" displayName="Table53" ref="A37:F143" headerRowCount="0" totalsRowShown="0" headerRowDxfId="7843" tableBorderDxfId="7842" totalsRowBorderDxfId="7841">
  <tableColumns count="6">
    <tableColumn id="1" xr3:uid="{00000000-0010-0000-0100-000001000000}" name="Column1" dataDxfId="7840" dataCellStyle="Hyperlink"/>
    <tableColumn id="2" xr3:uid="{00000000-0010-0000-0100-000002000000}" name="Column2" dataDxfId="7839"/>
    <tableColumn id="3" xr3:uid="{00000000-0010-0000-0100-000003000000}" name="Column3" dataDxfId="7838"/>
    <tableColumn id="4" xr3:uid="{00000000-0010-0000-0100-000004000000}" name="Column4" dataDxfId="7837"/>
    <tableColumn id="5" xr3:uid="{00000000-0010-0000-0100-000005000000}" name="Column5" dataDxfId="7836"/>
    <tableColumn id="6" xr3:uid="{00000000-0010-0000-0100-000006000000}" name="Column6" dataDxfId="7835"/>
  </tableColumns>
  <tableStyleInfo name="TableStyleLight2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2" xr:uid="{00000000-000C-0000-FFFF-FFFF13000000}" name="Table2575525269101343" displayName="Table2575525269101343" ref="A7:E28" totalsRowShown="0" headerRowDxfId="7665" headerRowBorderDxfId="7664" tableBorderDxfId="7663" totalsRowBorderDxfId="7662">
  <autoFilter ref="A7:E28" xr:uid="{00000000-0009-0000-0100-00002A000000}"/>
  <tableColumns count="5">
    <tableColumn id="1" xr3:uid="{00000000-0010-0000-1300-000001000000}" name="Step" dataDxfId="7661"/>
    <tableColumn id="2" xr3:uid="{00000000-0010-0000-1300-000002000000}" name="Action" dataDxfId="7660"/>
    <tableColumn id="3" xr3:uid="{00000000-0010-0000-1300-000003000000}" name="Message | Input" dataDxfId="7659"/>
    <tableColumn id="5" xr3:uid="{00000000-0010-0000-1300-000005000000}" name="PEG" dataDxfId="7658"/>
    <tableColumn id="4" xr3:uid="{00000000-0010-0000-1300-000004000000}" name="Notes &amp; Data Settings" dataDxfId="7657"/>
  </tableColumns>
  <tableStyleInfo name="TableStyleLight1" showFirstColumn="0" showLastColumn="0" showRowStripes="1" showColumnStripes="0"/>
</table>
</file>

<file path=xl/tables/table20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0" xr:uid="{59779A28-9319-4397-9683-E2756E5D20AC}" name="Table257519913140106110151155170178204301" displayName="Table257519913140106110151155170178204301" ref="A7:E44" totalsRowShown="0" headerRowDxfId="6045" headerRowBorderDxfId="6044" tableBorderDxfId="6043" totalsRowBorderDxfId="6042">
  <autoFilter ref="A7:E44" xr:uid="{D3D092B7-57AC-4D80-9F45-74AD876E70C0}"/>
  <tableColumns count="5">
    <tableColumn id="1" xr3:uid="{AA010787-337C-43B6-8414-86679ABEB820}" name="Step" dataDxfId="6041"/>
    <tableColumn id="2" xr3:uid="{3879F27E-BFCA-4D06-8762-DFFE80E31B85}" name="Action" dataDxfId="6040"/>
    <tableColumn id="3" xr3:uid="{481EE7AD-AB3B-416A-A1FC-19968121A8DB}" name="Message | Input" dataDxfId="6039"/>
    <tableColumn id="5" xr3:uid="{0DCF9C7E-FB70-4167-86C8-C82BAA5270ED}" name="PEG" dataDxfId="6038"/>
    <tableColumn id="4" xr3:uid="{6BD4ABDB-8229-4007-A482-A87AEC507C22}" name="Notes &amp; Data Settings" dataDxfId="6037"/>
  </tableColumns>
  <tableStyleInfo name="TableStyleLight1" showFirstColumn="0" showLastColumn="0" showRowStripes="1" showColumnStripes="0"/>
</table>
</file>

<file path=xl/tables/table20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2" xr:uid="{49BCBF92-E6BD-4991-8D7B-653BD0D3C58D}" name="Table257519913140106110151155170178204303" displayName="Table257519913140106110151155170178204303" ref="A7:E44" totalsRowShown="0" headerRowDxfId="6036" headerRowBorderDxfId="6035" tableBorderDxfId="6034" totalsRowBorderDxfId="6033">
  <autoFilter ref="A7:E44" xr:uid="{2CC6E025-90ED-4D92-AD1C-7CA38B18F722}"/>
  <tableColumns count="5">
    <tableColumn id="1" xr3:uid="{92F4BE88-42F0-4D1A-91E6-D94BAEF91CA5}" name="Step" dataDxfId="6032"/>
    <tableColumn id="2" xr3:uid="{4ABB2B75-C3D5-4F7E-8E68-38C316F03F68}" name="Action" dataDxfId="6031"/>
    <tableColumn id="3" xr3:uid="{4676027C-BED3-4A20-8025-DE99EF410027}" name="Message | Input" dataDxfId="6030"/>
    <tableColumn id="5" xr3:uid="{843A0607-75AE-4907-822D-4E2B4DE9D53F}" name="PEG" dataDxfId="6029"/>
    <tableColumn id="4" xr3:uid="{1C207730-DBF8-4141-AAC1-58D7B5F9BFC4}" name="Notes &amp; Data Settings" dataDxfId="6028"/>
  </tableColumns>
  <tableStyleInfo name="TableStyleLight1" showFirstColumn="0" showLastColumn="0" showRowStripes="1" showColumnStripes="0"/>
</table>
</file>

<file path=xl/tables/table20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5" xr:uid="{C2BE6962-EB3A-4D91-A4BC-2BEB3DF849CB}" name="Table257519913140106110151155170178204303306" displayName="Table257519913140106110151155170178204303306" ref="A7:E44" totalsRowShown="0" headerRowDxfId="6027" headerRowBorderDxfId="6026" tableBorderDxfId="6025" totalsRowBorderDxfId="6024">
  <autoFilter ref="A7:E44" xr:uid="{27E8826B-0BEA-48CC-98B1-29DFD4D7F568}"/>
  <tableColumns count="5">
    <tableColumn id="1" xr3:uid="{40FFF610-12BC-432E-9847-18C5C4A97B0F}" name="Step" dataDxfId="6023"/>
    <tableColumn id="2" xr3:uid="{9F3226D2-2E6F-435F-952C-6E3C61664234}" name="Action" dataDxfId="6022"/>
    <tableColumn id="3" xr3:uid="{7BB94E86-4439-4D6F-9759-531B1E31C9D7}" name="Message | Input" dataDxfId="6021"/>
    <tableColumn id="5" xr3:uid="{74959AF7-CDC5-438B-B5A7-442BABEAA62A}" name="PEG" dataDxfId="6020"/>
    <tableColumn id="4" xr3:uid="{01187421-165E-4A7E-A455-B7311D5DBEFB}" name="Notes &amp; Data Settings" dataDxfId="6019"/>
  </tableColumns>
  <tableStyleInfo name="TableStyleLight1" showFirstColumn="0" showLastColumn="0" showRowStripes="1" showColumnStripes="0"/>
</table>
</file>

<file path=xl/tables/table20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7" xr:uid="{104A4280-EAF2-452A-A50D-AD04CFD03831}" name="Table257519913140106110151155170178204303308" displayName="Table257519913140106110151155170178204303308" ref="A7:E44" totalsRowShown="0" headerRowDxfId="6018" headerRowBorderDxfId="6017" tableBorderDxfId="6016" totalsRowBorderDxfId="6015">
  <autoFilter ref="A7:E44" xr:uid="{525D371E-6FB4-460B-9803-CBFC320A27A5}"/>
  <tableColumns count="5">
    <tableColumn id="1" xr3:uid="{F15805CB-EBDC-4B2B-BC25-54FB16D88854}" name="Step" dataDxfId="6014"/>
    <tableColumn id="2" xr3:uid="{8F73D4BF-A9C7-4CA6-8310-5BB2764309C8}" name="Action" dataDxfId="6013"/>
    <tableColumn id="3" xr3:uid="{EAEA03B8-8E54-4180-B8DC-738C2B660270}" name="Message | Input" dataDxfId="6012"/>
    <tableColumn id="5" xr3:uid="{F34A0F4C-A999-498A-BBEB-F11784A924C3}" name="PEG" dataDxfId="6011"/>
    <tableColumn id="4" xr3:uid="{6F3AE295-3B3F-4D07-B230-D4B01DE08A6B}" name="Notes &amp; Data Settings" dataDxfId="6010"/>
  </tableColumns>
  <tableStyleInfo name="TableStyleLight1" showFirstColumn="0" showLastColumn="0" showRowStripes="1" showColumnStripes="0"/>
</table>
</file>

<file path=xl/tables/table20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9" xr:uid="{6E2A27A3-364C-47FA-B034-799E069AC003}" name="Table257519913140106110151155170178204303310" displayName="Table257519913140106110151155170178204303310" ref="A7:E44" totalsRowShown="0" headerRowDxfId="6009" headerRowBorderDxfId="6008" tableBorderDxfId="6007" totalsRowBorderDxfId="6006">
  <autoFilter ref="A7:E44" xr:uid="{A3AF7C8A-72E1-4A22-B4DE-B80C795EDDE4}"/>
  <tableColumns count="5">
    <tableColumn id="1" xr3:uid="{65C017EB-5A52-4E43-9A6D-86E3AE0BBDD2}" name="Step" dataDxfId="6005"/>
    <tableColumn id="2" xr3:uid="{0F8BBD76-8645-4680-BA7F-A651C3211626}" name="Action" dataDxfId="6004"/>
    <tableColumn id="3" xr3:uid="{11F9A216-9D5B-41D1-8A73-9909A9F077FD}" name="Message | Input" dataDxfId="6003"/>
    <tableColumn id="5" xr3:uid="{8D450CB2-F495-4446-B7EB-F7FE59A6AEA9}" name="PEG" dataDxfId="6002"/>
    <tableColumn id="4" xr3:uid="{0A9522D2-DCE7-4E0D-9EC1-61EF12F181AB}" name="Notes &amp; Data Settings" dataDxfId="6001"/>
  </tableColumns>
  <tableStyleInfo name="TableStyleLight1" showFirstColumn="0" showLastColumn="0" showRowStripes="1" showColumnStripes="0"/>
</table>
</file>

<file path=xl/tables/table20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1" xr:uid="{43D24AA1-D800-4240-8A8A-82255657AA08}" name="Table257519913140106110151155170178204303312" displayName="Table257519913140106110151155170178204303312" ref="A7:E44" totalsRowShown="0" headerRowDxfId="6000" headerRowBorderDxfId="5999" tableBorderDxfId="5998" totalsRowBorderDxfId="5997">
  <autoFilter ref="A7:E44" xr:uid="{239C58D8-0C95-441F-B11E-68C62149B98F}"/>
  <tableColumns count="5">
    <tableColumn id="1" xr3:uid="{97EE3AF6-EC83-45D8-995B-7CB81BAEFA39}" name="Step" dataDxfId="5996"/>
    <tableColumn id="2" xr3:uid="{E4C3BCCA-1A72-4647-B92B-0C542F6B43A1}" name="Action" dataDxfId="5995"/>
    <tableColumn id="3" xr3:uid="{0D514BF7-0105-413A-AF56-AB7B4A082545}" name="Message | Input" dataDxfId="5994"/>
    <tableColumn id="5" xr3:uid="{7586B5A2-3FE7-4871-9E88-FA77753E4FA0}" name="PEG" dataDxfId="5993"/>
    <tableColumn id="4" xr3:uid="{D9EF9521-49AD-4605-9925-A699D7D01F5D}" name="Notes &amp; Data Settings" dataDxfId="5992"/>
  </tableColumns>
  <tableStyleInfo name="TableStyleLight1" showFirstColumn="0" showLastColumn="0" showRowStripes="1" showColumnStripes="0"/>
</table>
</file>

<file path=xl/tables/table20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52000000}" name="Table1016" displayName="Table1016" ref="A1:D372" totalsRowShown="0" headerRowDxfId="5991">
  <sortState xmlns:xlrd2="http://schemas.microsoft.com/office/spreadsheetml/2017/richdata2" ref="A2:D372">
    <sortCondition ref="A4:A372"/>
  </sortState>
  <tableColumns count="4">
    <tableColumn id="1" xr3:uid="{00000000-0010-0000-5200-000001000000}" name="PEG #" dataDxfId="5990"/>
    <tableColumn id="2" xr3:uid="{00000000-0010-0000-5200-000002000000}" name="PROMPT PHRASE" dataDxfId="5989"/>
    <tableColumn id="4" xr3:uid="{00000000-0010-0000-5200-000004000000}" name="TYPE" dataDxfId="5988"/>
    <tableColumn id="3" xr3:uid="{00000000-0010-0000-5200-000003000000}" name="APPLICATION " dataDxfId="5987"/>
  </tableColumns>
  <tableStyleInfo name="TableStyleMedium1"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3" xr:uid="{00000000-000C-0000-FFFF-FFFF14000000}" name="Table257552526910134344" displayName="Table257552526910134344" ref="A7:E28" totalsRowShown="0" headerRowDxfId="7656" headerRowBorderDxfId="7655" tableBorderDxfId="7654" totalsRowBorderDxfId="7653">
  <autoFilter ref="A7:E28" xr:uid="{00000000-0009-0000-0100-00002B000000}"/>
  <tableColumns count="5">
    <tableColumn id="1" xr3:uid="{00000000-0010-0000-1400-000001000000}" name="Step" dataDxfId="7652"/>
    <tableColumn id="2" xr3:uid="{00000000-0010-0000-1400-000002000000}" name="Action" dataDxfId="7651"/>
    <tableColumn id="3" xr3:uid="{00000000-0010-0000-1400-000003000000}" name="Message | Input" dataDxfId="7650"/>
    <tableColumn id="5" xr3:uid="{00000000-0010-0000-1400-000005000000}" name="PEG" dataDxfId="7649"/>
    <tableColumn id="4" xr3:uid="{00000000-0010-0000-1400-000004000000}" name="Notes &amp; Data Settings" dataDxfId="7648"/>
  </tableColumns>
  <tableStyleInfo name="TableStyleLight1"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5" xr:uid="{00000000-000C-0000-FFFF-FFFF15000000}" name="Table25755252691013434446" displayName="Table25755252691013434446" ref="A7:E46" totalsRowShown="0" headerRowDxfId="7647" headerRowBorderDxfId="7646" tableBorderDxfId="7645" totalsRowBorderDxfId="7644">
  <autoFilter ref="A7:E46" xr:uid="{00000000-0009-0000-0100-00002D000000}"/>
  <tableColumns count="5">
    <tableColumn id="1" xr3:uid="{00000000-0010-0000-1500-000001000000}" name="Step" dataDxfId="7643"/>
    <tableColumn id="2" xr3:uid="{00000000-0010-0000-1500-000002000000}" name="Action" dataDxfId="7642"/>
    <tableColumn id="3" xr3:uid="{00000000-0010-0000-1500-000003000000}" name="Message | Input" dataDxfId="7641"/>
    <tableColumn id="5" xr3:uid="{00000000-0010-0000-1500-000005000000}" name="PEG" dataDxfId="7640"/>
    <tableColumn id="4" xr3:uid="{00000000-0010-0000-1500-000004000000}" name="Notes &amp; Data Settings" dataDxfId="7639"/>
  </tableColumns>
  <tableStyleInfo name="TableStyleLight1"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6" xr:uid="{00000000-000C-0000-FFFF-FFFF16000000}" name="Table2575525269101343444647" displayName="Table2575525269101343444647" ref="A7:E43" totalsRowShown="0" headerRowDxfId="7638" headerRowBorderDxfId="7637" tableBorderDxfId="7636" totalsRowBorderDxfId="7635">
  <autoFilter ref="A7:E43" xr:uid="{00000000-0009-0000-0100-00002E000000}"/>
  <tableColumns count="5">
    <tableColumn id="1" xr3:uid="{00000000-0010-0000-1600-000001000000}" name="Step" dataDxfId="7634"/>
    <tableColumn id="2" xr3:uid="{00000000-0010-0000-1600-000002000000}" name="Action" dataDxfId="7633"/>
    <tableColumn id="3" xr3:uid="{00000000-0010-0000-1600-000003000000}" name="Message | Input" dataDxfId="7632"/>
    <tableColumn id="5" xr3:uid="{00000000-0010-0000-1600-000005000000}" name="PEG" dataDxfId="7631"/>
    <tableColumn id="4" xr3:uid="{00000000-0010-0000-1600-000004000000}" name="Notes &amp; Data Settings" dataDxfId="7630"/>
  </tableColumns>
  <tableStyleInfo name="TableStyleLight1"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7" xr:uid="{00000000-000C-0000-FFFF-FFFF17000000}" name="Table257552526910134344464748" displayName="Table257552526910134344464748" ref="A7:E26" totalsRowShown="0" headerRowDxfId="7629" headerRowBorderDxfId="7628" tableBorderDxfId="7627" totalsRowBorderDxfId="7626">
  <autoFilter ref="A7:E26" xr:uid="{00000000-0009-0000-0100-00002F000000}"/>
  <tableColumns count="5">
    <tableColumn id="1" xr3:uid="{00000000-0010-0000-1700-000001000000}" name="Step" dataDxfId="7625"/>
    <tableColumn id="2" xr3:uid="{00000000-0010-0000-1700-000002000000}" name="Action" dataDxfId="7624"/>
    <tableColumn id="3" xr3:uid="{00000000-0010-0000-1700-000003000000}" name="Message | Input" dataDxfId="7623"/>
    <tableColumn id="5" xr3:uid="{00000000-0010-0000-1700-000005000000}" name="PEG" dataDxfId="7622"/>
    <tableColumn id="4" xr3:uid="{00000000-0010-0000-1700-000004000000}" name="Notes &amp; Data Settings" dataDxfId="7621"/>
  </tableColumns>
  <tableStyleInfo name="TableStyleLight1"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8" xr:uid="{00000000-000C-0000-FFFF-FFFF18000000}" name="Table25755252691013434446474849" displayName="Table25755252691013434446474849" ref="A7:E32" totalsRowShown="0" headerRowDxfId="7620" headerRowBorderDxfId="7619" tableBorderDxfId="7618" totalsRowBorderDxfId="7617">
  <autoFilter ref="A7:E32" xr:uid="{00000000-0009-0000-0100-000030000000}"/>
  <tableColumns count="5">
    <tableColumn id="1" xr3:uid="{00000000-0010-0000-1800-000001000000}" name="Step" dataDxfId="7616"/>
    <tableColumn id="2" xr3:uid="{00000000-0010-0000-1800-000002000000}" name="Action" dataDxfId="7615"/>
    <tableColumn id="3" xr3:uid="{00000000-0010-0000-1800-000003000000}" name="Message | Input" dataDxfId="7614"/>
    <tableColumn id="5" xr3:uid="{00000000-0010-0000-1800-000005000000}" name="PEG" dataDxfId="7613"/>
    <tableColumn id="4" xr3:uid="{00000000-0010-0000-1800-000004000000}" name="Notes &amp; Data Settings" dataDxfId="7612"/>
  </tableColumns>
  <tableStyleInfo name="TableStyleLight1"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5" xr:uid="{00000000-000C-0000-FFFF-FFFF19000000}" name="Table2575525269101343444647484956" displayName="Table2575525269101343444647484956" ref="A7:E27" totalsRowShown="0" headerRowDxfId="7611" headerRowBorderDxfId="7610" tableBorderDxfId="7609" totalsRowBorderDxfId="7608">
  <autoFilter ref="A7:E27" xr:uid="{00000000-0009-0000-0100-000037000000}"/>
  <tableColumns count="5">
    <tableColumn id="1" xr3:uid="{00000000-0010-0000-1900-000001000000}" name="Step" dataDxfId="7607"/>
    <tableColumn id="2" xr3:uid="{00000000-0010-0000-1900-000002000000}" name="Action" dataDxfId="7606"/>
    <tableColumn id="3" xr3:uid="{00000000-0010-0000-1900-000003000000}" name="Message | Input" dataDxfId="7605"/>
    <tableColumn id="5" xr3:uid="{00000000-0010-0000-1900-000005000000}" name="PEG" dataDxfId="7604"/>
    <tableColumn id="4" xr3:uid="{00000000-0010-0000-1900-000004000000}" name="Notes &amp; Data Settings" dataDxfId="7603"/>
  </tableColumns>
  <tableStyleInfo name="TableStyleLight1"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6" xr:uid="{00000000-000C-0000-FFFF-FFFF1A000000}" name="Table257552526910134344464748495657" displayName="Table257552526910134344464748495657" ref="A7:E58" totalsRowShown="0" headerRowDxfId="7602" headerRowBorderDxfId="7601" tableBorderDxfId="7600" totalsRowBorderDxfId="7599">
  <autoFilter ref="A7:E58" xr:uid="{00000000-0009-0000-0100-000038000000}"/>
  <tableColumns count="5">
    <tableColumn id="1" xr3:uid="{00000000-0010-0000-1A00-000001000000}" name="Step" dataDxfId="7598"/>
    <tableColumn id="2" xr3:uid="{00000000-0010-0000-1A00-000002000000}" name="Action" dataDxfId="7597"/>
    <tableColumn id="3" xr3:uid="{00000000-0010-0000-1A00-000003000000}" name="Message | Input" dataDxfId="7596"/>
    <tableColumn id="5" xr3:uid="{00000000-0010-0000-1A00-000005000000}" name="PEG" dataDxfId="7595"/>
    <tableColumn id="4" xr3:uid="{00000000-0010-0000-1A00-000004000000}" name="Notes &amp; Data Settings" dataDxfId="7594"/>
  </tableColumns>
  <tableStyleInfo name="TableStyleLight1"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7" xr:uid="{00000000-000C-0000-FFFF-FFFF1B000000}" name="Table25755252691013434446474849565758" displayName="Table25755252691013434446474849565758" ref="A7:E31" totalsRowShown="0" headerRowDxfId="7593" headerRowBorderDxfId="7592" tableBorderDxfId="7591" totalsRowBorderDxfId="7590">
  <autoFilter ref="A7:E31" xr:uid="{00000000-0009-0000-0100-000039000000}"/>
  <tableColumns count="5">
    <tableColumn id="1" xr3:uid="{00000000-0010-0000-1B00-000001000000}" name="Step" dataDxfId="7589"/>
    <tableColumn id="2" xr3:uid="{00000000-0010-0000-1B00-000002000000}" name="Action" dataDxfId="7588"/>
    <tableColumn id="3" xr3:uid="{00000000-0010-0000-1B00-000003000000}" name="Message | Input" dataDxfId="7587"/>
    <tableColumn id="5" xr3:uid="{00000000-0010-0000-1B00-000005000000}" name="PEG" dataDxfId="7586"/>
    <tableColumn id="4" xr3:uid="{00000000-0010-0000-1B00-000004000000}" name="Notes &amp; Data Settings" dataDxfId="7585"/>
  </tableColumns>
  <tableStyleInfo name="TableStyleLight1"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8" xr:uid="{00000000-000C-0000-FFFF-FFFF1C000000}" name="Table2575525269101343444647484956575859" displayName="Table2575525269101343444647484956575859" ref="A7:E41" totalsRowShown="0" headerRowDxfId="7584" headerRowBorderDxfId="7583" tableBorderDxfId="7582" totalsRowBorderDxfId="7581">
  <autoFilter ref="A7:E41" xr:uid="{00000000-0009-0000-0100-00003A000000}"/>
  <tableColumns count="5">
    <tableColumn id="1" xr3:uid="{00000000-0010-0000-1C00-000001000000}" name="Step" dataDxfId="7580"/>
    <tableColumn id="2" xr3:uid="{00000000-0010-0000-1C00-000002000000}" name="Action" dataDxfId="7579"/>
    <tableColumn id="3" xr3:uid="{00000000-0010-0000-1C00-000003000000}" name="Message | Input" dataDxfId="7578"/>
    <tableColumn id="5" xr3:uid="{00000000-0010-0000-1C00-000005000000}" name="PEG" dataDxfId="7577"/>
    <tableColumn id="4" xr3:uid="{00000000-0010-0000-1C00-000004000000}" name="Notes &amp; Data Settings" dataDxfId="7576"/>
  </tableColumns>
  <tableStyleInfo name="TableStyleLigh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2000000}" name="Table44" displayName="Table44" ref="A146:F163" headerRowCount="0" totalsRowShown="0" headerRowDxfId="7834" dataDxfId="7832" headerRowBorderDxfId="7833" tableBorderDxfId="7831" totalsRowBorderDxfId="7830">
  <tableColumns count="6">
    <tableColumn id="1" xr3:uid="{00000000-0010-0000-0200-000001000000}" name="Column1" headerRowDxfId="7829" dataDxfId="7828" headerRowCellStyle="Hyperlink" dataCellStyle="Hyperlink"/>
    <tableColumn id="2" xr3:uid="{00000000-0010-0000-0200-000002000000}" name="Column2" headerRowDxfId="7827" dataDxfId="7826"/>
    <tableColumn id="3" xr3:uid="{00000000-0010-0000-0200-000003000000}" name="Column3" headerRowDxfId="7825" dataDxfId="7824"/>
    <tableColumn id="4" xr3:uid="{00000000-0010-0000-0200-000004000000}" name="Column4" headerRowDxfId="7823" dataDxfId="7822"/>
    <tableColumn id="5" xr3:uid="{00000000-0010-0000-0200-000005000000}" name="Column5" headerRowDxfId="7821" dataDxfId="7820"/>
    <tableColumn id="6" xr3:uid="{00000000-0010-0000-0200-000006000000}" name="Column6" headerRowDxfId="7819" dataDxfId="7818"/>
  </tableColumns>
  <tableStyleInfo name="TableStyleLight5" showFirstColumn="0" showLastColumn="0" showRowStripes="1"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9" xr:uid="{00000000-000C-0000-FFFF-FFFF1D000000}" name="Table257552526911122021222360" displayName="Table257552526911122021222360" ref="A7:E36" totalsRowShown="0" headerRowDxfId="7575" headerRowBorderDxfId="7574" tableBorderDxfId="7573" totalsRowBorderDxfId="7572">
  <autoFilter ref="A7:E36" xr:uid="{00000000-0009-0000-0100-00003B000000}"/>
  <tableColumns count="5">
    <tableColumn id="1" xr3:uid="{00000000-0010-0000-1D00-000001000000}" name="Step" dataDxfId="7571"/>
    <tableColumn id="2" xr3:uid="{00000000-0010-0000-1D00-000002000000}" name="Action" dataDxfId="7570"/>
    <tableColumn id="3" xr3:uid="{00000000-0010-0000-1D00-000003000000}" name="Message | Input" dataDxfId="7569"/>
    <tableColumn id="5" xr3:uid="{00000000-0010-0000-1D00-000005000000}" name="PEG" dataDxfId="7568"/>
    <tableColumn id="4" xr3:uid="{00000000-0010-0000-1D00-000004000000}" name="Notes &amp; Data Settings" dataDxfId="7567"/>
  </tableColumns>
  <tableStyleInfo name="TableStyleLight1" showFirstColumn="0" showLastColumn="0" showRowStripes="1" showColumnStripes="0"/>
</table>
</file>

<file path=xl/tables/table3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1" xr:uid="{00000000-000C-0000-FFFF-FFFF1E000000}" name="Table25755252691112202122236062" displayName="Table25755252691112202122236062" ref="A7:E18" totalsRowShown="0" headerRowDxfId="7566" headerRowBorderDxfId="7565" tableBorderDxfId="7564" totalsRowBorderDxfId="7563">
  <autoFilter ref="A7:E18" xr:uid="{00000000-0009-0000-0100-00003D000000}"/>
  <tableColumns count="5">
    <tableColumn id="1" xr3:uid="{00000000-0010-0000-1E00-000001000000}" name="Step" dataDxfId="7562"/>
    <tableColumn id="2" xr3:uid="{00000000-0010-0000-1E00-000002000000}" name="Action" dataDxfId="7561"/>
    <tableColumn id="3" xr3:uid="{00000000-0010-0000-1E00-000003000000}" name="Message | Input" dataDxfId="7560"/>
    <tableColumn id="5" xr3:uid="{00000000-0010-0000-1E00-000005000000}" name="PEG" dataDxfId="7559"/>
    <tableColumn id="4" xr3:uid="{00000000-0010-0000-1E00-000004000000}" name="Notes &amp; Data Settings" dataDxfId="7558"/>
  </tableColumns>
  <tableStyleInfo name="TableStyleLight1" showFirstColumn="0" showLastColumn="0" showRowStripes="1" showColumnStripes="0"/>
</table>
</file>

<file path=xl/tables/table3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2" xr:uid="{00000000-000C-0000-FFFF-FFFF1F000000}" name="Table257552526910134344464748495657585963" displayName="Table257552526910134344464748495657585963" ref="A7:E24" totalsRowShown="0" headerRowDxfId="7557" headerRowBorderDxfId="7556" tableBorderDxfId="7555" totalsRowBorderDxfId="7554">
  <autoFilter ref="A7:E24" xr:uid="{00000000-0009-0000-0100-00003E000000}"/>
  <tableColumns count="5">
    <tableColumn id="1" xr3:uid="{00000000-0010-0000-1F00-000001000000}" name="Step" dataDxfId="7553"/>
    <tableColumn id="2" xr3:uid="{00000000-0010-0000-1F00-000002000000}" name="Action" dataDxfId="7552"/>
    <tableColumn id="3" xr3:uid="{00000000-0010-0000-1F00-000003000000}" name="Message | Input" dataDxfId="7551"/>
    <tableColumn id="5" xr3:uid="{00000000-0010-0000-1F00-000005000000}" name="PEG" dataDxfId="7550"/>
    <tableColumn id="4" xr3:uid="{00000000-0010-0000-1F00-000004000000}" name="Notes &amp; Data Settings" dataDxfId="7549"/>
  </tableColumns>
  <tableStyleInfo name="TableStyleLight1" showFirstColumn="0" showLastColumn="0" showRowStripes="1" showColumnStripes="0"/>
</table>
</file>

<file path=xl/tables/table3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3" xr:uid="{00000000-000C-0000-FFFF-FFFF20000000}" name="Table25755252691013434446474849565758596364" displayName="Table25755252691013434446474849565758596364" ref="A7:E24" totalsRowShown="0" headerRowDxfId="7548" headerRowBorderDxfId="7547" tableBorderDxfId="7546" totalsRowBorderDxfId="7545">
  <autoFilter ref="A7:E24" xr:uid="{00000000-0009-0000-0100-00003F000000}"/>
  <tableColumns count="5">
    <tableColumn id="1" xr3:uid="{00000000-0010-0000-2000-000001000000}" name="Step" dataDxfId="7544"/>
    <tableColumn id="2" xr3:uid="{00000000-0010-0000-2000-000002000000}" name="Action" dataDxfId="7543"/>
    <tableColumn id="3" xr3:uid="{00000000-0010-0000-2000-000003000000}" name="Message | Input" dataDxfId="7542"/>
    <tableColumn id="5" xr3:uid="{00000000-0010-0000-2000-000005000000}" name="PEG" dataDxfId="7541"/>
    <tableColumn id="4" xr3:uid="{00000000-0010-0000-2000-000004000000}" name="Notes &amp; Data Settings" dataDxfId="7540"/>
  </tableColumns>
  <tableStyleInfo name="TableStyleLight1" showFirstColumn="0" showLastColumn="0" showRowStripes="1" showColumnStripes="0"/>
</table>
</file>

<file path=xl/tables/table3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4" xr:uid="{00000000-000C-0000-FFFF-FFFF21000000}" name="Table2575525269101343444647484956575859636465" displayName="Table2575525269101343444647484956575859636465" ref="A7:E38" totalsRowShown="0" headerRowDxfId="7539" headerRowBorderDxfId="7538" tableBorderDxfId="7537" totalsRowBorderDxfId="7536">
  <autoFilter ref="A7:E38" xr:uid="{00000000-0009-0000-0100-000040000000}"/>
  <tableColumns count="5">
    <tableColumn id="1" xr3:uid="{00000000-0010-0000-2100-000001000000}" name="Step" dataDxfId="7535"/>
    <tableColumn id="2" xr3:uid="{00000000-0010-0000-2100-000002000000}" name="Action" dataDxfId="7534"/>
    <tableColumn id="3" xr3:uid="{00000000-0010-0000-2100-000003000000}" name="Message | Input" dataDxfId="7533"/>
    <tableColumn id="5" xr3:uid="{00000000-0010-0000-2100-000005000000}" name="PEG" dataDxfId="7532"/>
    <tableColumn id="4" xr3:uid="{00000000-0010-0000-2100-000004000000}" name="Notes &amp; Data Settings" dataDxfId="7531"/>
  </tableColumns>
  <tableStyleInfo name="TableStyleLight1" showFirstColumn="0" showLastColumn="0" showRowStripes="1" showColumnStripes="0"/>
</table>
</file>

<file path=xl/tables/table3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22000000}" name="Table257552526910134344464748495657585963646514" displayName="Table257552526910134344464748495657585963646514" ref="A7:E17" totalsRowShown="0" headerRowDxfId="7530" headerRowBorderDxfId="7529" tableBorderDxfId="7528" totalsRowBorderDxfId="7527">
  <autoFilter ref="A7:E17" xr:uid="{00000000-0009-0000-0100-00000D000000}"/>
  <tableColumns count="5">
    <tableColumn id="1" xr3:uid="{00000000-0010-0000-2200-000001000000}" name="Step" dataDxfId="7526"/>
    <tableColumn id="2" xr3:uid="{00000000-0010-0000-2200-000002000000}" name="Action" dataDxfId="7525"/>
    <tableColumn id="3" xr3:uid="{00000000-0010-0000-2200-000003000000}" name="Message | Input" dataDxfId="7524"/>
    <tableColumn id="5" xr3:uid="{00000000-0010-0000-2200-000005000000}" name="PEG" dataDxfId="7523"/>
    <tableColumn id="4" xr3:uid="{00000000-0010-0000-2200-000004000000}" name="Notes &amp; Data Settings" dataDxfId="7522"/>
  </tableColumns>
  <tableStyleInfo name="TableStyleLight1" showFirstColumn="0" showLastColumn="0" showRowStripes="1" showColumnStripes="0"/>
</table>
</file>

<file path=xl/tables/table3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23000000}" name="Table25755252691013434446474849565758596315" displayName="Table25755252691013434446474849565758596315" ref="A7:E23" totalsRowShown="0" headerRowDxfId="7521" headerRowBorderDxfId="7520" tableBorderDxfId="7519" totalsRowBorderDxfId="7518">
  <autoFilter ref="A7:E23" xr:uid="{00000000-0009-0000-0100-00000E000000}"/>
  <tableColumns count="5">
    <tableColumn id="1" xr3:uid="{00000000-0010-0000-2300-000001000000}" name="Step" dataDxfId="7517"/>
    <tableColumn id="2" xr3:uid="{00000000-0010-0000-2300-000002000000}" name="Action" dataDxfId="7516"/>
    <tableColumn id="3" xr3:uid="{00000000-0010-0000-2300-000003000000}" name="Message | Input" dataDxfId="7515"/>
    <tableColumn id="5" xr3:uid="{00000000-0010-0000-2300-000005000000}" name="PEG" dataDxfId="7514"/>
    <tableColumn id="4" xr3:uid="{00000000-0010-0000-2300-000004000000}" name="Notes &amp; Data Settings" dataDxfId="7513"/>
  </tableColumns>
  <tableStyleInfo name="TableStyleLight1" showFirstColumn="0" showLastColumn="0" showRowStripes="1" showColumnStripes="0"/>
</table>
</file>

<file path=xl/tables/table3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0000000-000C-0000-FFFF-FFFF24000000}" name="Table2575525269101343444647484956575859631518" displayName="Table2575525269101343444647484956575859631518" ref="A7:E23" totalsRowShown="0" headerRowDxfId="7512" headerRowBorderDxfId="7511" tableBorderDxfId="7510" totalsRowBorderDxfId="7509">
  <autoFilter ref="A7:E23" xr:uid="{00000000-0009-0000-0100-000011000000}"/>
  <tableColumns count="5">
    <tableColumn id="1" xr3:uid="{00000000-0010-0000-2400-000001000000}" name="Step" dataDxfId="7508"/>
    <tableColumn id="2" xr3:uid="{00000000-0010-0000-2400-000002000000}" name="Action" dataDxfId="7507"/>
    <tableColumn id="3" xr3:uid="{00000000-0010-0000-2400-000003000000}" name="Message | Input" dataDxfId="7506"/>
    <tableColumn id="5" xr3:uid="{00000000-0010-0000-2400-000005000000}" name="PEG" dataDxfId="7505"/>
    <tableColumn id="4" xr3:uid="{00000000-0010-0000-2400-000004000000}" name="Notes &amp; Data Settings" dataDxfId="7504"/>
  </tableColumns>
  <tableStyleInfo name="TableStyleLight1" showFirstColumn="0" showLastColumn="0" showRowStripes="1" showColumnStripes="0"/>
</table>
</file>

<file path=xl/tables/table3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0000000-000C-0000-FFFF-FFFF25000000}" name="Table257552526910134344464748495657585963151817" displayName="Table257552526910134344464748495657585963151817" ref="A7:E25" totalsRowShown="0" headerRowDxfId="7503" headerRowBorderDxfId="7502" tableBorderDxfId="7501" totalsRowBorderDxfId="7500">
  <autoFilter ref="A7:E25" xr:uid="{00000000-0009-0000-0100-000010000000}"/>
  <tableColumns count="5">
    <tableColumn id="1" xr3:uid="{00000000-0010-0000-2500-000001000000}" name="Step" dataDxfId="7499"/>
    <tableColumn id="2" xr3:uid="{00000000-0010-0000-2500-000002000000}" name="Action" dataDxfId="7498"/>
    <tableColumn id="3" xr3:uid="{00000000-0010-0000-2500-000003000000}" name="Message | Input" dataDxfId="7497"/>
    <tableColumn id="5" xr3:uid="{00000000-0010-0000-2500-000005000000}" name="PEG" dataDxfId="7496"/>
    <tableColumn id="4" xr3:uid="{00000000-0010-0000-2500-000004000000}" name="Notes &amp; Data Settings" dataDxfId="7495"/>
  </tableColumns>
  <tableStyleInfo name="TableStyleLight1" showFirstColumn="0" showLastColumn="0" showRowStripes="1" showColumnStripes="0"/>
</table>
</file>

<file path=xl/tables/table3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00000000-000C-0000-FFFF-FFFF26000000}" name="Table25755252691013434446474849565758596315181719" displayName="Table25755252691013434446474849565758596315181719" ref="A7:E25" totalsRowShown="0" headerRowDxfId="7494" headerRowBorderDxfId="7493" tableBorderDxfId="7492" totalsRowBorderDxfId="7491">
  <autoFilter ref="A7:E25" xr:uid="{00000000-0009-0000-0100-000012000000}"/>
  <tableColumns count="5">
    <tableColumn id="1" xr3:uid="{00000000-0010-0000-2600-000001000000}" name="Step" dataDxfId="7490"/>
    <tableColumn id="2" xr3:uid="{00000000-0010-0000-2600-000002000000}" name="Action" dataDxfId="7489"/>
    <tableColumn id="3" xr3:uid="{00000000-0010-0000-2600-000003000000}" name="Message | Input" dataDxfId="7488"/>
    <tableColumn id="5" xr3:uid="{00000000-0010-0000-2600-000005000000}" name="PEG" dataDxfId="7487"/>
    <tableColumn id="4" xr3:uid="{00000000-0010-0000-2600-000004000000}" name="Notes &amp; Data Settings" dataDxfId="7486"/>
  </tableColumns>
  <tableStyleInfo name="TableStyleLight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3000000}" name="Table14" displayName="Table14" ref="A166:F181" headerRowCount="0" totalsRowShown="0" headerRowDxfId="7817" dataDxfId="7815" headerRowBorderDxfId="7816" tableBorderDxfId="7814" totalsRowBorderDxfId="7813">
  <tableColumns count="6">
    <tableColumn id="1" xr3:uid="{00000000-0010-0000-0300-000001000000}" name="1" headerRowDxfId="7812" dataDxfId="7811" headerRowCellStyle="Hyperlink" dataCellStyle="Hyperlink"/>
    <tableColumn id="2" xr3:uid="{00000000-0010-0000-0300-000002000000}" name="8000" headerRowDxfId="7810" dataDxfId="7809"/>
    <tableColumn id="3" xr3:uid="{00000000-0010-0000-0300-000003000000}" name="General DNIS Entry Point Greeting Test" headerRowDxfId="7808" dataDxfId="7807"/>
    <tableColumn id="6" xr3:uid="{00000000-0010-0000-0300-000006000000}" name="Column3" headerRowDxfId="7806" dataDxfId="7805"/>
    <tableColumn id="4" xr3:uid="{00000000-0010-0000-0300-000004000000}" name="Column1" headerRowDxfId="7804" dataDxfId="7803"/>
    <tableColumn id="5" xr3:uid="{00000000-0010-0000-0300-000005000000}" name="Column2" headerRowDxfId="7802" dataDxfId="7801"/>
  </tableColumns>
  <tableStyleInfo name="TableStyleMedium1" showFirstColumn="0" showLastColumn="0" showRowStripes="1" showColumnStripes="0"/>
</table>
</file>

<file path=xl/tables/table4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00000000-000C-0000-FFFF-FFFF27000000}" name="Table2575525269101343444647484956575859631518171922" displayName="Table2575525269101343444647484956575859631518171922" ref="A7:E31" totalsRowShown="0" headerRowDxfId="7485" headerRowBorderDxfId="7484" tableBorderDxfId="7483" totalsRowBorderDxfId="7482">
  <autoFilter ref="A7:E31" xr:uid="{00000000-0009-0000-0100-000015000000}"/>
  <tableColumns count="5">
    <tableColumn id="1" xr3:uid="{00000000-0010-0000-2700-000001000000}" name="Step" dataDxfId="7481"/>
    <tableColumn id="2" xr3:uid="{00000000-0010-0000-2700-000002000000}" name="Action" dataDxfId="7480"/>
    <tableColumn id="3" xr3:uid="{00000000-0010-0000-2700-000003000000}" name="Message | Input" dataDxfId="7479"/>
    <tableColumn id="5" xr3:uid="{00000000-0010-0000-2700-000005000000}" name="PEG" dataDxfId="7478"/>
    <tableColumn id="4" xr3:uid="{00000000-0010-0000-2700-000004000000}" name="Notes &amp; Data Settings" dataDxfId="7477"/>
  </tableColumns>
  <tableStyleInfo name="TableStyleLight1" showFirstColumn="0" showLastColumn="0" showRowStripes="1" showColumnStripes="0"/>
</table>
</file>

<file path=xl/tables/table4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4" xr:uid="{00000000-000C-0000-FFFF-FFFF28000000}" name="Table257552526910134344464748495657585963151817192245" displayName="Table257552526910134344464748495657585963151817192245" ref="A7:E27" totalsRowShown="0" headerRowDxfId="7476" headerRowBorderDxfId="7475" tableBorderDxfId="7474" totalsRowBorderDxfId="7473">
  <autoFilter ref="A7:E27" xr:uid="{00000000-0009-0000-0100-00002C000000}"/>
  <tableColumns count="5">
    <tableColumn id="1" xr3:uid="{00000000-0010-0000-2800-000001000000}" name="Step" dataDxfId="7472"/>
    <tableColumn id="2" xr3:uid="{00000000-0010-0000-2800-000002000000}" name="Action" dataDxfId="7471"/>
    <tableColumn id="3" xr3:uid="{00000000-0010-0000-2800-000003000000}" name="Message | Input" dataDxfId="7470"/>
    <tableColumn id="5" xr3:uid="{00000000-0010-0000-2800-000005000000}" name="PEG" dataDxfId="7469"/>
    <tableColumn id="4" xr3:uid="{00000000-0010-0000-2800-000004000000}" name="Notes &amp; Data Settings" dataDxfId="7468"/>
  </tableColumns>
  <tableStyleInfo name="TableStyleLight1" showFirstColumn="0" showLastColumn="0" showRowStripes="1" showColumnStripes="0"/>
</table>
</file>

<file path=xl/tables/table4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5" xr:uid="{00000000-000C-0000-FFFF-FFFF29000000}" name="Table25755252691013434446474849565758596315181719224566" displayName="Table25755252691013434446474849565758596315181719224566" ref="A7:E26" totalsRowShown="0" headerRowDxfId="7467" headerRowBorderDxfId="7466" tableBorderDxfId="7465" totalsRowBorderDxfId="7464">
  <autoFilter ref="A7:E26" xr:uid="{00000000-0009-0000-0100-000041000000}"/>
  <tableColumns count="5">
    <tableColumn id="1" xr3:uid="{00000000-0010-0000-2900-000001000000}" name="Step" dataDxfId="7463"/>
    <tableColumn id="2" xr3:uid="{00000000-0010-0000-2900-000002000000}" name="Action" dataDxfId="7462"/>
    <tableColumn id="3" xr3:uid="{00000000-0010-0000-2900-000003000000}" name="Message | Input" dataDxfId="7461"/>
    <tableColumn id="5" xr3:uid="{00000000-0010-0000-2900-000005000000}" name="PEG" dataDxfId="7460"/>
    <tableColumn id="4" xr3:uid="{00000000-0010-0000-2900-000004000000}" name="Notes &amp; Data Settings" dataDxfId="7459"/>
  </tableColumns>
  <tableStyleInfo name="TableStyleLight1" showFirstColumn="0" showLastColumn="0" showRowStripes="1" showColumnStripes="0"/>
</table>
</file>

<file path=xl/tables/table4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6" xr:uid="{00000000-000C-0000-FFFF-FFFF2A000000}" name="Table2575525269101343444647484956575859631518171922456667" displayName="Table2575525269101343444647484956575859631518171922456667" ref="A7:E26" totalsRowShown="0" headerRowDxfId="7458" headerRowBorderDxfId="7457" tableBorderDxfId="7456" totalsRowBorderDxfId="7455">
  <autoFilter ref="A7:E26" xr:uid="{00000000-0009-0000-0100-000042000000}"/>
  <tableColumns count="5">
    <tableColumn id="1" xr3:uid="{00000000-0010-0000-2A00-000001000000}" name="Step" dataDxfId="7454"/>
    <tableColumn id="2" xr3:uid="{00000000-0010-0000-2A00-000002000000}" name="Action" dataDxfId="7453"/>
    <tableColumn id="3" xr3:uid="{00000000-0010-0000-2A00-000003000000}" name="Message | Input" dataDxfId="7452"/>
    <tableColumn id="5" xr3:uid="{00000000-0010-0000-2A00-000005000000}" name="PEG" dataDxfId="7451"/>
    <tableColumn id="4" xr3:uid="{00000000-0010-0000-2A00-000004000000}" name="Notes &amp; Data Settings" dataDxfId="7450"/>
  </tableColumns>
  <tableStyleInfo name="TableStyleLight1" showFirstColumn="0" showLastColumn="0" showRowStripes="1" showColumnStripes="0"/>
</table>
</file>

<file path=xl/tables/table4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7" xr:uid="{00000000-000C-0000-FFFF-FFFF2B000000}" name="Table257552526910134344464748495657585963151817192245666768" displayName="Table257552526910134344464748495657585963151817192245666768" ref="A7:E27" totalsRowShown="0" headerRowDxfId="7449" headerRowBorderDxfId="7448" tableBorderDxfId="7447" totalsRowBorderDxfId="7446">
  <autoFilter ref="A7:E27" xr:uid="{00000000-0009-0000-0100-000043000000}"/>
  <tableColumns count="5">
    <tableColumn id="1" xr3:uid="{00000000-0010-0000-2B00-000001000000}" name="Step" dataDxfId="7445"/>
    <tableColumn id="2" xr3:uid="{00000000-0010-0000-2B00-000002000000}" name="Action" dataDxfId="7444"/>
    <tableColumn id="3" xr3:uid="{00000000-0010-0000-2B00-000003000000}" name="Message | Input" dataDxfId="7443"/>
    <tableColumn id="5" xr3:uid="{00000000-0010-0000-2B00-000005000000}" name="PEG" dataDxfId="7442"/>
    <tableColumn id="4" xr3:uid="{00000000-0010-0000-2B00-000004000000}" name="Notes &amp; Data Settings" dataDxfId="7441"/>
  </tableColumns>
  <tableStyleInfo name="TableStyleLight1" showFirstColumn="0" showLastColumn="0" showRowStripes="1" showColumnStripes="0"/>
</table>
</file>

<file path=xl/tables/table4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8" xr:uid="{00000000-000C-0000-FFFF-FFFF2C000000}" name="Table25755252691013434446474849565758596315181719224566676869" displayName="Table25755252691013434446474849565758596315181719224566676869" ref="A7:E27" totalsRowShown="0" headerRowDxfId="7440" headerRowBorderDxfId="7439" tableBorderDxfId="7438" totalsRowBorderDxfId="7437">
  <autoFilter ref="A7:E27" xr:uid="{00000000-0009-0000-0100-000044000000}"/>
  <tableColumns count="5">
    <tableColumn id="1" xr3:uid="{00000000-0010-0000-2C00-000001000000}" name="Step" dataDxfId="7436"/>
    <tableColumn id="2" xr3:uid="{00000000-0010-0000-2C00-000002000000}" name="Action" dataDxfId="7435"/>
    <tableColumn id="3" xr3:uid="{00000000-0010-0000-2C00-000003000000}" name="Message | Input" dataDxfId="7434"/>
    <tableColumn id="5" xr3:uid="{00000000-0010-0000-2C00-000005000000}" name="PEG" dataDxfId="7433"/>
    <tableColumn id="4" xr3:uid="{00000000-0010-0000-2C00-000004000000}" name="Notes &amp; Data Settings" dataDxfId="7432"/>
  </tableColumns>
  <tableStyleInfo name="TableStyleLight1" showFirstColumn="0" showLastColumn="0" showRowStripes="1" showColumnStripes="0"/>
</table>
</file>

<file path=xl/tables/table4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0" xr:uid="{00000000-000C-0000-FFFF-FFFF2D000000}" name="Table257552526910134344464748495657585963151817192245666771" displayName="Table257552526910134344464748495657585963151817192245666771" ref="A7:E29" totalsRowShown="0" headerRowDxfId="7431" headerRowBorderDxfId="7430" tableBorderDxfId="7429" totalsRowBorderDxfId="7428">
  <autoFilter ref="A7:E29" xr:uid="{00000000-0009-0000-0100-000046000000}"/>
  <tableColumns count="5">
    <tableColumn id="1" xr3:uid="{00000000-0010-0000-2D00-000001000000}" name="Step" dataDxfId="7427"/>
    <tableColumn id="2" xr3:uid="{00000000-0010-0000-2D00-000002000000}" name="Action" dataDxfId="7426"/>
    <tableColumn id="3" xr3:uid="{00000000-0010-0000-2D00-000003000000}" name="Message | Input" dataDxfId="7425"/>
    <tableColumn id="5" xr3:uid="{00000000-0010-0000-2D00-000005000000}" name="PEG" dataDxfId="7424"/>
    <tableColumn id="4" xr3:uid="{00000000-0010-0000-2D00-000004000000}" name="Notes &amp; Data Settings" dataDxfId="7423"/>
  </tableColumns>
  <tableStyleInfo name="TableStyleLight1" showFirstColumn="0" showLastColumn="0" showRowStripes="1" showColumnStripes="0"/>
</table>
</file>

<file path=xl/tables/table4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1" xr:uid="{00000000-000C-0000-FFFF-FFFF2E000000}" name="Table25755252691013434446474849565758596315181719224566677172" displayName="Table25755252691013434446474849565758596315181719224566677172" ref="A7:E29" totalsRowShown="0" headerRowDxfId="7422" headerRowBorderDxfId="7421" tableBorderDxfId="7420" totalsRowBorderDxfId="7419">
  <autoFilter ref="A7:E29" xr:uid="{00000000-0009-0000-0100-000047000000}"/>
  <tableColumns count="5">
    <tableColumn id="1" xr3:uid="{00000000-0010-0000-2E00-000001000000}" name="Step" dataDxfId="7418"/>
    <tableColumn id="2" xr3:uid="{00000000-0010-0000-2E00-000002000000}" name="Action" dataDxfId="7417"/>
    <tableColumn id="3" xr3:uid="{00000000-0010-0000-2E00-000003000000}" name="Message | Input" dataDxfId="7416"/>
    <tableColumn id="5" xr3:uid="{00000000-0010-0000-2E00-000005000000}" name="PEG" dataDxfId="7415"/>
    <tableColumn id="4" xr3:uid="{00000000-0010-0000-2E00-000004000000}" name="Notes &amp; Data Settings" dataDxfId="7414"/>
  </tableColumns>
  <tableStyleInfo name="TableStyleLight1" showFirstColumn="0" showLastColumn="0" showRowStripes="1" showColumnStripes="0"/>
</table>
</file>

<file path=xl/tables/table4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2" xr:uid="{00000000-000C-0000-FFFF-FFFF2F000000}" name="Table2575525269101343444647484956575859631518171922456667717273" displayName="Table2575525269101343444647484956575859631518171922456667717273" ref="A7:E24" totalsRowShown="0" headerRowDxfId="7413" headerRowBorderDxfId="7412" tableBorderDxfId="7411" totalsRowBorderDxfId="7410">
  <autoFilter ref="A7:E24" xr:uid="{00000000-0009-0000-0100-000048000000}"/>
  <tableColumns count="5">
    <tableColumn id="1" xr3:uid="{00000000-0010-0000-2F00-000001000000}" name="Step" dataDxfId="7409"/>
    <tableColumn id="2" xr3:uid="{00000000-0010-0000-2F00-000002000000}" name="Action" dataDxfId="7408"/>
    <tableColumn id="3" xr3:uid="{00000000-0010-0000-2F00-000003000000}" name="Message | Input" dataDxfId="7407"/>
    <tableColumn id="5" xr3:uid="{00000000-0010-0000-2F00-000005000000}" name="PEG" dataDxfId="7406"/>
    <tableColumn id="4" xr3:uid="{00000000-0010-0000-2F00-000004000000}" name="Notes &amp; Data Settings" dataDxfId="7405"/>
  </tableColumns>
  <tableStyleInfo name="TableStyleLight1" showFirstColumn="0" showLastColumn="0" showRowStripes="1" showColumnStripes="0"/>
</table>
</file>

<file path=xl/tables/table4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3" xr:uid="{00000000-000C-0000-FFFF-FFFF30000000}" name="Table257552526910134344464748495657585963151817192245666771727374" displayName="Table257552526910134344464748495657585963151817192245666771727374" ref="A7:E37" totalsRowShown="0" headerRowDxfId="7404" headerRowBorderDxfId="7403" tableBorderDxfId="7402" totalsRowBorderDxfId="7401">
  <autoFilter ref="A7:E37" xr:uid="{00000000-0009-0000-0100-000049000000}"/>
  <tableColumns count="5">
    <tableColumn id="1" xr3:uid="{00000000-0010-0000-3000-000001000000}" name="Step" dataDxfId="7400"/>
    <tableColumn id="2" xr3:uid="{00000000-0010-0000-3000-000002000000}" name="Action" dataDxfId="7399"/>
    <tableColumn id="3" xr3:uid="{00000000-0010-0000-3000-000003000000}" name="Message | Input" dataDxfId="7398"/>
    <tableColumn id="5" xr3:uid="{00000000-0010-0000-3000-000005000000}" name="PEG" dataDxfId="7397"/>
    <tableColumn id="4" xr3:uid="{00000000-0010-0000-3000-000004000000}" name="Notes &amp; Data Settings" dataDxfId="7396"/>
  </tableColumns>
  <tableStyleInfo name="TableStyleLight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00000000-000C-0000-FFFF-FFFF04000000}" name="Table257552526" displayName="Table257552526" ref="A7:E15" totalsRowShown="0" headerRowDxfId="7800" headerRowBorderDxfId="7799" tableBorderDxfId="7798" totalsRowBorderDxfId="7797">
  <autoFilter ref="A7:E15" xr:uid="{00000000-0009-0000-0100-000019000000}"/>
  <tableColumns count="5">
    <tableColumn id="1" xr3:uid="{00000000-0010-0000-0400-000001000000}" name="Step" dataDxfId="7796"/>
    <tableColumn id="2" xr3:uid="{00000000-0010-0000-0400-000002000000}" name="Action" dataDxfId="7795"/>
    <tableColumn id="3" xr3:uid="{00000000-0010-0000-0400-000003000000}" name="Message | Input" dataDxfId="7794">
      <calculatedColumnFormula>VLOOKUP(Table257552526[[#This Row],[PEG]],Table1016[],2,FALSE)</calculatedColumnFormula>
    </tableColumn>
    <tableColumn id="5" xr3:uid="{00000000-0010-0000-0400-000005000000}" name="PEG" dataDxfId="7793"/>
    <tableColumn id="4" xr3:uid="{00000000-0010-0000-0400-000004000000}" name="Notes &amp; Data Settings" dataDxfId="7792"/>
  </tableColumns>
  <tableStyleInfo name="TableStyleLight1" showFirstColumn="0" showLastColumn="0" showRowStripes="1" showColumnStripes="0"/>
</table>
</file>

<file path=xl/tables/table5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5" xr:uid="{0B1D3702-943E-4287-8936-1580C79B72F7}" name="Table25755252691013434446474849565758596315181719224566677172737476" displayName="Table25755252691013434446474849565758596315181719224566677172737476" ref="A7:E29" totalsRowShown="0" headerRowDxfId="7395" headerRowBorderDxfId="7394" tableBorderDxfId="7393" totalsRowBorderDxfId="7392">
  <autoFilter ref="A7:E29" xr:uid="{C914D423-A7DF-4052-A733-80D8ACC1C13D}"/>
  <tableColumns count="5">
    <tableColumn id="1" xr3:uid="{7CAAC73D-2220-4B9B-9C49-0FFD6D1225A0}" name="Step" dataDxfId="7391"/>
    <tableColumn id="2" xr3:uid="{6044A3AA-6F97-4651-84F4-72748E8E9797}" name="Action" dataDxfId="7390"/>
    <tableColumn id="3" xr3:uid="{1C1B30BF-8517-4BAB-9C59-3F2CF1FF7C8E}" name="Message | Input" dataDxfId="7389"/>
    <tableColumn id="5" xr3:uid="{CF34AEC1-34ED-4AE9-91B1-19FD02FF87DC}" name="PEG" dataDxfId="7388"/>
    <tableColumn id="4" xr3:uid="{F71054DC-267F-4DC8-BF9D-94BFD3E4CA29}" name="Notes &amp; Data Settings" dataDxfId="7387"/>
  </tableColumns>
  <tableStyleInfo name="TableStyleLight1" showFirstColumn="0" showLastColumn="0" showRowStripes="1" showColumnStripes="0"/>
</table>
</file>

<file path=xl/tables/table5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2" xr:uid="{97CE127D-E191-4B2B-A01A-1A0923EB325F}" name="Table25755252691013434446474849565758596315181719224566677172737483" displayName="Table25755252691013434446474849565758596315181719224566677172737483" ref="A7:E37" totalsRowShown="0" headerRowDxfId="7386" headerRowBorderDxfId="7385" tableBorderDxfId="7384" totalsRowBorderDxfId="7383">
  <autoFilter ref="A7:E37" xr:uid="{A4F1C29E-7D7B-4D95-8E23-BFF8953FF2BC}"/>
  <tableColumns count="5">
    <tableColumn id="1" xr3:uid="{6B9DFC8F-A5EA-4C3E-B86D-EDCCC9CD2C47}" name="Step" dataDxfId="7382"/>
    <tableColumn id="2" xr3:uid="{5B29DC75-B04B-4AA0-9612-AE75C96F55F8}" name="Action" dataDxfId="7381"/>
    <tableColumn id="3" xr3:uid="{EB412DA2-80BB-42BC-976E-8DB59037A3F5}" name="Message | Input" dataDxfId="7380"/>
    <tableColumn id="5" xr3:uid="{E7DF646D-E596-441F-8644-8B2CE2B45494}" name="PEG" dataDxfId="7379"/>
    <tableColumn id="4" xr3:uid="{1CD5A719-2CCF-4BF0-B883-1FB8C8A49C9C}" name="Notes &amp; Data Settings" dataDxfId="7378"/>
  </tableColumns>
  <tableStyleInfo name="TableStyleLight1" showFirstColumn="0" showLastColumn="0" showRowStripes="1" showColumnStripes="0"/>
</table>
</file>

<file path=xl/tables/table5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6" xr:uid="{125B75D6-FF3E-4A3F-A672-82CB64A38AA9}" name="Table2575525269101343444647484956575859631518171922456667717273748387" displayName="Table2575525269101343444647484956575859631518171922456667717273748387" ref="A7:E35" totalsRowShown="0" headerRowDxfId="7377" headerRowBorderDxfId="7376" tableBorderDxfId="7375" totalsRowBorderDxfId="7374">
  <autoFilter ref="A7:E35" xr:uid="{0F43B8AE-A578-4D18-9C69-29CC8604FCCA}"/>
  <tableColumns count="5">
    <tableColumn id="1" xr3:uid="{F4D7ADE7-6A7B-4C0D-8275-E32AC81BB465}" name="Step" dataDxfId="7373"/>
    <tableColumn id="2" xr3:uid="{B09B0AC6-6855-48E9-B448-FBCB09300B96}" name="Action" dataDxfId="7372"/>
    <tableColumn id="3" xr3:uid="{7B429C50-9F29-4164-BA43-E070E0E110F1}" name="Message | Input" dataDxfId="7371"/>
    <tableColumn id="5" xr3:uid="{5A1E05E4-859C-4F23-A7C2-D96EF1CA9FE2}" name="PEG" dataDxfId="7370"/>
    <tableColumn id="4" xr3:uid="{6635C8CE-53AA-4FB1-8AC1-F997B678060C}" name="Notes &amp; Data Settings" dataDxfId="7369"/>
  </tableColumns>
  <tableStyleInfo name="TableStyleLight1" showFirstColumn="0" showLastColumn="0" showRowStripes="1" showColumnStripes="0"/>
</table>
</file>

<file path=xl/tables/table5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7" xr:uid="{5D02DE7C-471E-4D54-8003-CDB044DC0D2C}" name="Table2575525269101343444647484956575859631518171922456667717273748388" displayName="Table2575525269101343444647484956575859631518171922456667717273748388" ref="A7:E48" totalsRowShown="0" headerRowDxfId="7368" headerRowBorderDxfId="7367" tableBorderDxfId="7366" totalsRowBorderDxfId="7365">
  <autoFilter ref="A7:E48" xr:uid="{E5127F29-B73B-4B62-AEF2-3C88F69B10FD}"/>
  <tableColumns count="5">
    <tableColumn id="1" xr3:uid="{BE01BADD-6813-4083-A2F5-E6AC9D9521D2}" name="Step" dataDxfId="7364"/>
    <tableColumn id="2" xr3:uid="{E0C8026A-3A33-46FC-87E5-4B29EF146204}" name="Action" dataDxfId="7363"/>
    <tableColumn id="3" xr3:uid="{7B573CB2-12BD-425B-AC19-AE6CBCE65754}" name="Message | Input" dataDxfId="7362"/>
    <tableColumn id="5" xr3:uid="{B187960E-8D8F-447D-BFF4-FE2B43BEA662}" name="PEG" dataDxfId="7361"/>
    <tableColumn id="4" xr3:uid="{2BF0FA63-984C-4A9E-A1AB-DBC1FF9F9CC9}" name="Notes &amp; Data Settings" dataDxfId="7360"/>
  </tableColumns>
  <tableStyleInfo name="TableStyleLight1" showFirstColumn="0" showLastColumn="0" showRowStripes="1" showColumnStripes="0"/>
</table>
</file>

<file path=xl/tables/table5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8" xr:uid="{00000000-000C-0000-FFFF-FFFF35000000}" name="Table25755252691013434446474849565758596315181719224566677172737476777879" displayName="Table25755252691013434446474849565758596315181719224566677172737476777879" ref="A7:E30" totalsRowShown="0" headerRowDxfId="7359" headerRowBorderDxfId="7358" tableBorderDxfId="7357" totalsRowBorderDxfId="7356">
  <autoFilter ref="A7:E30" xr:uid="{00000000-0009-0000-0100-00004E000000}"/>
  <tableColumns count="5">
    <tableColumn id="1" xr3:uid="{00000000-0010-0000-3500-000001000000}" name="Step" dataDxfId="7355"/>
    <tableColumn id="2" xr3:uid="{00000000-0010-0000-3500-000002000000}" name="Action" dataDxfId="7354"/>
    <tableColumn id="3" xr3:uid="{00000000-0010-0000-3500-000003000000}" name="Message | Input" dataDxfId="7353"/>
    <tableColumn id="5" xr3:uid="{00000000-0010-0000-3500-000005000000}" name="PEG" dataDxfId="7352"/>
    <tableColumn id="4" xr3:uid="{00000000-0010-0000-3500-000004000000}" name="Notes &amp; Data Settings" dataDxfId="7351"/>
  </tableColumns>
  <tableStyleInfo name="TableStyleLight1" showFirstColumn="0" showLastColumn="0" showRowStripes="1" showColumnStripes="0"/>
</table>
</file>

<file path=xl/tables/table5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2" xr:uid="{25335D8C-53D6-4C91-932D-DA1DA4FF7C22}" name="Table2575525269101343444647484956575859631518171922456667717273747677787993" displayName="Table2575525269101343444647484956575859631518171922456667717273747677787993" ref="A7:E37" totalsRowShown="0" headerRowDxfId="7350" headerRowBorderDxfId="7349" tableBorderDxfId="7348" totalsRowBorderDxfId="7347">
  <autoFilter ref="A7:E37" xr:uid="{542B222C-BC71-42A9-B611-DBAC57FD3952}"/>
  <tableColumns count="5">
    <tableColumn id="1" xr3:uid="{2560F493-AD2B-4A4D-911D-E7485757BCF5}" name="Step" dataDxfId="7346"/>
    <tableColumn id="2" xr3:uid="{5B67B730-17DE-4E3B-8E4C-071092F6C132}" name="Action" dataDxfId="7345"/>
    <tableColumn id="3" xr3:uid="{945B7D8C-2902-4CA9-A634-B46A9A562E72}" name="Message | Input" dataDxfId="7344"/>
    <tableColumn id="5" xr3:uid="{4D382758-6E61-4026-8482-E32EA7ADB812}" name="PEG" dataDxfId="7343"/>
    <tableColumn id="4" xr3:uid="{880788B2-41D8-45A1-A76E-66D23B696ADA}" name="Notes &amp; Data Settings" dataDxfId="7342"/>
  </tableColumns>
  <tableStyleInfo name="TableStyleLight1" showFirstColumn="0" showLastColumn="0" showRowStripes="1" showColumnStripes="0"/>
</table>
</file>

<file path=xl/tables/table5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3" xr:uid="{522046AE-1C0E-4C3A-BC7C-A464211AB38E}" name="Table257552526910134344464748495657585963151817192245666771727374767778799394" displayName="Table257552526910134344464748495657585963151817192245666771727374767778799394" ref="A7:E27" totalsRowShown="0" headerRowDxfId="7341" headerRowBorderDxfId="7340" tableBorderDxfId="7339" totalsRowBorderDxfId="7338">
  <autoFilter ref="A7:E27" xr:uid="{CF408CFE-5879-4E8D-8DD8-92C8FE63F6E2}"/>
  <tableColumns count="5">
    <tableColumn id="1" xr3:uid="{C2116610-7A92-4ED3-8DDD-A70A27E68332}" name="Step" dataDxfId="7337"/>
    <tableColumn id="2" xr3:uid="{9450C8EE-4C44-49D7-A9FE-7A55FFEC74A8}" name="Action" dataDxfId="7336"/>
    <tableColumn id="3" xr3:uid="{B62B7EF9-A113-4251-B0D7-0F61F3ED1DDB}" name="Message | Input" dataDxfId="7335"/>
    <tableColumn id="5" xr3:uid="{CFB97195-1387-4167-B2D0-5E75E3EC11EF}" name="PEG" dataDxfId="7334"/>
    <tableColumn id="4" xr3:uid="{BC4F0E5C-2595-472E-B20D-B4995FAA2FC0}" name="Notes &amp; Data Settings" dataDxfId="7333"/>
  </tableColumns>
  <tableStyleInfo name="TableStyleLight1" showFirstColumn="0" showLastColumn="0" showRowStripes="1" showColumnStripes="0"/>
</table>
</file>

<file path=xl/tables/table5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4" xr:uid="{00D3AAA8-0B86-45AC-AA29-2A1B2D34A274}" name="Table25755252691013434446474849565758596315181719224566677172737476777879939495" displayName="Table25755252691013434446474849565758596315181719224566677172737476777879939495" ref="A7:E43" totalsRowShown="0" headerRowDxfId="7332" headerRowBorderDxfId="7331" tableBorderDxfId="7330" totalsRowBorderDxfId="7329">
  <autoFilter ref="A7:E43" xr:uid="{E883A3B1-4ED2-454D-836C-432F4D581970}"/>
  <tableColumns count="5">
    <tableColumn id="1" xr3:uid="{B69084A5-1A2B-4E7A-9477-ABD6854BBE45}" name="Step" dataDxfId="7328"/>
    <tableColumn id="2" xr3:uid="{BC731308-E34A-4DA7-9275-76D24BDB99EF}" name="Action" dataDxfId="7327"/>
    <tableColumn id="3" xr3:uid="{0D2E17CC-5F7C-4B1E-ACEC-C87B606B32F4}" name="Message | Input" dataDxfId="7326"/>
    <tableColumn id="5" xr3:uid="{D69B262E-F896-4B7F-BEF5-BB7BDEC3184A}" name="PEG" dataDxfId="7325"/>
    <tableColumn id="4" xr3:uid="{C1555D01-E5A5-4E93-8670-0851997C5F86}" name="Notes &amp; Data Settings" dataDxfId="7324"/>
  </tableColumns>
  <tableStyleInfo name="TableStyleLight1" showFirstColumn="0" showLastColumn="0" showRowStripes="1" showColumnStripes="0"/>
</table>
</file>

<file path=xl/tables/table5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5" xr:uid="{A75FE308-B9C8-4303-B831-FBCE9BDF3DF2}" name="Table2575525269101343444647484956575859631518171922456667717273747677787993949596" displayName="Table2575525269101343444647484956575859631518171922456667717273747677787993949596" ref="A7:E38" totalsRowShown="0" headerRowDxfId="7323" headerRowBorderDxfId="7322" tableBorderDxfId="7321" totalsRowBorderDxfId="7320">
  <autoFilter ref="A7:E38" xr:uid="{A210D78C-7343-4E26-97ED-149A61673BD7}"/>
  <tableColumns count="5">
    <tableColumn id="1" xr3:uid="{9807FE57-23C7-446E-BD3C-70E5AB813D55}" name="Step" dataDxfId="7319"/>
    <tableColumn id="2" xr3:uid="{2DDE2A3B-1D85-4E06-A99F-F97B31C92931}" name="Action" dataDxfId="7318"/>
    <tableColumn id="3" xr3:uid="{946EB2CC-E333-47D5-ABAB-211419E9A303}" name="Message | Input" dataDxfId="7317"/>
    <tableColumn id="5" xr3:uid="{83FC7183-EB57-4A21-B7CF-ED2CB5A79C19}" name="PEG" dataDxfId="7316"/>
    <tableColumn id="4" xr3:uid="{6EFFAE70-0DC8-4472-A028-651A7B914592}" name="Notes &amp; Data Settings" dataDxfId="7315"/>
  </tableColumns>
  <tableStyleInfo name="TableStyleLight1" showFirstColumn="0" showLastColumn="0" showRowStripes="1" showColumnStripes="0"/>
</table>
</file>

<file path=xl/tables/table5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6" xr:uid="{5F4C8DEB-D083-4F27-AA36-3F41BF070291}" name="Table2575525269101343444647484956575859631518171922456667717273747677787993949597" displayName="Table2575525269101343444647484956575859631518171922456667717273747677787993949597" ref="A7:E34" totalsRowShown="0" headerRowDxfId="7314" headerRowBorderDxfId="7313" tableBorderDxfId="7312" totalsRowBorderDxfId="7311">
  <autoFilter ref="A7:E34" xr:uid="{7287072F-3DDB-4AEB-9FCB-552FB4B58765}"/>
  <tableColumns count="5">
    <tableColumn id="1" xr3:uid="{CA6CA9B3-4C13-46F1-931C-729A302C21F9}" name="Step" dataDxfId="7310"/>
    <tableColumn id="2" xr3:uid="{B34B70B4-21BC-4464-B1CE-0ED011CB9C33}" name="Action" dataDxfId="7309"/>
    <tableColumn id="3" xr3:uid="{F60DA315-2F55-4137-83AD-673DD99F291F}" name="Message | Input" dataDxfId="7308"/>
    <tableColumn id="5" xr3:uid="{CE418193-2BF4-441D-AC4F-EC7C29348AD9}" name="PEG" dataDxfId="7307"/>
    <tableColumn id="4" xr3:uid="{7329EF45-406B-4F19-BA5A-21019B8CE4F0}" name="Notes &amp; Data Settings" dataDxfId="7306"/>
  </tableColumns>
  <tableStyleInfo name="TableStyleLight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9" xr:uid="{00000000-000C-0000-FFFF-FFFF05000000}" name="Table25755252670" displayName="Table25755252670" ref="A7:E21" totalsRowShown="0" headerRowDxfId="7791" headerRowBorderDxfId="7790" tableBorderDxfId="7789" totalsRowBorderDxfId="7788">
  <autoFilter ref="A7:E21" xr:uid="{00000000-0009-0000-0100-000045000000}"/>
  <tableColumns count="5">
    <tableColumn id="1" xr3:uid="{00000000-0010-0000-0500-000001000000}" name="Step" dataDxfId="7787"/>
    <tableColumn id="2" xr3:uid="{00000000-0010-0000-0500-000002000000}" name="Action" dataDxfId="7786"/>
    <tableColumn id="3" xr3:uid="{00000000-0010-0000-0500-000003000000}" name="Message | Input" dataDxfId="7785">
      <calculatedColumnFormula>VLOOKUP(Table25755252670[[#This Row],[PEG]],Table1016[],2,FALSE)</calculatedColumnFormula>
    </tableColumn>
    <tableColumn id="5" xr3:uid="{00000000-0010-0000-0500-000005000000}" name="PEG" dataDxfId="7784"/>
    <tableColumn id="4" xr3:uid="{00000000-0010-0000-0500-000004000000}" name="Notes &amp; Data Settings" dataDxfId="7783"/>
  </tableColumns>
  <tableStyleInfo name="TableStyleLight1" showFirstColumn="0" showLastColumn="0" showRowStripes="1" showColumnStripes="0"/>
</table>
</file>

<file path=xl/tables/table6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7" xr:uid="{91E7FD73-7803-4D88-BCEE-024FBAA73BC9}" name="Table2575525269101343444647484956575859631518171922456667717273747677787993949598" displayName="Table2575525269101343444647484956575859631518171922456667717273747677787993949598" ref="A7:E35" totalsRowShown="0" headerRowDxfId="7305" headerRowBorderDxfId="7304" tableBorderDxfId="7303" totalsRowBorderDxfId="7302">
  <autoFilter ref="A7:E35" xr:uid="{638EA8AA-DC83-4055-AAD5-B3ED4902DEA4}"/>
  <tableColumns count="5">
    <tableColumn id="1" xr3:uid="{57D3AD13-DC7C-4279-8CAD-9DA4F9AA4FA9}" name="Step" dataDxfId="7301"/>
    <tableColumn id="2" xr3:uid="{14772850-1C46-42FF-899E-13CA01701CD7}" name="Action" dataDxfId="7300"/>
    <tableColumn id="3" xr3:uid="{FC50FB7F-DB9D-496F-B8CC-B29334D87C32}" name="Message | Input" dataDxfId="7299"/>
    <tableColumn id="5" xr3:uid="{ED42AB72-1B2F-4329-A0D6-2EAD213CB21B}" name="PEG" dataDxfId="7298"/>
    <tableColumn id="4" xr3:uid="{D4B0C9FF-2786-4FA1-8D3C-ED4E8A54E139}" name="Notes &amp; Data Settings" dataDxfId="7297"/>
  </tableColumns>
  <tableStyleInfo name="TableStyleLight1" showFirstColumn="0" showLastColumn="0" showRowStripes="1" showColumnStripes="0"/>
</table>
</file>

<file path=xl/tables/table6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9" xr:uid="{49A257EE-6FC2-4EBB-BA05-F8B3D181AE86}" name="Table25755252691013434446474849565758596315181719224566677172737476777879939495100" displayName="Table25755252691013434446474849565758596315181719224566677172737476777879939495100" ref="A7:E29" totalsRowShown="0" headerRowDxfId="7296" headerRowBorderDxfId="7295" tableBorderDxfId="7294" totalsRowBorderDxfId="7293">
  <autoFilter ref="A7:E29" xr:uid="{E7523F63-659D-4494-9478-876BA837923D}"/>
  <tableColumns count="5">
    <tableColumn id="1" xr3:uid="{F43AD177-D1C9-49C3-A773-1F548A0F0DD5}" name="Step" dataDxfId="7292"/>
    <tableColumn id="2" xr3:uid="{5986C70C-1E66-46DA-ACE9-D961D192EBAE}" name="Action" dataDxfId="7291"/>
    <tableColumn id="3" xr3:uid="{F6779074-7622-4C92-BAD7-9EBFD6C30FDD}" name="Message | Input" dataDxfId="7290"/>
    <tableColumn id="5" xr3:uid="{8269E45F-0B13-43FB-BAA7-2FBC0FFAE4C1}" name="PEG" dataDxfId="7289"/>
    <tableColumn id="4" xr3:uid="{88C070D5-76C4-4AFE-80E4-4440A54A6DD8}" name="Notes &amp; Data Settings" dataDxfId="7288"/>
  </tableColumns>
  <tableStyleInfo name="TableStyleLight1" showFirstColumn="0" showLastColumn="0" showRowStripes="1" showColumnStripes="0"/>
</table>
</file>

<file path=xl/tables/table6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1" xr:uid="{5D017965-5ABD-462F-AD8D-DCC189457382}" name="Table25755252691013434446474849565758596315181719224566677172737476777879939495100102" displayName="Table25755252691013434446474849565758596315181719224566677172737476777879939495100102" ref="A7:E42" totalsRowShown="0" headerRowDxfId="7287" headerRowBorderDxfId="7286" tableBorderDxfId="7285" totalsRowBorderDxfId="7284">
  <autoFilter ref="A7:E42" xr:uid="{85FE27DD-03AD-4B77-96D2-B7499BA58F2A}"/>
  <tableColumns count="5">
    <tableColumn id="1" xr3:uid="{F37481CD-4E90-4CFB-A769-FA0F16E45BDB}" name="Step" dataDxfId="7283"/>
    <tableColumn id="2" xr3:uid="{4832CFA6-9C38-4FD2-BCB0-CF2DD8B7D5D3}" name="Action" dataDxfId="7282"/>
    <tableColumn id="3" xr3:uid="{760FC72F-6449-4613-93BF-F848CAA1BCFD}" name="Message | Input" dataDxfId="7281"/>
    <tableColumn id="5" xr3:uid="{BD20A384-75CD-4409-84B9-60D643A27496}" name="PEG" dataDxfId="7280"/>
    <tableColumn id="4" xr3:uid="{C4EEF4CD-8612-4701-BB11-D353FE87F08F}" name="Notes &amp; Data Settings" dataDxfId="7279"/>
  </tableColumns>
  <tableStyleInfo name="TableStyleLight1" showFirstColumn="0" showLastColumn="0" showRowStripes="1" showColumnStripes="0"/>
</table>
</file>

<file path=xl/tables/table6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3" xr:uid="{89980563-FCFE-4AAB-93E6-2BD4CE3827DB}" name="Table25755252691013434446474849565758596315181719224566677172737476777879939495100104" displayName="Table25755252691013434446474849565758596315181719224566677172737476777879939495100104" ref="A7:E42" totalsRowShown="0" headerRowDxfId="7278" headerRowBorderDxfId="7277" tableBorderDxfId="7276" totalsRowBorderDxfId="7275">
  <autoFilter ref="A7:E42" xr:uid="{60C78FCC-57F5-417B-A831-1A1EAFD1C1D0}"/>
  <tableColumns count="5">
    <tableColumn id="1" xr3:uid="{99BFA732-A2A3-4508-8CB6-01123C07039E}" name="Step" dataDxfId="7274"/>
    <tableColumn id="2" xr3:uid="{7C4B58C9-4708-433D-AACB-50EE1094F7BA}" name="Action" dataDxfId="7273"/>
    <tableColumn id="3" xr3:uid="{DF9A30DB-4055-455D-96BE-08933AC3E6B9}" name="Message | Input" dataDxfId="7272"/>
    <tableColumn id="5" xr3:uid="{2A0E7946-38F3-49E7-A147-88542B3F0199}" name="PEG" dataDxfId="7271"/>
    <tableColumn id="4" xr3:uid="{FE6CA0DC-1301-4287-9A33-1078C2952647}" name="Notes &amp; Data Settings" dataDxfId="7270"/>
  </tableColumns>
  <tableStyleInfo name="TableStyleLight1" showFirstColumn="0" showLastColumn="0" showRowStripes="1" showColumnStripes="0"/>
</table>
</file>

<file path=xl/tables/table6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6" xr:uid="{AE23B3C8-9EFE-4AF1-8E0A-0E1C83380292}" name="Table25755252691013434446474849565758596315181719224566677172737476777879939495100104107" displayName="Table25755252691013434446474849565758596315181719224566677172737476777879939495100104107" ref="A7:E42" totalsRowShown="0" headerRowDxfId="7269" headerRowBorderDxfId="7268" tableBorderDxfId="7267" totalsRowBorderDxfId="7266">
  <autoFilter ref="A7:E42" xr:uid="{2C63528B-8AB2-48CD-BFAC-BF623D42E88E}"/>
  <tableColumns count="5">
    <tableColumn id="1" xr3:uid="{97AE40A9-879B-43E7-8E66-1ACFF96A7D29}" name="Step" dataDxfId="7265"/>
    <tableColumn id="2" xr3:uid="{68752CF6-6679-4AEF-B250-C93DB36F1E22}" name="Action" dataDxfId="7264"/>
    <tableColumn id="3" xr3:uid="{99AD3CD7-BDBE-4628-BDA6-2AFD597CEA22}" name="Message | Input" dataDxfId="7263"/>
    <tableColumn id="5" xr3:uid="{26E5E47F-FBF4-4DF9-BDEE-34793ED708D7}" name="PEG" dataDxfId="7262"/>
    <tableColumn id="4" xr3:uid="{BC027348-C59B-4484-A1EA-C891BD5547C2}" name="Notes &amp; Data Settings" dataDxfId="7261"/>
  </tableColumns>
  <tableStyleInfo name="TableStyleLight1" showFirstColumn="0" showLastColumn="0" showRowStripes="1" showColumnStripes="0"/>
</table>
</file>

<file path=xl/tables/table6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8" xr:uid="{7B7F02B8-1D75-4EB6-B998-DEF100C90CA1}" name="Table25755252691013434446474849565758596315181719224566677172737476777879939495100104109" displayName="Table25755252691013434446474849565758596315181719224566677172737476777879939495100104109" ref="A7:E42" totalsRowShown="0" headerRowDxfId="7260" headerRowBorderDxfId="7259" tableBorderDxfId="7258" totalsRowBorderDxfId="7257">
  <autoFilter ref="A7:E42" xr:uid="{F88F9806-0258-43C8-8427-47E479252A81}"/>
  <tableColumns count="5">
    <tableColumn id="1" xr3:uid="{93686D05-89EC-416F-90CE-C1A96898CB6D}" name="Step" dataDxfId="7256"/>
    <tableColumn id="2" xr3:uid="{83A9E8CE-E48D-4EC6-A1C9-3DFDEF4655FB}" name="Action" dataDxfId="7255"/>
    <tableColumn id="3" xr3:uid="{778CFEBC-23A1-4BA5-81A8-E71F6B959726}" name="Message | Input" dataDxfId="7254"/>
    <tableColumn id="5" xr3:uid="{7FFF1842-A2EC-482C-BFA7-111247B3FFF9}" name="PEG" dataDxfId="7253"/>
    <tableColumn id="4" xr3:uid="{F0FBF342-1C50-4FA1-8844-7B5FBDC5FA48}" name="Notes &amp; Data Settings" dataDxfId="7252"/>
  </tableColumns>
  <tableStyleInfo name="TableStyleLight1" showFirstColumn="0" showLastColumn="0" showRowStripes="1" showColumnStripes="0"/>
</table>
</file>

<file path=xl/tables/table6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0" xr:uid="{C3C0CE86-01A6-40AC-883B-3F9D697126B7}" name="Table25755252691013434446474849565758596315181719224566677172737476777879939495100104109111" displayName="Table25755252691013434446474849565758596315181719224566677172737476777879939495100104109111" ref="A7:E42" totalsRowShown="0" headerRowDxfId="7251" headerRowBorderDxfId="7250" tableBorderDxfId="7249" totalsRowBorderDxfId="7248">
  <autoFilter ref="A7:E42" xr:uid="{399218CC-F5DE-4F86-A018-DE21F33E49AB}"/>
  <tableColumns count="5">
    <tableColumn id="1" xr3:uid="{09EC3253-A3DF-4206-9177-68A9BD68BF4F}" name="Step" dataDxfId="7247"/>
    <tableColumn id="2" xr3:uid="{1EA65598-29DA-4F40-9D1C-B1FAA0FF00D8}" name="Action" dataDxfId="7246"/>
    <tableColumn id="3" xr3:uid="{94DBC8B4-D199-4C8C-936B-8DF955071E28}" name="Message | Input" dataDxfId="7245"/>
    <tableColumn id="5" xr3:uid="{0B683431-EDEB-440A-BEB6-0605CD386EF6}" name="PEG" dataDxfId="7244"/>
    <tableColumn id="4" xr3:uid="{03F274F8-E64B-4E94-9D7E-543606B62BEC}" name="Notes &amp; Data Settings" dataDxfId="7243"/>
  </tableColumns>
  <tableStyleInfo name="TableStyleLight1" showFirstColumn="0" showLastColumn="0" showRowStripes="1" showColumnStripes="0"/>
</table>
</file>

<file path=xl/tables/table6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2" xr:uid="{2F033877-C5D1-40E5-B810-97E257A61255}" name="Table25755252691013434446474849565758596315181719224566677172737476777879939495100104109111113" displayName="Table25755252691013434446474849565758596315181719224566677172737476777879939495100104109111113" ref="A7:E42" totalsRowShown="0" headerRowDxfId="7242" headerRowBorderDxfId="7241" tableBorderDxfId="7240" totalsRowBorderDxfId="7239">
  <autoFilter ref="A7:E42" xr:uid="{0FBC78FC-E0D5-4D24-A9D9-AA7FAA055BE1}"/>
  <tableColumns count="5">
    <tableColumn id="1" xr3:uid="{A9992379-B17E-431E-99B9-04B082136AE2}" name="Step" dataDxfId="7238"/>
    <tableColumn id="2" xr3:uid="{C1C0FA72-9E19-41D7-8D80-C8FA6B5F63DD}" name="Action" dataDxfId="7237"/>
    <tableColumn id="3" xr3:uid="{0B0D3A03-8998-43E7-80F3-735DD13E2F89}" name="Message | Input" dataDxfId="7236"/>
    <tableColumn id="5" xr3:uid="{EC003F58-0E85-4467-98FB-035A6DB00BD2}" name="PEG" dataDxfId="7235"/>
    <tableColumn id="4" xr3:uid="{D5ED0FB0-7767-44E9-870F-90A91BCD48CA}" name="Notes &amp; Data Settings" dataDxfId="7234"/>
  </tableColumns>
  <tableStyleInfo name="TableStyleLight1" showFirstColumn="0" showLastColumn="0" showRowStripes="1" showColumnStripes="0"/>
</table>
</file>

<file path=xl/tables/table6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4" xr:uid="{D4D0A2E9-C8C9-4D08-B7E1-8D36F20BAD83}" name="Table25755252691013434446474849565758596315181719224566677172737476777879939495100104109111113115" displayName="Table25755252691013434446474849565758596315181719224566677172737476777879939495100104109111113115" ref="A7:E42" totalsRowShown="0" headerRowDxfId="7233" headerRowBorderDxfId="7232" tableBorderDxfId="7231" totalsRowBorderDxfId="7230">
  <autoFilter ref="A7:E42" xr:uid="{2AF1498D-AC78-481D-820F-A9B6AA19C065}"/>
  <tableColumns count="5">
    <tableColumn id="1" xr3:uid="{CF45D38D-A727-4E70-9A79-C5B0FC2B41B3}" name="Step" dataDxfId="7229"/>
    <tableColumn id="2" xr3:uid="{B3FFEFFA-C81F-40F0-98F0-DBDFC10F845A}" name="Action" dataDxfId="7228"/>
    <tableColumn id="3" xr3:uid="{911D485D-6A20-4C0B-B321-7AEF1A738BE7}" name="Message | Input" dataDxfId="7227"/>
    <tableColumn id="5" xr3:uid="{0F902464-971A-48C5-9441-891806CBEBF0}" name="PEG" dataDxfId="7226"/>
    <tableColumn id="4" xr3:uid="{72748883-9329-414D-87B0-AEBBD49A46AD}" name="Notes &amp; Data Settings" dataDxfId="7225"/>
  </tableColumns>
  <tableStyleInfo name="TableStyleLight1" showFirstColumn="0" showLastColumn="0" showRowStripes="1" showColumnStripes="0"/>
</table>
</file>

<file path=xl/tables/table6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6" xr:uid="{6ABBA9D0-AB91-4767-BD9A-B31659DCEA09}" name="Table25755252691013434446474849565758596315181719224566677172737476777879939495100104109111113115117" displayName="Table25755252691013434446474849565758596315181719224566677172737476777879939495100104109111113115117" ref="A7:E42" totalsRowShown="0" headerRowDxfId="7224" headerRowBorderDxfId="7223" tableBorderDxfId="7222" totalsRowBorderDxfId="7221">
  <autoFilter ref="A7:E42" xr:uid="{6483AD1F-1AE5-4AF7-88DA-1C233867B8E2}"/>
  <tableColumns count="5">
    <tableColumn id="1" xr3:uid="{F1F234AD-2A18-4303-BF48-2F10C5DEFECF}" name="Step" dataDxfId="7220"/>
    <tableColumn id="2" xr3:uid="{1A44D8C2-628B-40F3-B754-A5C8C9AE4891}" name="Action" dataDxfId="7219"/>
    <tableColumn id="3" xr3:uid="{841D562F-07A2-4FCD-BF09-DCD64491D91D}" name="Message | Input" dataDxfId="7218"/>
    <tableColumn id="5" xr3:uid="{ED1BA939-8165-4C1A-8BA0-EF19343D817D}" name="PEG" dataDxfId="7217"/>
    <tableColumn id="4" xr3:uid="{4CBEE934-EC2A-49B4-8B30-627F1555D11C}" name="Notes &amp; Data Settings" dataDxfId="7216"/>
  </tableColumns>
  <tableStyleInfo name="TableStyleLight1"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6000000}" name="Table257552526910" displayName="Table257552526910" ref="A7:E17" totalsRowShown="0" headerRowDxfId="7782" headerRowBorderDxfId="7781" tableBorderDxfId="7780" totalsRowBorderDxfId="7779">
  <autoFilter ref="A7:E17" xr:uid="{00000000-0009-0000-0100-000009000000}"/>
  <tableColumns count="5">
    <tableColumn id="1" xr3:uid="{00000000-0010-0000-0600-000001000000}" name="Step" dataDxfId="7778"/>
    <tableColumn id="2" xr3:uid="{00000000-0010-0000-0600-000002000000}" name="Action" dataDxfId="7777"/>
    <tableColumn id="3" xr3:uid="{00000000-0010-0000-0600-000003000000}" name="Message | Input" dataDxfId="7776"/>
    <tableColumn id="5" xr3:uid="{00000000-0010-0000-0600-000005000000}" name="PEG" dataDxfId="7775"/>
    <tableColumn id="4" xr3:uid="{00000000-0010-0000-0600-000004000000}" name="Notes &amp; Data Settings" dataDxfId="7774"/>
  </tableColumns>
  <tableStyleInfo name="TableStyleLight1" showFirstColumn="0" showLastColumn="0" showRowStripes="1" showColumnStripes="0"/>
</table>
</file>

<file path=xl/tables/table7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8" xr:uid="{42EACC00-8125-4EF8-80B4-A0240B350C8B}" name="Table25755252691013434446474849565758596315181719224566677172737476777879939495100104109111113115117119" displayName="Table25755252691013434446474849565758596315181719224566677172737476777879939495100104109111113115117119" ref="A7:E42" totalsRowShown="0" headerRowDxfId="7215" headerRowBorderDxfId="7214" tableBorderDxfId="7213" totalsRowBorderDxfId="7212">
  <autoFilter ref="A7:E42" xr:uid="{F7C5E349-777B-455E-B1C9-30FD7994712E}"/>
  <tableColumns count="5">
    <tableColumn id="1" xr3:uid="{670B8BA7-5037-44D3-8AB6-A4C743084272}" name="Step" dataDxfId="7211"/>
    <tableColumn id="2" xr3:uid="{AC241AE0-4368-4BE9-9456-D81BD98850F7}" name="Action" dataDxfId="7210"/>
    <tableColumn id="3" xr3:uid="{1FBE606F-DF30-47ED-887D-39C096629A31}" name="Message | Input" dataDxfId="7209"/>
    <tableColumn id="5" xr3:uid="{EF34A2AC-63C5-49B8-B438-98DD19EE8346}" name="PEG" dataDxfId="7208"/>
    <tableColumn id="4" xr3:uid="{8A15E442-9184-4A2C-A0CE-0A802D4D4F3C}" name="Notes &amp; Data Settings" dataDxfId="7207"/>
  </tableColumns>
  <tableStyleInfo name="TableStyleLight1" showFirstColumn="0" showLastColumn="0" showRowStripes="1" showColumnStripes="0"/>
</table>
</file>

<file path=xl/tables/table7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0" xr:uid="{A9DB3CCB-38E6-4505-8793-C29830403583}" name="Table25755252691013434446474849565758596315181719224566677172737476777879939495100104109111113115117121" displayName="Table25755252691013434446474849565758596315181719224566677172737476777879939495100104109111113115117121" ref="A7:E43" totalsRowShown="0" headerRowDxfId="7206" headerRowBorderDxfId="7205" tableBorderDxfId="7204" totalsRowBorderDxfId="7203">
  <autoFilter ref="A7:E43" xr:uid="{DD15A7DB-978E-4F01-BE10-F075C54A1BB3}"/>
  <tableColumns count="5">
    <tableColumn id="1" xr3:uid="{F92D113B-44CB-403F-921E-3590A218E1BB}" name="Step" dataDxfId="7202"/>
    <tableColumn id="2" xr3:uid="{3F5B9500-91D4-4365-B321-A534E218251D}" name="Action" dataDxfId="7201"/>
    <tableColumn id="3" xr3:uid="{25FB7328-7F37-4C06-B356-F5B0554B59EF}" name="Message | Input" dataDxfId="7200"/>
    <tableColumn id="5" xr3:uid="{50CA310A-8E6C-4B6A-97B5-4D81D1D053D4}" name="PEG" dataDxfId="7199"/>
    <tableColumn id="4" xr3:uid="{5CD9ADC9-A1EB-43D3-B95C-9873580D4C6A}" name="Notes &amp; Data Settings" dataDxfId="7198"/>
  </tableColumns>
  <tableStyleInfo name="TableStyleLight1" showFirstColumn="0" showLastColumn="0" showRowStripes="1" showColumnStripes="0"/>
</table>
</file>

<file path=xl/tables/table7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2" xr:uid="{DF68E264-5495-4917-8341-6A738EE298A9}" name="Table25755252691013434446474849565758596315181719224566677172737476777879939495100104109111113115117123" displayName="Table25755252691013434446474849565758596315181719224566677172737476777879939495100104109111113115117123" ref="A7:E36" totalsRowShown="0" headerRowDxfId="7197" headerRowBorderDxfId="7196" tableBorderDxfId="7195" totalsRowBorderDxfId="7194">
  <autoFilter ref="A7:E36" xr:uid="{964754B0-5454-4FB6-B4CD-DCD80BB9E6F1}"/>
  <tableColumns count="5">
    <tableColumn id="1" xr3:uid="{F2906E77-47E3-4BD1-B7AD-80DE2975B213}" name="Step" dataDxfId="7193"/>
    <tableColumn id="2" xr3:uid="{1D228B46-119A-47A7-8F86-DECEBFF86425}" name="Action" dataDxfId="7192"/>
    <tableColumn id="3" xr3:uid="{77944FC5-9F0A-4861-B038-AB1B964FCA1D}" name="Message | Input" dataDxfId="7191"/>
    <tableColumn id="5" xr3:uid="{D9A53C8D-5A6D-4A22-8ADA-A5F39588EACF}" name="PEG" dataDxfId="7190"/>
    <tableColumn id="4" xr3:uid="{4AAADECD-5B02-4EEB-82A4-7BCC2451E9EF}" name="Notes &amp; Data Settings" dataDxfId="7189"/>
  </tableColumns>
  <tableStyleInfo name="TableStyleLight1" showFirstColumn="0" showLastColumn="0" showRowStripes="1" showColumnStripes="0"/>
</table>
</file>

<file path=xl/tables/table7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4" xr:uid="{37B7050C-2FB8-41A9-9E9C-6C4A266391E4}" name="Table25755252691013434446474849565758596315181719224566677172737476777879939495100104109111113115117125" displayName="Table25755252691013434446474849565758596315181719224566677172737476777879939495100104109111113115117125" ref="A7:E32" totalsRowShown="0" headerRowDxfId="7188" headerRowBorderDxfId="7187" tableBorderDxfId="7186" totalsRowBorderDxfId="7185">
  <autoFilter ref="A7:E32" xr:uid="{2580F828-1528-4902-A811-47983D51B490}"/>
  <tableColumns count="5">
    <tableColumn id="1" xr3:uid="{C0805A43-7D04-42A1-B880-AC136C51A3E4}" name="Step" dataDxfId="7184"/>
    <tableColumn id="2" xr3:uid="{6872A34A-D5AF-4A78-8FCA-D25DC75A9E87}" name="Action" dataDxfId="7183"/>
    <tableColumn id="3" xr3:uid="{857EE2B7-C425-4355-A1D5-2176F4E632FE}" name="Message | Input" dataDxfId="7182"/>
    <tableColumn id="5" xr3:uid="{B14A888B-3960-4E5F-968C-DD5F2F18E467}" name="PEG" dataDxfId="7181"/>
    <tableColumn id="4" xr3:uid="{1F74127E-F7B5-46AC-97C8-89315F47C9D6}" name="Notes &amp; Data Settings" dataDxfId="7180"/>
  </tableColumns>
  <tableStyleInfo name="TableStyleLight1" showFirstColumn="0" showLastColumn="0" showRowStripes="1" showColumnStripes="0"/>
</table>
</file>

<file path=xl/tables/table7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6" xr:uid="{12702477-B099-46DE-864B-E678EF0226C4}" name="Table25755252691013434446474849565758596315181719224566677172737476777879939495100104109111113115117127" displayName="Table25755252691013434446474849565758596315181719224566677172737476777879939495100104109111113115117127" ref="A7:E32" totalsRowShown="0" headerRowDxfId="7179" headerRowBorderDxfId="7178" tableBorderDxfId="7177" totalsRowBorderDxfId="7176">
  <autoFilter ref="A7:E32" xr:uid="{08A3161E-93E4-45AF-9BDC-F06DA5F6EA68}"/>
  <tableColumns count="5">
    <tableColumn id="1" xr3:uid="{CDC9D5DC-1661-4152-9BEA-770B426F18AF}" name="Step" dataDxfId="7175"/>
    <tableColumn id="2" xr3:uid="{AB2F1ABE-C247-4B51-9040-01969EB717DE}" name="Action" dataDxfId="7174"/>
    <tableColumn id="3" xr3:uid="{78A145C5-2DBF-4A43-A901-6197D829151C}" name="Message | Input" dataDxfId="7173"/>
    <tableColumn id="5" xr3:uid="{5464890E-E278-41F8-BF76-2B4E6F16B55D}" name="PEG" dataDxfId="7172"/>
    <tableColumn id="4" xr3:uid="{F685F4CC-A44F-4C6D-BF3F-434426DC6AEB}" name="Notes &amp; Data Settings" dataDxfId="7171"/>
  </tableColumns>
  <tableStyleInfo name="TableStyleLight1" showFirstColumn="0" showLastColumn="0" showRowStripes="1" showColumnStripes="0"/>
</table>
</file>

<file path=xl/tables/table7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8" xr:uid="{B892FDD1-4538-4304-B26C-1D7763CFEF50}" name="Table25755252691013434446474849565758596315181719224566677172737476777879939495100104109111113115117129" displayName="Table25755252691013434446474849565758596315181719224566677172737476777879939495100104109111113115117129" ref="A7:E42" totalsRowShown="0" headerRowDxfId="7170" headerRowBorderDxfId="7169" tableBorderDxfId="7168" totalsRowBorderDxfId="7167">
  <autoFilter ref="A7:E42" xr:uid="{6345C471-31E3-422F-AD7F-C1C046470768}"/>
  <tableColumns count="5">
    <tableColumn id="1" xr3:uid="{44F589C5-8570-4674-B058-ED5CA5F84711}" name="Step" dataDxfId="7166"/>
    <tableColumn id="2" xr3:uid="{7A09BACC-C62B-465F-8384-123873FD316E}" name="Action" dataDxfId="7165"/>
    <tableColumn id="3" xr3:uid="{762F8191-0F5F-4066-BE26-245A3C9131D7}" name="Message | Input" dataDxfId="7164"/>
    <tableColumn id="5" xr3:uid="{EB3C7AFD-9E1C-4B4D-A111-667EC42E21F4}" name="PEG" dataDxfId="7163"/>
    <tableColumn id="4" xr3:uid="{934805DA-63A5-43D6-BDAC-FAE1C1FB35DF}" name="Notes &amp; Data Settings" dataDxfId="7162"/>
  </tableColumns>
  <tableStyleInfo name="TableStyleLight1" showFirstColumn="0" showLastColumn="0" showRowStripes="1" showColumnStripes="0"/>
</table>
</file>

<file path=xl/tables/table7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0" xr:uid="{0F8B7E50-BAD1-47C5-B414-E1158AF5BAC5}" name="Table25755252691013434446474849565758596315181719224566677172737476777879939495100104109111113115117131" displayName="Table25755252691013434446474849565758596315181719224566677172737476777879939495100104109111113115117131" ref="A7:E42" totalsRowShown="0" headerRowDxfId="7161" headerRowBorderDxfId="7160" tableBorderDxfId="7159" totalsRowBorderDxfId="7158">
  <autoFilter ref="A7:E42" xr:uid="{C7D262A3-4F5F-4157-93CB-454349A83C5D}"/>
  <tableColumns count="5">
    <tableColumn id="1" xr3:uid="{7E7F36BA-3834-486C-9C34-E9347890B0D7}" name="Step" dataDxfId="7157"/>
    <tableColumn id="2" xr3:uid="{E1600A5A-8558-4F20-8AF1-F261865AC549}" name="Action" dataDxfId="7156"/>
    <tableColumn id="3" xr3:uid="{29D29823-9C6E-40BF-A40E-F9141BC204E0}" name="Message | Input" dataDxfId="7155"/>
    <tableColumn id="5" xr3:uid="{A8414C57-2AEE-46CD-AA2B-7501947A5F6C}" name="PEG" dataDxfId="7154"/>
    <tableColumn id="4" xr3:uid="{A6A333F2-7AAA-417A-8441-1AE863FEA9E8}" name="Notes &amp; Data Settings" dataDxfId="7153"/>
  </tableColumns>
  <tableStyleInfo name="TableStyleLight1" showFirstColumn="0" showLastColumn="0" showRowStripes="1" showColumnStripes="0"/>
</table>
</file>

<file path=xl/tables/table7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2" xr:uid="{D18DE83B-CEF2-46DE-912B-DB8F2CF6ADB2}" name="Table25755252691013434446474849565758596315181719224566677172737476777879939495100104109111113115117133" displayName="Table25755252691013434446474849565758596315181719224566677172737476777879939495100104109111113115117133" ref="A7:E42" totalsRowShown="0" headerRowDxfId="7152" headerRowBorderDxfId="7151" tableBorderDxfId="7150" totalsRowBorderDxfId="7149">
  <autoFilter ref="A7:E42" xr:uid="{415B49BB-4F78-4470-971F-6026B2439E17}"/>
  <tableColumns count="5">
    <tableColumn id="1" xr3:uid="{782F6716-F806-4462-8C4C-13226806A594}" name="Step" dataDxfId="7148"/>
    <tableColumn id="2" xr3:uid="{EE9EB7E3-69E5-49A6-B7C8-632F8A3CF4C2}" name="Action" dataDxfId="7147"/>
    <tableColumn id="3" xr3:uid="{95DC5CC3-CB5B-4A7A-B2B6-7D1620ADEC59}" name="Message | Input" dataDxfId="7146"/>
    <tableColumn id="5" xr3:uid="{1866010B-8DD4-44C8-B918-FDE53F4C616E}" name="PEG" dataDxfId="7145"/>
    <tableColumn id="4" xr3:uid="{26A966A3-BE6F-4CC3-9995-37F5630A23AF}" name="Notes &amp; Data Settings" dataDxfId="7144"/>
  </tableColumns>
  <tableStyleInfo name="TableStyleLight1" showFirstColumn="0" showLastColumn="0" showRowStripes="1" showColumnStripes="0"/>
</table>
</file>

<file path=xl/tables/table7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4" xr:uid="{00D05731-D715-404D-A719-CF245CFE36CB}" name="Table25755252691013434446474849565758596315181719224566677172737476777879939495100104109111113115117135" displayName="Table25755252691013434446474849565758596315181719224566677172737476777879939495100104109111113115117135" ref="A7:E42" totalsRowShown="0" headerRowDxfId="7143" headerRowBorderDxfId="7142" tableBorderDxfId="7141" totalsRowBorderDxfId="7140">
  <autoFilter ref="A7:E42" xr:uid="{5341F1FE-DD31-4361-B7BA-B9F10C3B0FA5}"/>
  <tableColumns count="5">
    <tableColumn id="1" xr3:uid="{04204E23-6CDB-472B-AA29-90D7B26842F0}" name="Step" dataDxfId="7139"/>
    <tableColumn id="2" xr3:uid="{6C94357E-572D-4433-979C-50DDA3E9BAC7}" name="Action" dataDxfId="7138"/>
    <tableColumn id="3" xr3:uid="{1C74F83A-EFD4-4649-B514-1C80EB802BBA}" name="Message | Input" dataDxfId="7137"/>
    <tableColumn id="5" xr3:uid="{B20B37D7-E876-4E47-AF0E-36D26E5A4040}" name="PEG" dataDxfId="7136"/>
    <tableColumn id="4" xr3:uid="{25EA9CDA-E67B-4D9F-AA95-E761A4102FDE}" name="Notes &amp; Data Settings" dataDxfId="7135"/>
  </tableColumns>
  <tableStyleInfo name="TableStyleLight1" showFirstColumn="0" showLastColumn="0" showRowStripes="1" showColumnStripes="0"/>
</table>
</file>

<file path=xl/tables/table7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6" xr:uid="{65F06CD0-FB3B-4AA5-91FD-70CA67689904}" name="Table25755252691013434446474849565758596315181719224566677172737476777879939495100104109111113115117137" displayName="Table25755252691013434446474849565758596315181719224566677172737476777879939495100104109111113115117137" ref="A7:E42" totalsRowShown="0" headerRowDxfId="7134" headerRowBorderDxfId="7133" tableBorderDxfId="7132" totalsRowBorderDxfId="7131">
  <autoFilter ref="A7:E42" xr:uid="{F4F33756-D2A7-40AE-8B82-4318786499DD}"/>
  <tableColumns count="5">
    <tableColumn id="1" xr3:uid="{91BB69F7-8093-4E6A-846E-140460B9FC3D}" name="Step" dataDxfId="7130"/>
    <tableColumn id="2" xr3:uid="{95A39FDD-A86D-4E37-AE05-8837E1CFA999}" name="Action" dataDxfId="7129"/>
    <tableColumn id="3" xr3:uid="{0EE821A4-E890-4334-A6CE-4E89BE312880}" name="Message | Input" dataDxfId="7128"/>
    <tableColumn id="5" xr3:uid="{5839FF42-565F-4004-AE88-8D46610ACCB9}" name="PEG" dataDxfId="7127"/>
    <tableColumn id="4" xr3:uid="{03469332-D0EB-4326-BDA7-26F27A6FCD67}" name="Notes &amp; Data Settings" dataDxfId="7126"/>
  </tableColumns>
  <tableStyleInfo name="TableStyleLight1"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7000000}" name="Table257552526911" displayName="Table257552526911" ref="A7:E20" totalsRowShown="0" headerRowDxfId="7773" headerRowBorderDxfId="7772" tableBorderDxfId="7771" totalsRowBorderDxfId="7770">
  <autoFilter ref="A7:E20" xr:uid="{00000000-0009-0000-0100-00000A000000}"/>
  <tableColumns count="5">
    <tableColumn id="1" xr3:uid="{00000000-0010-0000-0700-000001000000}" name="Step" dataDxfId="7769"/>
    <tableColumn id="2" xr3:uid="{00000000-0010-0000-0700-000002000000}" name="Action" dataDxfId="7768"/>
    <tableColumn id="3" xr3:uid="{00000000-0010-0000-0700-000003000000}" name="Message | Input" dataDxfId="7767"/>
    <tableColumn id="5" xr3:uid="{00000000-0010-0000-0700-000005000000}" name="PEG" dataDxfId="7766"/>
    <tableColumn id="4" xr3:uid="{00000000-0010-0000-0700-000004000000}" name="Notes &amp; Data Settings" dataDxfId="7765"/>
  </tableColumns>
  <tableStyleInfo name="TableStyleLight1" showFirstColumn="0" showLastColumn="0" showRowStripes="1" showColumnStripes="0"/>
</table>
</file>

<file path=xl/tables/table8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7" xr:uid="{78BE884B-527D-416C-AABE-E23F766885D7}" name="Table25755252691013434446474849565758596315181719224566677172737476777879939495100104109111113115117138" displayName="Table25755252691013434446474849565758596315181719224566677172737476777879939495100104109111113115117138" ref="A7:E42" totalsRowShown="0" headerRowDxfId="7125" headerRowBorderDxfId="7124" tableBorderDxfId="7123" totalsRowBorderDxfId="7122">
  <autoFilter ref="A7:E42" xr:uid="{287F8116-60C4-46F7-8793-A262850F7E5B}"/>
  <tableColumns count="5">
    <tableColumn id="1" xr3:uid="{9D6750B2-98DF-4CD8-8FE3-01B234A56652}" name="Step" dataDxfId="7121"/>
    <tableColumn id="2" xr3:uid="{AB1E66B9-7C2D-4A4D-BC00-243DB4355484}" name="Action" dataDxfId="7120"/>
    <tableColumn id="3" xr3:uid="{5904DA22-7158-4B62-8B45-AE6EA4F64F44}" name="Message | Input" dataDxfId="7119"/>
    <tableColumn id="5" xr3:uid="{F6C31A99-3332-4070-B7CB-82F1985B1345}" name="PEG" dataDxfId="7118"/>
    <tableColumn id="4" xr3:uid="{37D33DB9-CEC9-41AA-B72C-AC4FD873CBC5}" name="Notes &amp; Data Settings" dataDxfId="7117"/>
  </tableColumns>
  <tableStyleInfo name="TableStyleLight1" showFirstColumn="0" showLastColumn="0" showRowStripes="1" showColumnStripes="0"/>
</table>
</file>

<file path=xl/tables/table8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8" xr:uid="{D5F87207-5B72-4C87-BF18-643E03296AB3}" name="Table25755252691013434446474849565758596315181719224566677172737476777879939495100104109111113115117138139" displayName="Table25755252691013434446474849565758596315181719224566677172737476777879939495100104109111113115117138139" ref="A7:E42" totalsRowShown="0" headerRowDxfId="7116" headerRowBorderDxfId="7115" tableBorderDxfId="7114" totalsRowBorderDxfId="7113">
  <autoFilter ref="A7:E42" xr:uid="{532B88B9-406E-4141-BF39-7E7C41144F72}"/>
  <tableColumns count="5">
    <tableColumn id="1" xr3:uid="{52C0BADB-EA69-44D1-A3E9-418D7BB7D0E1}" name="Step" dataDxfId="7112"/>
    <tableColumn id="2" xr3:uid="{DD0DC35F-1561-4137-BBFA-2A7CDC30A797}" name="Action" dataDxfId="7111"/>
    <tableColumn id="3" xr3:uid="{AB742E33-6ED0-4A34-B2F4-4359D49B98A0}" name="Message | Input" dataDxfId="7110"/>
    <tableColumn id="5" xr3:uid="{0933191F-E828-4623-97CC-DE5C41FC3283}" name="PEG" dataDxfId="7109"/>
    <tableColumn id="4" xr3:uid="{7358541D-7537-4143-86E3-263FEC09271F}" name="Notes &amp; Data Settings" dataDxfId="7108"/>
  </tableColumns>
  <tableStyleInfo name="TableStyleLight1" showFirstColumn="0" showLastColumn="0" showRowStripes="1" showColumnStripes="0"/>
</table>
</file>

<file path=xl/tables/table8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0" xr:uid="{8FBC0856-7144-464C-AA52-96C2464EA7FA}" name="Table25755252691013434446474849565758596315181719224566677172737476777879939495100104109111113115117138139141" displayName="Table25755252691013434446474849565758596315181719224566677172737476777879939495100104109111113115117138139141" ref="A7:E42" totalsRowShown="0" headerRowDxfId="7107" headerRowBorderDxfId="7106" tableBorderDxfId="7105" totalsRowBorderDxfId="7104">
  <autoFilter ref="A7:E42" xr:uid="{DE31C124-7A64-455E-9383-CAE3F77ABD99}"/>
  <tableColumns count="5">
    <tableColumn id="1" xr3:uid="{5B161389-4A48-4A14-B459-53AD0DD770D1}" name="Step" dataDxfId="7103"/>
    <tableColumn id="2" xr3:uid="{4DE4FC3D-5D79-4857-B610-6A6F6CFC1821}" name="Action" dataDxfId="7102"/>
    <tableColumn id="3" xr3:uid="{3DE5C719-C505-49C3-A586-713CD87841BF}" name="Message | Input" dataDxfId="7101"/>
    <tableColumn id="5" xr3:uid="{C398EB3B-9E84-4438-9911-D63AB09DD637}" name="PEG" dataDxfId="7100"/>
    <tableColumn id="4" xr3:uid="{FB84294E-4717-4BB3-B653-3E33677A4238}" name="Notes &amp; Data Settings" dataDxfId="7099"/>
  </tableColumns>
  <tableStyleInfo name="TableStyleLight1" showFirstColumn="0" showLastColumn="0" showRowStripes="1" showColumnStripes="0"/>
</table>
</file>

<file path=xl/tables/table8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DB76060-70F6-4F30-B6CB-E8212CD0A70C}" name="Table257552526910134344464748495657585963151817192245666771727374767778799394951001041091111131151171381391415" displayName="Table257552526910134344464748495657585963151817192245666771727374767778799394951001041091111131151171381391415" ref="A7:E42" totalsRowShown="0" headerRowDxfId="7098" headerRowBorderDxfId="7097" tableBorderDxfId="7096" totalsRowBorderDxfId="7095">
  <autoFilter ref="A7:E42" xr:uid="{41CE2931-8BF7-41BC-950B-FCA9270C50DE}"/>
  <tableColumns count="5">
    <tableColumn id="1" xr3:uid="{6113AD9A-D442-460F-A6CD-5BC269BE5E80}" name="Step" dataDxfId="7094"/>
    <tableColumn id="2" xr3:uid="{72606ACF-25D7-433C-9188-5FFA35FC7890}" name="Action" dataDxfId="7093"/>
    <tableColumn id="3" xr3:uid="{2E9EF0DC-4D0B-4E02-97AB-1A09578EA358}" name="Message | Input" dataDxfId="7092"/>
    <tableColumn id="5" xr3:uid="{AF833085-5AB7-4B91-800D-F246D13DF2DA}" name="PEG" dataDxfId="7091"/>
    <tableColumn id="4" xr3:uid="{3426903E-D470-446C-B580-F5598C5D7324}" name="Notes &amp; Data Settings" dataDxfId="7090"/>
  </tableColumns>
  <tableStyleInfo name="TableStyleLight1" showFirstColumn="0" showLastColumn="0" showRowStripes="1" showColumnStripes="0"/>
</table>
</file>

<file path=xl/tables/table8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00E96A7-997D-4233-9655-FB2EBE3E30F8}" name="Table2575525269101343444647484956575859631518171922456667717273747677787993949510010410911111311511713813914157" displayName="Table2575525269101343444647484956575859631518171922456667717273747677787993949510010410911111311511713813914157" ref="A7:E42" totalsRowShown="0" headerRowDxfId="7089" headerRowBorderDxfId="7088" tableBorderDxfId="7087" totalsRowBorderDxfId="7086">
  <autoFilter ref="A7:E42" xr:uid="{86466796-99C8-4CAD-9F69-A6F21BBD3ACE}"/>
  <tableColumns count="5">
    <tableColumn id="1" xr3:uid="{20937220-0B65-4148-A752-56B5275D5491}" name="Step" dataDxfId="7085"/>
    <tableColumn id="2" xr3:uid="{F362FDCF-622C-4620-BDFD-D0C77B8EFF2F}" name="Action" dataDxfId="7084"/>
    <tableColumn id="3" xr3:uid="{EC80DBEA-9CA6-4D27-9874-17D1F9B4E7E3}" name="Message | Input" dataDxfId="7083"/>
    <tableColumn id="5" xr3:uid="{C1D74155-841E-422F-AA1D-403F70A7D17F}" name="PEG" dataDxfId="7082"/>
    <tableColumn id="4" xr3:uid="{82A8BB91-2396-47BB-BC0A-BBC6A5320B74}" name="Notes &amp; Data Settings" dataDxfId="7081"/>
  </tableColumns>
  <tableStyleInfo name="TableStyleLight1" showFirstColumn="0" showLastColumn="0" showRowStripes="1" showColumnStripes="0"/>
</table>
</file>

<file path=xl/tables/table8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0" xr:uid="{00000000-000C-0000-FFFF-FFFF3F000000}" name="Table25751" displayName="Table25751" ref="A7:E44" totalsRowShown="0" headerRowDxfId="7080" headerRowBorderDxfId="7079" tableBorderDxfId="7078" totalsRowBorderDxfId="7077">
  <autoFilter ref="A7:E44" xr:uid="{00000000-0009-0000-0100-000032000000}"/>
  <tableColumns count="5">
    <tableColumn id="1" xr3:uid="{00000000-0010-0000-3F00-000001000000}" name="Step" dataDxfId="7076"/>
    <tableColumn id="2" xr3:uid="{00000000-0010-0000-3F00-000002000000}" name="Action" dataDxfId="7075"/>
    <tableColumn id="3" xr3:uid="{00000000-0010-0000-3F00-000003000000}" name="Message | Input" dataDxfId="7074"/>
    <tableColumn id="5" xr3:uid="{00000000-0010-0000-3F00-000005000000}" name="PEG" dataDxfId="7073"/>
    <tableColumn id="4" xr3:uid="{00000000-0010-0000-3F00-000004000000}" name="Notes &amp; Data Settings" dataDxfId="7072"/>
  </tableColumns>
  <tableStyleInfo name="TableStyleLight1" showFirstColumn="0" showLastColumn="0" showRowStripes="1" showColumnStripes="0"/>
</table>
</file>

<file path=xl/tables/table8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FD7458C3-667D-48F4-8661-D571012112E9}" name="Table257519" displayName="Table257519" ref="A7:E44" totalsRowShown="0" headerRowDxfId="7071" headerRowBorderDxfId="7070" tableBorderDxfId="7069" totalsRowBorderDxfId="7068">
  <autoFilter ref="A7:E44" xr:uid="{752E2FA7-5F73-4C0B-85B5-529B81852471}"/>
  <tableColumns count="5">
    <tableColumn id="1" xr3:uid="{E232BB6D-1E66-4E6E-8675-15BB9958C551}" name="Step" dataDxfId="7067"/>
    <tableColumn id="2" xr3:uid="{75939B60-9AEC-4CB4-8766-15C07A6DF0AF}" name="Action" dataDxfId="7066"/>
    <tableColumn id="3" xr3:uid="{DBF247AB-A15B-4484-8664-7403A49AAC9A}" name="Message | Input" dataDxfId="7065"/>
    <tableColumn id="5" xr3:uid="{FE05FC31-FDCA-4907-8121-69E67BDC866E}" name="PEG" dataDxfId="7064"/>
    <tableColumn id="4" xr3:uid="{455C5CA3-D32F-499D-A391-0F04CBB45311}" name="Notes &amp; Data Settings" dataDxfId="7063"/>
  </tableColumns>
  <tableStyleInfo name="TableStyleLight1" showFirstColumn="0" showLastColumn="0" showRowStripes="1" showColumnStripes="0"/>
</table>
</file>

<file path=xl/tables/table8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9" xr:uid="{249CCA05-0F7A-4EF2-82BB-46D2465CA1A8}" name="Table25751950" displayName="Table25751950" ref="A7:E44" totalsRowShown="0" headerRowDxfId="7062" headerRowBorderDxfId="7061" tableBorderDxfId="7060" totalsRowBorderDxfId="7059">
  <autoFilter ref="A7:E44" xr:uid="{D80307D2-7D88-4FF8-8897-DF6C652F58A0}"/>
  <tableColumns count="5">
    <tableColumn id="1" xr3:uid="{765D218D-1752-49A3-AD9B-C39559EC07E1}" name="Step" dataDxfId="7058"/>
    <tableColumn id="2" xr3:uid="{6A646982-0765-4763-9EBA-9E285F1332F0}" name="Action" dataDxfId="7057"/>
    <tableColumn id="3" xr3:uid="{4763E32A-D52F-405D-8EFE-EB512631CF33}" name="Message | Input" dataDxfId="7056"/>
    <tableColumn id="5" xr3:uid="{785587AA-8A99-4450-8852-1C3F13517A5C}" name="PEG" dataDxfId="7055"/>
    <tableColumn id="4" xr3:uid="{7CA93339-55E3-4DC3-AD66-B7E80CD73900}" name="Notes &amp; Data Settings" dataDxfId="7054"/>
  </tableColumns>
  <tableStyleInfo name="TableStyleLight1" showFirstColumn="0" showLastColumn="0" showRowStripes="1" showColumnStripes="0"/>
</table>
</file>

<file path=xl/tables/table8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1" xr:uid="{30461DAA-EF36-4960-8BBB-E959D7C17866}" name="Table25751952" displayName="Table25751952" ref="A7:E44" totalsRowShown="0" headerRowDxfId="7053" headerRowBorderDxfId="7052" tableBorderDxfId="7051" totalsRowBorderDxfId="7050">
  <autoFilter ref="A7:E44" xr:uid="{317699FA-E118-43EE-9DF4-6DFECC936C13}"/>
  <tableColumns count="5">
    <tableColumn id="1" xr3:uid="{2BA44683-F4EC-45B7-A013-D5B6C8CC6C46}" name="Step" dataDxfId="7049"/>
    <tableColumn id="2" xr3:uid="{00841D85-0236-4BCA-B1A4-43E9CD8AF43D}" name="Action" dataDxfId="7048"/>
    <tableColumn id="3" xr3:uid="{EBA913C7-D5DA-4FB1-A615-0CC74DE8914F}" name="Message | Input" dataDxfId="7047"/>
    <tableColumn id="5" xr3:uid="{1C613BBE-C9F0-45F0-959E-9026D02029B3}" name="PEG" dataDxfId="7046"/>
    <tableColumn id="4" xr3:uid="{50EC1791-D20B-45E2-B0E2-C528D9F6A9A4}" name="Notes &amp; Data Settings" dataDxfId="7045"/>
  </tableColumns>
  <tableStyleInfo name="TableStyleLight1" showFirstColumn="0" showLastColumn="0" showRowStripes="1" showColumnStripes="0"/>
</table>
</file>

<file path=xl/tables/table8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2" xr:uid="{0662D3B6-F63A-4769-9BAF-E951116D88B4}" name="Table25751953" displayName="Table25751953" ref="A7:E44" totalsRowShown="0" headerRowDxfId="7044" headerRowBorderDxfId="7043" tableBorderDxfId="7042" totalsRowBorderDxfId="7041">
  <autoFilter ref="A7:E44" xr:uid="{CA954ED1-5B21-49A2-90CB-C5C07B463448}"/>
  <tableColumns count="5">
    <tableColumn id="1" xr3:uid="{6C51CF21-F199-4144-937C-23F46C1AAAE2}" name="Step" dataDxfId="7040"/>
    <tableColumn id="2" xr3:uid="{F32953CC-4291-442C-892B-84C4A2042220}" name="Action" dataDxfId="7039"/>
    <tableColumn id="3" xr3:uid="{D09B0B33-7973-40CC-BD60-9B60046481DE}" name="Message | Input" dataDxfId="7038"/>
    <tableColumn id="5" xr3:uid="{BE123749-8848-43DC-82D3-AC140E60EF54}" name="PEG" dataDxfId="7037"/>
    <tableColumn id="4" xr3:uid="{EE61C67F-EF1B-4483-AB38-D9E775537574}" name="Notes &amp; Data Settings" dataDxfId="7036"/>
  </tableColumns>
  <tableStyleInfo name="TableStyleLight1"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8000000}" name="Table25755252691112" displayName="Table25755252691112" ref="A7:E22" totalsRowShown="0" headerRowDxfId="7764" headerRowBorderDxfId="7763" tableBorderDxfId="7762" totalsRowBorderDxfId="7761">
  <autoFilter ref="A7:E22" xr:uid="{00000000-0009-0000-0100-00000B000000}"/>
  <tableColumns count="5">
    <tableColumn id="1" xr3:uid="{00000000-0010-0000-0800-000001000000}" name="Step" dataDxfId="7760"/>
    <tableColumn id="2" xr3:uid="{00000000-0010-0000-0800-000002000000}" name="Action" dataDxfId="7759"/>
    <tableColumn id="3" xr3:uid="{00000000-0010-0000-0800-000003000000}" name="Message | Input" dataDxfId="7758"/>
    <tableColumn id="5" xr3:uid="{00000000-0010-0000-0800-000005000000}" name="PEG" dataDxfId="7757"/>
    <tableColumn id="4" xr3:uid="{00000000-0010-0000-0800-000004000000}" name="Notes &amp; Data Settings" dataDxfId="7756"/>
  </tableColumns>
  <tableStyleInfo name="TableStyleLight1" showFirstColumn="0" showLastColumn="0" showRowStripes="1" showColumnStripes="0"/>
</table>
</file>

<file path=xl/tables/table9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3" xr:uid="{7630D3EA-AA97-4918-BD59-1AFAE28F6009}" name="Table25751954" displayName="Table25751954" ref="A7:E44" totalsRowShown="0" headerRowDxfId="7035" headerRowBorderDxfId="7034" tableBorderDxfId="7033" totalsRowBorderDxfId="7032">
  <autoFilter ref="A7:E44" xr:uid="{8E114A2A-17ED-45AB-8865-D45D3F5AA51C}"/>
  <tableColumns count="5">
    <tableColumn id="1" xr3:uid="{F40431BC-313F-4316-9558-7C9AF87E8A12}" name="Step" dataDxfId="7031"/>
    <tableColumn id="2" xr3:uid="{C6FEEE1B-616F-4E43-BDE3-2AF0883C0233}" name="Action" dataDxfId="7030"/>
    <tableColumn id="3" xr3:uid="{196F51AA-AF83-424D-AD10-B03B5A908EBD}" name="Message | Input" dataDxfId="7029"/>
    <tableColumn id="5" xr3:uid="{C2D059B8-EEE5-4BE5-90F5-4503701FF2AE}" name="PEG" dataDxfId="7028"/>
    <tableColumn id="4" xr3:uid="{CE6AC0CD-C7EE-4132-879E-5AAE8A461B80}" name="Notes &amp; Data Settings" dataDxfId="7027"/>
  </tableColumns>
  <tableStyleInfo name="TableStyleLight1" showFirstColumn="0" showLastColumn="0" showRowStripes="1" showColumnStripes="0"/>
</table>
</file>

<file path=xl/tables/table9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4" xr:uid="{81C183F6-CEAF-4970-8A13-8B08EABCDC55}" name="Table25751955" displayName="Table25751955" ref="A7:E44" totalsRowShown="0" headerRowDxfId="7026" headerRowBorderDxfId="7025" tableBorderDxfId="7024" totalsRowBorderDxfId="7023">
  <autoFilter ref="A7:E44" xr:uid="{3A75AE18-24FE-4604-B598-E6E3ACADFE1E}"/>
  <tableColumns count="5">
    <tableColumn id="1" xr3:uid="{C7D51C48-BBFE-434C-B608-A4B5446C1308}" name="Step" dataDxfId="7022"/>
    <tableColumn id="2" xr3:uid="{C5B20121-3EA0-4D40-BC2D-598286B2536A}" name="Action" dataDxfId="7021"/>
    <tableColumn id="3" xr3:uid="{F3277E14-C714-4C4F-9D2A-40238351128A}" name="Message | Input" dataDxfId="7020"/>
    <tableColumn id="5" xr3:uid="{EBC9C705-F4F9-4674-AA41-AC907C2C7141}" name="PEG" dataDxfId="7019"/>
    <tableColumn id="4" xr3:uid="{EBE02C54-1868-46FB-BA16-BB3C83EEC155}" name="Notes &amp; Data Settings" dataDxfId="7018"/>
  </tableColumns>
  <tableStyleInfo name="TableStyleLight1" showFirstColumn="0" showLastColumn="0" showRowStripes="1" showColumnStripes="0"/>
</table>
</file>

<file path=xl/tables/table9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4" xr:uid="{ADDB5E62-EC2F-44F6-BD7D-377893FE6363}" name="Table25751975" displayName="Table25751975" ref="A7:E44" totalsRowShown="0" headerRowDxfId="7017" headerRowBorderDxfId="7016" tableBorderDxfId="7015" totalsRowBorderDxfId="7014">
  <autoFilter ref="A7:E44" xr:uid="{82AF4609-3DDA-4B12-B80C-A3BCC60C8903}"/>
  <tableColumns count="5">
    <tableColumn id="1" xr3:uid="{7DE311D9-9679-4655-B405-27867D5BF298}" name="Step" dataDxfId="7013"/>
    <tableColumn id="2" xr3:uid="{9B780136-297E-4DE0-AE9B-74599C920536}" name="Action" dataDxfId="7012"/>
    <tableColumn id="3" xr3:uid="{0C5C5744-C78B-41B3-998C-DE4E03867F24}" name="Message | Input" dataDxfId="7011"/>
    <tableColumn id="5" xr3:uid="{9EC82FD1-883A-4F1C-BE6C-6C9B8FC4D3FE}" name="PEG" dataDxfId="7010"/>
    <tableColumn id="4" xr3:uid="{086EAB72-C2DC-47ED-AFE5-BE40F6F9F57B}" name="Notes &amp; Data Settings" dataDxfId="7009"/>
  </tableColumns>
  <tableStyleInfo name="TableStyleLight1" showFirstColumn="0" showLastColumn="0" showRowStripes="1" showColumnStripes="0"/>
</table>
</file>

<file path=xl/tables/table9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6" xr:uid="{56DFCDB0-927F-45DA-93E9-FB5958EF4A3C}" name="Table25751977" displayName="Table25751977" ref="A7:E44" totalsRowShown="0" headerRowDxfId="7008" headerRowBorderDxfId="7007" tableBorderDxfId="7006" totalsRowBorderDxfId="7005">
  <autoFilter ref="A7:E44" xr:uid="{91056A3F-0D46-4C40-A75D-EEA0BC746A98}"/>
  <tableColumns count="5">
    <tableColumn id="1" xr3:uid="{75F65C61-B18E-4D4D-B388-262A8847AE37}" name="Step" dataDxfId="7004"/>
    <tableColumn id="2" xr3:uid="{773018A3-3795-4411-99E5-F1DDA3A10140}" name="Action" dataDxfId="7003"/>
    <tableColumn id="3" xr3:uid="{78F15FE5-FC02-462B-BBBD-65D07B7A0CB0}" name="Message | Input" dataDxfId="7002"/>
    <tableColumn id="5" xr3:uid="{DC1769E9-1683-4A97-B75F-BDFAB42D7BCC}" name="PEG" dataDxfId="7001"/>
    <tableColumn id="4" xr3:uid="{A43DB710-C019-4E59-8FC4-A79D1015C8A0}" name="Notes &amp; Data Settings" dataDxfId="7000"/>
  </tableColumns>
  <tableStyleInfo name="TableStyleLight1" showFirstColumn="0" showLastColumn="0" showRowStripes="1" showColumnStripes="0"/>
</table>
</file>

<file path=xl/tables/table9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7" xr:uid="{716AED54-5A05-4AD2-A919-5A2B841DFA3E}" name="Table25751978" displayName="Table25751978" ref="A7:E44" totalsRowShown="0" headerRowDxfId="6999" headerRowBorderDxfId="6998" tableBorderDxfId="6997" totalsRowBorderDxfId="6996">
  <autoFilter ref="A7:E44" xr:uid="{4221456E-61B6-429D-9A62-026B2140F8EA}"/>
  <tableColumns count="5">
    <tableColumn id="1" xr3:uid="{A9DBAC59-7DBB-430F-9549-106CAE825963}" name="Step" dataDxfId="6995"/>
    <tableColumn id="2" xr3:uid="{545F55C8-9471-4F0D-8AFF-52CE4246637E}" name="Action" dataDxfId="6994"/>
    <tableColumn id="3" xr3:uid="{F138DB34-BE23-4015-83FC-729C709D3D93}" name="Message | Input" dataDxfId="6993"/>
    <tableColumn id="5" xr3:uid="{7E32EEEF-E91B-408E-A697-77A8D54C95E3}" name="PEG" dataDxfId="6992"/>
    <tableColumn id="4" xr3:uid="{A32D6311-94C5-41C8-8FF9-5ADAEB6697D3}" name="Notes &amp; Data Settings" dataDxfId="6991"/>
  </tableColumns>
  <tableStyleInfo name="TableStyleLight1" showFirstColumn="0" showLastColumn="0" showRowStripes="1" showColumnStripes="0"/>
</table>
</file>

<file path=xl/tables/table9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9" xr:uid="{8C346E95-498E-43ED-BA7A-1394C322A2FE}" name="Table25751980" displayName="Table25751980" ref="A7:E44" totalsRowShown="0" headerRowDxfId="6990" headerRowBorderDxfId="6989" tableBorderDxfId="6988" totalsRowBorderDxfId="6987">
  <autoFilter ref="A7:E44" xr:uid="{0196E7E4-F43F-435C-891A-D68C5E448447}"/>
  <tableColumns count="5">
    <tableColumn id="1" xr3:uid="{C4A10A90-B4F1-4B36-9557-94DE126BF135}" name="Step" dataDxfId="6986"/>
    <tableColumn id="2" xr3:uid="{78A18B0F-6D95-4EF1-8F65-5880A8462862}" name="Action" dataDxfId="6985"/>
    <tableColumn id="3" xr3:uid="{51C4131A-6121-4370-AB52-F09FB0195553}" name="Message | Input" dataDxfId="6984"/>
    <tableColumn id="5" xr3:uid="{A9266DCA-A43F-4BC6-BAEA-AA4B44D6F7CE}" name="PEG" dataDxfId="6983"/>
    <tableColumn id="4" xr3:uid="{AD987FEE-D846-4800-9326-3BE59613E6F9}" name="Notes &amp; Data Settings" dataDxfId="6982"/>
  </tableColumns>
  <tableStyleInfo name="TableStyleLight1" showFirstColumn="0" showLastColumn="0" showRowStripes="1" showColumnStripes="0"/>
</table>
</file>

<file path=xl/tables/table9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0" xr:uid="{D9B26996-F25F-4B17-A56E-76303FE0A428}" name="Table25751981" displayName="Table25751981" ref="A7:E44" totalsRowShown="0" headerRowDxfId="6981" headerRowBorderDxfId="6980" tableBorderDxfId="6979" totalsRowBorderDxfId="6978">
  <autoFilter ref="A7:E44" xr:uid="{E486B8C4-87FC-436B-8D30-F46533EC3423}"/>
  <tableColumns count="5">
    <tableColumn id="1" xr3:uid="{A3A93B0E-F1C6-4EC7-B729-18C8B2557321}" name="Step" dataDxfId="6977"/>
    <tableColumn id="2" xr3:uid="{EDA030A0-CD69-4A86-B12C-6D056AF7FE24}" name="Action" dataDxfId="6976"/>
    <tableColumn id="3" xr3:uid="{3E9158F9-50C4-443C-AD7F-82D17303C88F}" name="Message | Input" dataDxfId="6975"/>
    <tableColumn id="5" xr3:uid="{086EE061-F0D3-4134-943A-A29DF699F610}" name="PEG" dataDxfId="6974"/>
    <tableColumn id="4" xr3:uid="{FF66F4E3-7193-4642-9005-3E99E77D6B3C}" name="Notes &amp; Data Settings" dataDxfId="6973"/>
  </tableColumns>
  <tableStyleInfo name="TableStyleLight1" showFirstColumn="0" showLastColumn="0" showRowStripes="1" showColumnStripes="0"/>
</table>
</file>

<file path=xl/tables/table9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1" xr:uid="{02004985-6CBC-43C8-957C-7A05D795ECDC}" name="Table25751982" displayName="Table25751982" ref="A7:E44" totalsRowShown="0" headerRowDxfId="6972" headerRowBorderDxfId="6971" tableBorderDxfId="6970" totalsRowBorderDxfId="6969">
  <autoFilter ref="A7:E44" xr:uid="{05522E21-DCE6-413F-9F28-5534E825683F}"/>
  <tableColumns count="5">
    <tableColumn id="1" xr3:uid="{90F0F0B8-7E78-4020-A411-C7C2C509312D}" name="Step" dataDxfId="6968"/>
    <tableColumn id="2" xr3:uid="{83CD3D09-CF58-4DF3-90EB-6FA656F3B944}" name="Action" dataDxfId="6967"/>
    <tableColumn id="3" xr3:uid="{93771808-8948-47D9-95D7-CCE800AE9C8A}" name="Message | Input" dataDxfId="6966"/>
    <tableColumn id="5" xr3:uid="{521ED74B-BC59-4723-9F22-3114995184FA}" name="PEG" dataDxfId="6965"/>
    <tableColumn id="4" xr3:uid="{0DF38260-4BAD-449E-B39B-5F355B99BB8A}" name="Notes &amp; Data Settings" dataDxfId="6964"/>
  </tableColumns>
  <tableStyleInfo name="TableStyleLight1" showFirstColumn="0" showLastColumn="0" showRowStripes="1" showColumnStripes="0"/>
</table>
</file>

<file path=xl/tables/table9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3" xr:uid="{07025E7F-0A21-43EE-BF1B-32C7BCF9A720}" name="Table25751984" displayName="Table25751984" ref="A7:E44" totalsRowShown="0" headerRowDxfId="6963" headerRowBorderDxfId="6962" tableBorderDxfId="6961" totalsRowBorderDxfId="6960">
  <autoFilter ref="A7:E44" xr:uid="{915F7948-59E6-4C24-ABDD-A9BC5180A2D6}"/>
  <tableColumns count="5">
    <tableColumn id="1" xr3:uid="{B8EFE359-62E1-4F79-9342-BA5606B660A0}" name="Step" dataDxfId="6959"/>
    <tableColumn id="2" xr3:uid="{29BC2BDE-0802-46BE-B172-511FB8297F99}" name="Action" dataDxfId="6958"/>
    <tableColumn id="3" xr3:uid="{E1BEA801-6E27-469C-8A23-0D69249A84BF}" name="Message | Input" dataDxfId="6957"/>
    <tableColumn id="5" xr3:uid="{79DD55BC-615F-4BA3-B377-FB3BF9D1461E}" name="PEG" dataDxfId="6956"/>
    <tableColumn id="4" xr3:uid="{9AA9502C-9FEF-485B-BB1A-6AC4176BF730}" name="Notes &amp; Data Settings" dataDxfId="6955"/>
  </tableColumns>
  <tableStyleInfo name="TableStyleLight1" showFirstColumn="0" showLastColumn="0" showRowStripes="1" showColumnStripes="0"/>
</table>
</file>

<file path=xl/tables/table9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4" xr:uid="{A8079A31-B39D-44C2-91F6-F1FCF9B2B582}" name="Table25751985" displayName="Table25751985" ref="A7:E44" totalsRowShown="0" headerRowDxfId="6954" headerRowBorderDxfId="6953" tableBorderDxfId="6952" totalsRowBorderDxfId="6951">
  <autoFilter ref="A7:E44" xr:uid="{7F44BF3B-9AD1-4F96-AFEE-000BFA9C5311}"/>
  <tableColumns count="5">
    <tableColumn id="1" xr3:uid="{BCA17DE3-8BFD-4821-B91A-75DB70297084}" name="Step" dataDxfId="6950"/>
    <tableColumn id="2" xr3:uid="{A862F88C-D5F9-4CF0-8D6A-C83CA029E654}" name="Action" dataDxfId="6949"/>
    <tableColumn id="3" xr3:uid="{B01E1799-B350-4398-99E8-F44AD03FD458}" name="Message | Input" dataDxfId="6948"/>
    <tableColumn id="5" xr3:uid="{27015967-761A-4F8D-9C6D-C8644A7E23B8}" name="PEG" dataDxfId="6947"/>
    <tableColumn id="4" xr3:uid="{A375311A-1E92-47C2-AD01-655873B838C2}" name="Notes &amp; Data Settings" dataDxfId="6946"/>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table" Target="../tables/table4.xml"/><Relationship Id="rId5" Type="http://schemas.openxmlformats.org/officeDocument/2006/relationships/table" Target="../tables/table3.xml"/><Relationship Id="rId4" Type="http://schemas.openxmlformats.org/officeDocument/2006/relationships/table" Target="../tables/table2.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00.xml.rels><?xml version="1.0" encoding="UTF-8" standalone="yes"?>
<Relationships xmlns="http://schemas.openxmlformats.org/package/2006/relationships"><Relationship Id="rId2" Type="http://schemas.openxmlformats.org/officeDocument/2006/relationships/table" Target="../tables/table103.xml"/><Relationship Id="rId1" Type="http://schemas.openxmlformats.org/officeDocument/2006/relationships/printerSettings" Target="../printerSettings/printerSettings38.bin"/></Relationships>
</file>

<file path=xl/worksheets/_rels/sheet101.xml.rels><?xml version="1.0" encoding="UTF-8" standalone="yes"?>
<Relationships xmlns="http://schemas.openxmlformats.org/package/2006/relationships"><Relationship Id="rId2" Type="http://schemas.openxmlformats.org/officeDocument/2006/relationships/table" Target="../tables/table104.xml"/><Relationship Id="rId1" Type="http://schemas.openxmlformats.org/officeDocument/2006/relationships/printerSettings" Target="../printerSettings/printerSettings39.bin"/></Relationships>
</file>

<file path=xl/worksheets/_rels/sheet102.xml.rels><?xml version="1.0" encoding="UTF-8" standalone="yes"?>
<Relationships xmlns="http://schemas.openxmlformats.org/package/2006/relationships"><Relationship Id="rId1" Type="http://schemas.openxmlformats.org/officeDocument/2006/relationships/table" Target="../tables/table105.xml"/></Relationships>
</file>

<file path=xl/worksheets/_rels/sheet103.xml.rels><?xml version="1.0" encoding="UTF-8" standalone="yes"?>
<Relationships xmlns="http://schemas.openxmlformats.org/package/2006/relationships"><Relationship Id="rId1" Type="http://schemas.openxmlformats.org/officeDocument/2006/relationships/table" Target="../tables/table106.xml"/></Relationships>
</file>

<file path=xl/worksheets/_rels/sheet104.xml.rels><?xml version="1.0" encoding="UTF-8" standalone="yes"?>
<Relationships xmlns="http://schemas.openxmlformats.org/package/2006/relationships"><Relationship Id="rId2" Type="http://schemas.openxmlformats.org/officeDocument/2006/relationships/table" Target="../tables/table107.xml"/><Relationship Id="rId1" Type="http://schemas.openxmlformats.org/officeDocument/2006/relationships/printerSettings" Target="../printerSettings/printerSettings40.bin"/></Relationships>
</file>

<file path=xl/worksheets/_rels/sheet105.xml.rels><?xml version="1.0" encoding="UTF-8" standalone="yes"?>
<Relationships xmlns="http://schemas.openxmlformats.org/package/2006/relationships"><Relationship Id="rId2" Type="http://schemas.openxmlformats.org/officeDocument/2006/relationships/table" Target="../tables/table108.xml"/><Relationship Id="rId1" Type="http://schemas.openxmlformats.org/officeDocument/2006/relationships/printerSettings" Target="../printerSettings/printerSettings41.bin"/></Relationships>
</file>

<file path=xl/worksheets/_rels/sheet106.xml.rels><?xml version="1.0" encoding="UTF-8" standalone="yes"?>
<Relationships xmlns="http://schemas.openxmlformats.org/package/2006/relationships"><Relationship Id="rId1" Type="http://schemas.openxmlformats.org/officeDocument/2006/relationships/table" Target="../tables/table109.xml"/></Relationships>
</file>

<file path=xl/worksheets/_rels/sheet107.xml.rels><?xml version="1.0" encoding="UTF-8" standalone="yes"?>
<Relationships xmlns="http://schemas.openxmlformats.org/package/2006/relationships"><Relationship Id="rId2" Type="http://schemas.openxmlformats.org/officeDocument/2006/relationships/table" Target="../tables/table110.xml"/><Relationship Id="rId1" Type="http://schemas.openxmlformats.org/officeDocument/2006/relationships/printerSettings" Target="../printerSettings/printerSettings42.bin"/></Relationships>
</file>

<file path=xl/worksheets/_rels/sheet108.xml.rels><?xml version="1.0" encoding="UTF-8" standalone="yes"?>
<Relationships xmlns="http://schemas.openxmlformats.org/package/2006/relationships"><Relationship Id="rId1" Type="http://schemas.openxmlformats.org/officeDocument/2006/relationships/table" Target="../tables/table111.xml"/></Relationships>
</file>

<file path=xl/worksheets/_rels/sheet109.xml.rels><?xml version="1.0" encoding="UTF-8" standalone="yes"?>
<Relationships xmlns="http://schemas.openxmlformats.org/package/2006/relationships"><Relationship Id="rId1" Type="http://schemas.openxmlformats.org/officeDocument/2006/relationships/table" Target="../tables/table112.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10.xml.rels><?xml version="1.0" encoding="UTF-8" standalone="yes"?>
<Relationships xmlns="http://schemas.openxmlformats.org/package/2006/relationships"><Relationship Id="rId2" Type="http://schemas.openxmlformats.org/officeDocument/2006/relationships/table" Target="../tables/table113.xml"/><Relationship Id="rId1" Type="http://schemas.openxmlformats.org/officeDocument/2006/relationships/printerSettings" Target="../printerSettings/printerSettings43.bin"/></Relationships>
</file>

<file path=xl/worksheets/_rels/sheet111.xml.rels><?xml version="1.0" encoding="UTF-8" standalone="yes"?>
<Relationships xmlns="http://schemas.openxmlformats.org/package/2006/relationships"><Relationship Id="rId2" Type="http://schemas.openxmlformats.org/officeDocument/2006/relationships/table" Target="../tables/table114.xml"/><Relationship Id="rId1" Type="http://schemas.openxmlformats.org/officeDocument/2006/relationships/printerSettings" Target="../printerSettings/printerSettings44.bin"/></Relationships>
</file>

<file path=xl/worksheets/_rels/sheet112.xml.rels><?xml version="1.0" encoding="UTF-8" standalone="yes"?>
<Relationships xmlns="http://schemas.openxmlformats.org/package/2006/relationships"><Relationship Id="rId1" Type="http://schemas.openxmlformats.org/officeDocument/2006/relationships/table" Target="../tables/table115.xml"/></Relationships>
</file>

<file path=xl/worksheets/_rels/sheet113.xml.rels><?xml version="1.0" encoding="UTF-8" standalone="yes"?>
<Relationships xmlns="http://schemas.openxmlformats.org/package/2006/relationships"><Relationship Id="rId1" Type="http://schemas.openxmlformats.org/officeDocument/2006/relationships/table" Target="../tables/table116.xml"/></Relationships>
</file>

<file path=xl/worksheets/_rels/sheet114.xml.rels><?xml version="1.0" encoding="UTF-8" standalone="yes"?>
<Relationships xmlns="http://schemas.openxmlformats.org/package/2006/relationships"><Relationship Id="rId1" Type="http://schemas.openxmlformats.org/officeDocument/2006/relationships/table" Target="../tables/table117.xml"/></Relationships>
</file>

<file path=xl/worksheets/_rels/sheet115.xml.rels><?xml version="1.0" encoding="UTF-8" standalone="yes"?>
<Relationships xmlns="http://schemas.openxmlformats.org/package/2006/relationships"><Relationship Id="rId1" Type="http://schemas.openxmlformats.org/officeDocument/2006/relationships/table" Target="../tables/table118.xml"/></Relationships>
</file>

<file path=xl/worksheets/_rels/sheet116.xml.rels><?xml version="1.0" encoding="UTF-8" standalone="yes"?>
<Relationships xmlns="http://schemas.openxmlformats.org/package/2006/relationships"><Relationship Id="rId1" Type="http://schemas.openxmlformats.org/officeDocument/2006/relationships/table" Target="../tables/table119.xml"/></Relationships>
</file>

<file path=xl/worksheets/_rels/sheet117.xml.rels><?xml version="1.0" encoding="UTF-8" standalone="yes"?>
<Relationships xmlns="http://schemas.openxmlformats.org/package/2006/relationships"><Relationship Id="rId1" Type="http://schemas.openxmlformats.org/officeDocument/2006/relationships/table" Target="../tables/table120.xml"/></Relationships>
</file>

<file path=xl/worksheets/_rels/sheet118.xml.rels><?xml version="1.0" encoding="UTF-8" standalone="yes"?>
<Relationships xmlns="http://schemas.openxmlformats.org/package/2006/relationships"><Relationship Id="rId1" Type="http://schemas.openxmlformats.org/officeDocument/2006/relationships/table" Target="../tables/table121.xml"/></Relationships>
</file>

<file path=xl/worksheets/_rels/sheet119.xml.rels><?xml version="1.0" encoding="UTF-8" standalone="yes"?>
<Relationships xmlns="http://schemas.openxmlformats.org/package/2006/relationships"><Relationship Id="rId1" Type="http://schemas.openxmlformats.org/officeDocument/2006/relationships/table" Target="../tables/table122.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20.xml.rels><?xml version="1.0" encoding="UTF-8" standalone="yes"?>
<Relationships xmlns="http://schemas.openxmlformats.org/package/2006/relationships"><Relationship Id="rId1" Type="http://schemas.openxmlformats.org/officeDocument/2006/relationships/table" Target="../tables/table123.xml"/></Relationships>
</file>

<file path=xl/worksheets/_rels/sheet121.xml.rels><?xml version="1.0" encoding="UTF-8" standalone="yes"?>
<Relationships xmlns="http://schemas.openxmlformats.org/package/2006/relationships"><Relationship Id="rId1" Type="http://schemas.openxmlformats.org/officeDocument/2006/relationships/table" Target="../tables/table124.xml"/></Relationships>
</file>

<file path=xl/worksheets/_rels/sheet122.xml.rels><?xml version="1.0" encoding="UTF-8" standalone="yes"?>
<Relationships xmlns="http://schemas.openxmlformats.org/package/2006/relationships"><Relationship Id="rId1" Type="http://schemas.openxmlformats.org/officeDocument/2006/relationships/table" Target="../tables/table125.xml"/></Relationships>
</file>

<file path=xl/worksheets/_rels/sheet123.xml.rels><?xml version="1.0" encoding="UTF-8" standalone="yes"?>
<Relationships xmlns="http://schemas.openxmlformats.org/package/2006/relationships"><Relationship Id="rId2" Type="http://schemas.openxmlformats.org/officeDocument/2006/relationships/table" Target="../tables/table126.xml"/><Relationship Id="rId1" Type="http://schemas.openxmlformats.org/officeDocument/2006/relationships/printerSettings" Target="../printerSettings/printerSettings45.bin"/></Relationships>
</file>

<file path=xl/worksheets/_rels/sheet124.xml.rels><?xml version="1.0" encoding="UTF-8" standalone="yes"?>
<Relationships xmlns="http://schemas.openxmlformats.org/package/2006/relationships"><Relationship Id="rId1" Type="http://schemas.openxmlformats.org/officeDocument/2006/relationships/table" Target="../tables/table127.xml"/></Relationships>
</file>

<file path=xl/worksheets/_rels/sheet125.xml.rels><?xml version="1.0" encoding="UTF-8" standalone="yes"?>
<Relationships xmlns="http://schemas.openxmlformats.org/package/2006/relationships"><Relationship Id="rId2" Type="http://schemas.openxmlformats.org/officeDocument/2006/relationships/table" Target="../tables/table128.xml"/><Relationship Id="rId1" Type="http://schemas.openxmlformats.org/officeDocument/2006/relationships/printerSettings" Target="../printerSettings/printerSettings46.bin"/></Relationships>
</file>

<file path=xl/worksheets/_rels/sheet126.xml.rels><?xml version="1.0" encoding="UTF-8" standalone="yes"?>
<Relationships xmlns="http://schemas.openxmlformats.org/package/2006/relationships"><Relationship Id="rId1" Type="http://schemas.openxmlformats.org/officeDocument/2006/relationships/table" Target="../tables/table129.xml"/></Relationships>
</file>

<file path=xl/worksheets/_rels/sheet127.xml.rels><?xml version="1.0" encoding="UTF-8" standalone="yes"?>
<Relationships xmlns="http://schemas.openxmlformats.org/package/2006/relationships"><Relationship Id="rId1" Type="http://schemas.openxmlformats.org/officeDocument/2006/relationships/table" Target="../tables/table130.xml"/></Relationships>
</file>

<file path=xl/worksheets/_rels/sheet128.xml.rels><?xml version="1.0" encoding="UTF-8" standalone="yes"?>
<Relationships xmlns="http://schemas.openxmlformats.org/package/2006/relationships"><Relationship Id="rId1" Type="http://schemas.openxmlformats.org/officeDocument/2006/relationships/table" Target="../tables/table131.xml"/></Relationships>
</file>

<file path=xl/worksheets/_rels/sheet129.xml.rels><?xml version="1.0" encoding="UTF-8" standalone="yes"?>
<Relationships xmlns="http://schemas.openxmlformats.org/package/2006/relationships"><Relationship Id="rId1" Type="http://schemas.openxmlformats.org/officeDocument/2006/relationships/table" Target="../tables/table132.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30.xml.rels><?xml version="1.0" encoding="UTF-8" standalone="yes"?>
<Relationships xmlns="http://schemas.openxmlformats.org/package/2006/relationships"><Relationship Id="rId1" Type="http://schemas.openxmlformats.org/officeDocument/2006/relationships/table" Target="../tables/table133.xml"/></Relationships>
</file>

<file path=xl/worksheets/_rels/sheet131.xml.rels><?xml version="1.0" encoding="UTF-8" standalone="yes"?>
<Relationships xmlns="http://schemas.openxmlformats.org/package/2006/relationships"><Relationship Id="rId1" Type="http://schemas.openxmlformats.org/officeDocument/2006/relationships/table" Target="../tables/table134.xml"/></Relationships>
</file>

<file path=xl/worksheets/_rels/sheet132.xml.rels><?xml version="1.0" encoding="UTF-8" standalone="yes"?>
<Relationships xmlns="http://schemas.openxmlformats.org/package/2006/relationships"><Relationship Id="rId2" Type="http://schemas.openxmlformats.org/officeDocument/2006/relationships/table" Target="../tables/table135.xml"/><Relationship Id="rId1" Type="http://schemas.openxmlformats.org/officeDocument/2006/relationships/printerSettings" Target="../printerSettings/printerSettings47.bin"/></Relationships>
</file>

<file path=xl/worksheets/_rels/sheet133.xml.rels><?xml version="1.0" encoding="UTF-8" standalone="yes"?>
<Relationships xmlns="http://schemas.openxmlformats.org/package/2006/relationships"><Relationship Id="rId1" Type="http://schemas.openxmlformats.org/officeDocument/2006/relationships/table" Target="../tables/table136.xml"/></Relationships>
</file>

<file path=xl/worksheets/_rels/sheet134.xml.rels><?xml version="1.0" encoding="UTF-8" standalone="yes"?>
<Relationships xmlns="http://schemas.openxmlformats.org/package/2006/relationships"><Relationship Id="rId1" Type="http://schemas.openxmlformats.org/officeDocument/2006/relationships/table" Target="../tables/table137.xml"/></Relationships>
</file>

<file path=xl/worksheets/_rels/sheet135.xml.rels><?xml version="1.0" encoding="UTF-8" standalone="yes"?>
<Relationships xmlns="http://schemas.openxmlformats.org/package/2006/relationships"><Relationship Id="rId1" Type="http://schemas.openxmlformats.org/officeDocument/2006/relationships/table" Target="../tables/table138.xml"/></Relationships>
</file>

<file path=xl/worksheets/_rels/sheet136.xml.rels><?xml version="1.0" encoding="UTF-8" standalone="yes"?>
<Relationships xmlns="http://schemas.openxmlformats.org/package/2006/relationships"><Relationship Id="rId2" Type="http://schemas.openxmlformats.org/officeDocument/2006/relationships/table" Target="../tables/table139.xml"/><Relationship Id="rId1" Type="http://schemas.openxmlformats.org/officeDocument/2006/relationships/printerSettings" Target="../printerSettings/printerSettings48.bin"/></Relationships>
</file>

<file path=xl/worksheets/_rels/sheet137.xml.rels><?xml version="1.0" encoding="UTF-8" standalone="yes"?>
<Relationships xmlns="http://schemas.openxmlformats.org/package/2006/relationships"><Relationship Id="rId2" Type="http://schemas.openxmlformats.org/officeDocument/2006/relationships/table" Target="../tables/table140.xml"/><Relationship Id="rId1" Type="http://schemas.openxmlformats.org/officeDocument/2006/relationships/printerSettings" Target="../printerSettings/printerSettings49.bin"/></Relationships>
</file>

<file path=xl/worksheets/_rels/sheet138.xml.rels><?xml version="1.0" encoding="UTF-8" standalone="yes"?>
<Relationships xmlns="http://schemas.openxmlformats.org/package/2006/relationships"><Relationship Id="rId1" Type="http://schemas.openxmlformats.org/officeDocument/2006/relationships/table" Target="../tables/table141.xml"/></Relationships>
</file>

<file path=xl/worksheets/_rels/sheet139.xml.rels><?xml version="1.0" encoding="UTF-8" standalone="yes"?>
<Relationships xmlns="http://schemas.openxmlformats.org/package/2006/relationships"><Relationship Id="rId1" Type="http://schemas.openxmlformats.org/officeDocument/2006/relationships/table" Target="../tables/table142.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40.xml.rels><?xml version="1.0" encoding="UTF-8" standalone="yes"?>
<Relationships xmlns="http://schemas.openxmlformats.org/package/2006/relationships"><Relationship Id="rId1" Type="http://schemas.openxmlformats.org/officeDocument/2006/relationships/table" Target="../tables/table143.xml"/></Relationships>
</file>

<file path=xl/worksheets/_rels/sheet141.xml.rels><?xml version="1.0" encoding="UTF-8" standalone="yes"?>
<Relationships xmlns="http://schemas.openxmlformats.org/package/2006/relationships"><Relationship Id="rId1" Type="http://schemas.openxmlformats.org/officeDocument/2006/relationships/table" Target="../tables/table144.xml"/></Relationships>
</file>

<file path=xl/worksheets/_rels/sheet142.xml.rels><?xml version="1.0" encoding="UTF-8" standalone="yes"?>
<Relationships xmlns="http://schemas.openxmlformats.org/package/2006/relationships"><Relationship Id="rId1" Type="http://schemas.openxmlformats.org/officeDocument/2006/relationships/table" Target="../tables/table145.xml"/></Relationships>
</file>

<file path=xl/worksheets/_rels/sheet143.xml.rels><?xml version="1.0" encoding="UTF-8" standalone="yes"?>
<Relationships xmlns="http://schemas.openxmlformats.org/package/2006/relationships"><Relationship Id="rId1" Type="http://schemas.openxmlformats.org/officeDocument/2006/relationships/table" Target="../tables/table146.xml"/></Relationships>
</file>

<file path=xl/worksheets/_rels/sheet144.xml.rels><?xml version="1.0" encoding="UTF-8" standalone="yes"?>
<Relationships xmlns="http://schemas.openxmlformats.org/package/2006/relationships"><Relationship Id="rId1" Type="http://schemas.openxmlformats.org/officeDocument/2006/relationships/table" Target="../tables/table147.xml"/></Relationships>
</file>

<file path=xl/worksheets/_rels/sheet145.xml.rels><?xml version="1.0" encoding="UTF-8" standalone="yes"?>
<Relationships xmlns="http://schemas.openxmlformats.org/package/2006/relationships"><Relationship Id="rId1" Type="http://schemas.openxmlformats.org/officeDocument/2006/relationships/table" Target="../tables/table148.xml"/></Relationships>
</file>

<file path=xl/worksheets/_rels/sheet146.xml.rels><?xml version="1.0" encoding="UTF-8" standalone="yes"?>
<Relationships xmlns="http://schemas.openxmlformats.org/package/2006/relationships"><Relationship Id="rId1" Type="http://schemas.openxmlformats.org/officeDocument/2006/relationships/table" Target="../tables/table149.xml"/></Relationships>
</file>

<file path=xl/worksheets/_rels/sheet147.xml.rels><?xml version="1.0" encoding="UTF-8" standalone="yes"?>
<Relationships xmlns="http://schemas.openxmlformats.org/package/2006/relationships"><Relationship Id="rId1" Type="http://schemas.openxmlformats.org/officeDocument/2006/relationships/table" Target="../tables/table150.xml"/></Relationships>
</file>

<file path=xl/worksheets/_rels/sheet148.xml.rels><?xml version="1.0" encoding="UTF-8" standalone="yes"?>
<Relationships xmlns="http://schemas.openxmlformats.org/package/2006/relationships"><Relationship Id="rId1" Type="http://schemas.openxmlformats.org/officeDocument/2006/relationships/table" Target="../tables/table151.xml"/></Relationships>
</file>

<file path=xl/worksheets/_rels/sheet149.xml.rels><?xml version="1.0" encoding="UTF-8" standalone="yes"?>
<Relationships xmlns="http://schemas.openxmlformats.org/package/2006/relationships"><Relationship Id="rId2" Type="http://schemas.openxmlformats.org/officeDocument/2006/relationships/table" Target="../tables/table152.xml"/><Relationship Id="rId1" Type="http://schemas.openxmlformats.org/officeDocument/2006/relationships/printerSettings" Target="../printerSettings/printerSettings50.bin"/></Relationships>
</file>

<file path=xl/worksheets/_rels/sheet15.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150.xml.rels><?xml version="1.0" encoding="UTF-8" standalone="yes"?>
<Relationships xmlns="http://schemas.openxmlformats.org/package/2006/relationships"><Relationship Id="rId1" Type="http://schemas.openxmlformats.org/officeDocument/2006/relationships/table" Target="../tables/table153.xml"/></Relationships>
</file>

<file path=xl/worksheets/_rels/sheet151.xml.rels><?xml version="1.0" encoding="UTF-8" standalone="yes"?>
<Relationships xmlns="http://schemas.openxmlformats.org/package/2006/relationships"><Relationship Id="rId1" Type="http://schemas.openxmlformats.org/officeDocument/2006/relationships/table" Target="../tables/table154.xml"/></Relationships>
</file>

<file path=xl/worksheets/_rels/sheet152.xml.rels><?xml version="1.0" encoding="UTF-8" standalone="yes"?>
<Relationships xmlns="http://schemas.openxmlformats.org/package/2006/relationships"><Relationship Id="rId1" Type="http://schemas.openxmlformats.org/officeDocument/2006/relationships/table" Target="../tables/table155.xml"/></Relationships>
</file>

<file path=xl/worksheets/_rels/sheet153.xml.rels><?xml version="1.0" encoding="UTF-8" standalone="yes"?>
<Relationships xmlns="http://schemas.openxmlformats.org/package/2006/relationships"><Relationship Id="rId1" Type="http://schemas.openxmlformats.org/officeDocument/2006/relationships/table" Target="../tables/table156.xml"/></Relationships>
</file>

<file path=xl/worksheets/_rels/sheet154.xml.rels><?xml version="1.0" encoding="UTF-8" standalone="yes"?>
<Relationships xmlns="http://schemas.openxmlformats.org/package/2006/relationships"><Relationship Id="rId1" Type="http://schemas.openxmlformats.org/officeDocument/2006/relationships/table" Target="../tables/table157.xml"/></Relationships>
</file>

<file path=xl/worksheets/_rels/sheet155.xml.rels><?xml version="1.0" encoding="UTF-8" standalone="yes"?>
<Relationships xmlns="http://schemas.openxmlformats.org/package/2006/relationships"><Relationship Id="rId1" Type="http://schemas.openxmlformats.org/officeDocument/2006/relationships/table" Target="../tables/table158.xml"/></Relationships>
</file>

<file path=xl/worksheets/_rels/sheet156.xml.rels><?xml version="1.0" encoding="UTF-8" standalone="yes"?>
<Relationships xmlns="http://schemas.openxmlformats.org/package/2006/relationships"><Relationship Id="rId1" Type="http://schemas.openxmlformats.org/officeDocument/2006/relationships/table" Target="../tables/table159.xml"/></Relationships>
</file>

<file path=xl/worksheets/_rels/sheet157.xml.rels><?xml version="1.0" encoding="UTF-8" standalone="yes"?>
<Relationships xmlns="http://schemas.openxmlformats.org/package/2006/relationships"><Relationship Id="rId1" Type="http://schemas.openxmlformats.org/officeDocument/2006/relationships/table" Target="../tables/table160.xml"/></Relationships>
</file>

<file path=xl/worksheets/_rels/sheet158.xml.rels><?xml version="1.0" encoding="UTF-8" standalone="yes"?>
<Relationships xmlns="http://schemas.openxmlformats.org/package/2006/relationships"><Relationship Id="rId1" Type="http://schemas.openxmlformats.org/officeDocument/2006/relationships/table" Target="../tables/table161.xml"/></Relationships>
</file>

<file path=xl/worksheets/_rels/sheet159.xml.rels><?xml version="1.0" encoding="UTF-8" standalone="yes"?>
<Relationships xmlns="http://schemas.openxmlformats.org/package/2006/relationships"><Relationship Id="rId1" Type="http://schemas.openxmlformats.org/officeDocument/2006/relationships/table" Target="../tables/table162.xml"/></Relationships>
</file>

<file path=xl/worksheets/_rels/sheet16.xml.rels><?xml version="1.0" encoding="UTF-8" standalone="yes"?>
<Relationships xmlns="http://schemas.openxmlformats.org/package/2006/relationships"><Relationship Id="rId2" Type="http://schemas.openxmlformats.org/officeDocument/2006/relationships/table" Target="../tables/table19.xml"/><Relationship Id="rId1" Type="http://schemas.openxmlformats.org/officeDocument/2006/relationships/printerSettings" Target="../printerSettings/printerSettings5.bin"/></Relationships>
</file>

<file path=xl/worksheets/_rels/sheet160.xml.rels><?xml version="1.0" encoding="UTF-8" standalone="yes"?>
<Relationships xmlns="http://schemas.openxmlformats.org/package/2006/relationships"><Relationship Id="rId1" Type="http://schemas.openxmlformats.org/officeDocument/2006/relationships/table" Target="../tables/table163.xml"/></Relationships>
</file>

<file path=xl/worksheets/_rels/sheet161.xml.rels><?xml version="1.0" encoding="UTF-8" standalone="yes"?>
<Relationships xmlns="http://schemas.openxmlformats.org/package/2006/relationships"><Relationship Id="rId1" Type="http://schemas.openxmlformats.org/officeDocument/2006/relationships/table" Target="../tables/table164.xml"/></Relationships>
</file>

<file path=xl/worksheets/_rels/sheet162.xml.rels><?xml version="1.0" encoding="UTF-8" standalone="yes"?>
<Relationships xmlns="http://schemas.openxmlformats.org/package/2006/relationships"><Relationship Id="rId1" Type="http://schemas.openxmlformats.org/officeDocument/2006/relationships/table" Target="../tables/table165.xml"/></Relationships>
</file>

<file path=xl/worksheets/_rels/sheet163.xml.rels><?xml version="1.0" encoding="UTF-8" standalone="yes"?>
<Relationships xmlns="http://schemas.openxmlformats.org/package/2006/relationships"><Relationship Id="rId1" Type="http://schemas.openxmlformats.org/officeDocument/2006/relationships/table" Target="../tables/table166.xml"/></Relationships>
</file>

<file path=xl/worksheets/_rels/sheet164.xml.rels><?xml version="1.0" encoding="UTF-8" standalone="yes"?>
<Relationships xmlns="http://schemas.openxmlformats.org/package/2006/relationships"><Relationship Id="rId1" Type="http://schemas.openxmlformats.org/officeDocument/2006/relationships/table" Target="../tables/table167.xml"/></Relationships>
</file>

<file path=xl/worksheets/_rels/sheet165.xml.rels><?xml version="1.0" encoding="UTF-8" standalone="yes"?>
<Relationships xmlns="http://schemas.openxmlformats.org/package/2006/relationships"><Relationship Id="rId1" Type="http://schemas.openxmlformats.org/officeDocument/2006/relationships/table" Target="../tables/table168.xml"/></Relationships>
</file>

<file path=xl/worksheets/_rels/sheet166.xml.rels><?xml version="1.0" encoding="UTF-8" standalone="yes"?>
<Relationships xmlns="http://schemas.openxmlformats.org/package/2006/relationships"><Relationship Id="rId1" Type="http://schemas.openxmlformats.org/officeDocument/2006/relationships/table" Target="../tables/table169.xml"/></Relationships>
</file>

<file path=xl/worksheets/_rels/sheet167.xml.rels><?xml version="1.0" encoding="UTF-8" standalone="yes"?>
<Relationships xmlns="http://schemas.openxmlformats.org/package/2006/relationships"><Relationship Id="rId1" Type="http://schemas.openxmlformats.org/officeDocument/2006/relationships/table" Target="../tables/table170.xml"/></Relationships>
</file>

<file path=xl/worksheets/_rels/sheet168.xml.rels><?xml version="1.0" encoding="UTF-8" standalone="yes"?>
<Relationships xmlns="http://schemas.openxmlformats.org/package/2006/relationships"><Relationship Id="rId1" Type="http://schemas.openxmlformats.org/officeDocument/2006/relationships/table" Target="../tables/table171.xml"/></Relationships>
</file>

<file path=xl/worksheets/_rels/sheet169.xml.rels><?xml version="1.0" encoding="UTF-8" standalone="yes"?>
<Relationships xmlns="http://schemas.openxmlformats.org/package/2006/relationships"><Relationship Id="rId1" Type="http://schemas.openxmlformats.org/officeDocument/2006/relationships/table" Target="../tables/table172.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170.xml.rels><?xml version="1.0" encoding="UTF-8" standalone="yes"?>
<Relationships xmlns="http://schemas.openxmlformats.org/package/2006/relationships"><Relationship Id="rId1" Type="http://schemas.openxmlformats.org/officeDocument/2006/relationships/table" Target="../tables/table173.xml"/></Relationships>
</file>

<file path=xl/worksheets/_rels/sheet171.xml.rels><?xml version="1.0" encoding="UTF-8" standalone="yes"?>
<Relationships xmlns="http://schemas.openxmlformats.org/package/2006/relationships"><Relationship Id="rId1" Type="http://schemas.openxmlformats.org/officeDocument/2006/relationships/table" Target="../tables/table174.xml"/></Relationships>
</file>

<file path=xl/worksheets/_rels/sheet172.xml.rels><?xml version="1.0" encoding="UTF-8" standalone="yes"?>
<Relationships xmlns="http://schemas.openxmlformats.org/package/2006/relationships"><Relationship Id="rId1" Type="http://schemas.openxmlformats.org/officeDocument/2006/relationships/table" Target="../tables/table175.xml"/></Relationships>
</file>

<file path=xl/worksheets/_rels/sheet173.xml.rels><?xml version="1.0" encoding="UTF-8" standalone="yes"?>
<Relationships xmlns="http://schemas.openxmlformats.org/package/2006/relationships"><Relationship Id="rId1" Type="http://schemas.openxmlformats.org/officeDocument/2006/relationships/table" Target="../tables/table176.xml"/></Relationships>
</file>

<file path=xl/worksheets/_rels/sheet174.xml.rels><?xml version="1.0" encoding="UTF-8" standalone="yes"?>
<Relationships xmlns="http://schemas.openxmlformats.org/package/2006/relationships"><Relationship Id="rId1" Type="http://schemas.openxmlformats.org/officeDocument/2006/relationships/table" Target="../tables/table177.xml"/></Relationships>
</file>

<file path=xl/worksheets/_rels/sheet175.xml.rels><?xml version="1.0" encoding="UTF-8" standalone="yes"?>
<Relationships xmlns="http://schemas.openxmlformats.org/package/2006/relationships"><Relationship Id="rId1" Type="http://schemas.openxmlformats.org/officeDocument/2006/relationships/table" Target="../tables/table178.xml"/></Relationships>
</file>

<file path=xl/worksheets/_rels/sheet176.xml.rels><?xml version="1.0" encoding="UTF-8" standalone="yes"?>
<Relationships xmlns="http://schemas.openxmlformats.org/package/2006/relationships"><Relationship Id="rId1" Type="http://schemas.openxmlformats.org/officeDocument/2006/relationships/table" Target="../tables/table179.xml"/></Relationships>
</file>

<file path=xl/worksheets/_rels/sheet177.xml.rels><?xml version="1.0" encoding="UTF-8" standalone="yes"?>
<Relationships xmlns="http://schemas.openxmlformats.org/package/2006/relationships"><Relationship Id="rId1" Type="http://schemas.openxmlformats.org/officeDocument/2006/relationships/table" Target="../tables/table180.xml"/></Relationships>
</file>

<file path=xl/worksheets/_rels/sheet178.xml.rels><?xml version="1.0" encoding="UTF-8" standalone="yes"?>
<Relationships xmlns="http://schemas.openxmlformats.org/package/2006/relationships"><Relationship Id="rId1" Type="http://schemas.openxmlformats.org/officeDocument/2006/relationships/table" Target="../tables/table181.xml"/></Relationships>
</file>

<file path=xl/worksheets/_rels/sheet179.xml.rels><?xml version="1.0" encoding="UTF-8" standalone="yes"?>
<Relationships xmlns="http://schemas.openxmlformats.org/package/2006/relationships"><Relationship Id="rId1" Type="http://schemas.openxmlformats.org/officeDocument/2006/relationships/table" Target="../tables/table182.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180.xml.rels><?xml version="1.0" encoding="UTF-8" standalone="yes"?>
<Relationships xmlns="http://schemas.openxmlformats.org/package/2006/relationships"><Relationship Id="rId1" Type="http://schemas.openxmlformats.org/officeDocument/2006/relationships/table" Target="../tables/table183.xml"/></Relationships>
</file>

<file path=xl/worksheets/_rels/sheet181.xml.rels><?xml version="1.0" encoding="UTF-8" standalone="yes"?>
<Relationships xmlns="http://schemas.openxmlformats.org/package/2006/relationships"><Relationship Id="rId1" Type="http://schemas.openxmlformats.org/officeDocument/2006/relationships/table" Target="../tables/table184.xml"/></Relationships>
</file>

<file path=xl/worksheets/_rels/sheet182.xml.rels><?xml version="1.0" encoding="UTF-8" standalone="yes"?>
<Relationships xmlns="http://schemas.openxmlformats.org/package/2006/relationships"><Relationship Id="rId1" Type="http://schemas.openxmlformats.org/officeDocument/2006/relationships/table" Target="../tables/table185.xml"/></Relationships>
</file>

<file path=xl/worksheets/_rels/sheet183.xml.rels><?xml version="1.0" encoding="UTF-8" standalone="yes"?>
<Relationships xmlns="http://schemas.openxmlformats.org/package/2006/relationships"><Relationship Id="rId1" Type="http://schemas.openxmlformats.org/officeDocument/2006/relationships/table" Target="../tables/table186.xml"/></Relationships>
</file>

<file path=xl/worksheets/_rels/sheet184.xml.rels><?xml version="1.0" encoding="UTF-8" standalone="yes"?>
<Relationships xmlns="http://schemas.openxmlformats.org/package/2006/relationships"><Relationship Id="rId1" Type="http://schemas.openxmlformats.org/officeDocument/2006/relationships/table" Target="../tables/table187.xml"/></Relationships>
</file>

<file path=xl/worksheets/_rels/sheet185.xml.rels><?xml version="1.0" encoding="UTF-8" standalone="yes"?>
<Relationships xmlns="http://schemas.openxmlformats.org/package/2006/relationships"><Relationship Id="rId1" Type="http://schemas.openxmlformats.org/officeDocument/2006/relationships/table" Target="../tables/table188.xml"/></Relationships>
</file>

<file path=xl/worksheets/_rels/sheet186.xml.rels><?xml version="1.0" encoding="UTF-8" standalone="yes"?>
<Relationships xmlns="http://schemas.openxmlformats.org/package/2006/relationships"><Relationship Id="rId1" Type="http://schemas.openxmlformats.org/officeDocument/2006/relationships/table" Target="../tables/table189.xml"/></Relationships>
</file>

<file path=xl/worksheets/_rels/sheet187.xml.rels><?xml version="1.0" encoding="UTF-8" standalone="yes"?>
<Relationships xmlns="http://schemas.openxmlformats.org/package/2006/relationships"><Relationship Id="rId1" Type="http://schemas.openxmlformats.org/officeDocument/2006/relationships/table" Target="../tables/table190.xml"/></Relationships>
</file>

<file path=xl/worksheets/_rels/sheet188.xml.rels><?xml version="1.0" encoding="UTF-8" standalone="yes"?>
<Relationships xmlns="http://schemas.openxmlformats.org/package/2006/relationships"><Relationship Id="rId1" Type="http://schemas.openxmlformats.org/officeDocument/2006/relationships/table" Target="../tables/table191.xml"/></Relationships>
</file>

<file path=xl/worksheets/_rels/sheet189.xml.rels><?xml version="1.0" encoding="UTF-8" standalone="yes"?>
<Relationships xmlns="http://schemas.openxmlformats.org/package/2006/relationships"><Relationship Id="rId1" Type="http://schemas.openxmlformats.org/officeDocument/2006/relationships/table" Target="../tables/table192.xml"/></Relationships>
</file>

<file path=xl/worksheets/_rels/sheet19.xml.rels><?xml version="1.0" encoding="UTF-8" standalone="yes"?>
<Relationships xmlns="http://schemas.openxmlformats.org/package/2006/relationships"><Relationship Id="rId2" Type="http://schemas.openxmlformats.org/officeDocument/2006/relationships/table" Target="../tables/table22.xml"/><Relationship Id="rId1" Type="http://schemas.openxmlformats.org/officeDocument/2006/relationships/printerSettings" Target="../printerSettings/printerSettings6.bin"/></Relationships>
</file>

<file path=xl/worksheets/_rels/sheet190.xml.rels><?xml version="1.0" encoding="UTF-8" standalone="yes"?>
<Relationships xmlns="http://schemas.openxmlformats.org/package/2006/relationships"><Relationship Id="rId1" Type="http://schemas.openxmlformats.org/officeDocument/2006/relationships/table" Target="../tables/table193.xml"/></Relationships>
</file>

<file path=xl/worksheets/_rels/sheet191.xml.rels><?xml version="1.0" encoding="UTF-8" standalone="yes"?>
<Relationships xmlns="http://schemas.openxmlformats.org/package/2006/relationships"><Relationship Id="rId1" Type="http://schemas.openxmlformats.org/officeDocument/2006/relationships/table" Target="../tables/table194.xml"/></Relationships>
</file>

<file path=xl/worksheets/_rels/sheet192.xml.rels><?xml version="1.0" encoding="UTF-8" standalone="yes"?>
<Relationships xmlns="http://schemas.openxmlformats.org/package/2006/relationships"><Relationship Id="rId1" Type="http://schemas.openxmlformats.org/officeDocument/2006/relationships/table" Target="../tables/table195.xml"/></Relationships>
</file>

<file path=xl/worksheets/_rels/sheet193.xml.rels><?xml version="1.0" encoding="UTF-8" standalone="yes"?>
<Relationships xmlns="http://schemas.openxmlformats.org/package/2006/relationships"><Relationship Id="rId1" Type="http://schemas.openxmlformats.org/officeDocument/2006/relationships/table" Target="../tables/table196.xml"/></Relationships>
</file>

<file path=xl/worksheets/_rels/sheet194.xml.rels><?xml version="1.0" encoding="UTF-8" standalone="yes"?>
<Relationships xmlns="http://schemas.openxmlformats.org/package/2006/relationships"><Relationship Id="rId1" Type="http://schemas.openxmlformats.org/officeDocument/2006/relationships/table" Target="../tables/table197.xml"/></Relationships>
</file>

<file path=xl/worksheets/_rels/sheet195.xml.rels><?xml version="1.0" encoding="UTF-8" standalone="yes"?>
<Relationships xmlns="http://schemas.openxmlformats.org/package/2006/relationships"><Relationship Id="rId1" Type="http://schemas.openxmlformats.org/officeDocument/2006/relationships/table" Target="../tables/table198.xml"/></Relationships>
</file>

<file path=xl/worksheets/_rels/sheet196.xml.rels><?xml version="1.0" encoding="UTF-8" standalone="yes"?>
<Relationships xmlns="http://schemas.openxmlformats.org/package/2006/relationships"><Relationship Id="rId1" Type="http://schemas.openxmlformats.org/officeDocument/2006/relationships/table" Target="../tables/table199.xml"/></Relationships>
</file>

<file path=xl/worksheets/_rels/sheet197.xml.rels><?xml version="1.0" encoding="UTF-8" standalone="yes"?>
<Relationships xmlns="http://schemas.openxmlformats.org/package/2006/relationships"><Relationship Id="rId1" Type="http://schemas.openxmlformats.org/officeDocument/2006/relationships/table" Target="../tables/table200.xml"/></Relationships>
</file>

<file path=xl/worksheets/_rels/sheet198.xml.rels><?xml version="1.0" encoding="UTF-8" standalone="yes"?>
<Relationships xmlns="http://schemas.openxmlformats.org/package/2006/relationships"><Relationship Id="rId2" Type="http://schemas.openxmlformats.org/officeDocument/2006/relationships/table" Target="../tables/table201.xml"/><Relationship Id="rId1" Type="http://schemas.openxmlformats.org/officeDocument/2006/relationships/printerSettings" Target="../printerSettings/printerSettings51.bin"/></Relationships>
</file>

<file path=xl/worksheets/_rels/sheet199.xml.rels><?xml version="1.0" encoding="UTF-8" standalone="yes"?>
<Relationships xmlns="http://schemas.openxmlformats.org/package/2006/relationships"><Relationship Id="rId1" Type="http://schemas.openxmlformats.org/officeDocument/2006/relationships/table" Target="../tables/table202.xml"/></Relationships>
</file>

<file path=xl/worksheets/_rels/sheet2.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table" Target="../tables/table23.xml"/><Relationship Id="rId1" Type="http://schemas.openxmlformats.org/officeDocument/2006/relationships/printerSettings" Target="../printerSettings/printerSettings7.bin"/></Relationships>
</file>

<file path=xl/worksheets/_rels/sheet200.xml.rels><?xml version="1.0" encoding="UTF-8" standalone="yes"?>
<Relationships xmlns="http://schemas.openxmlformats.org/package/2006/relationships"><Relationship Id="rId1" Type="http://schemas.openxmlformats.org/officeDocument/2006/relationships/table" Target="../tables/table203.xml"/></Relationships>
</file>

<file path=xl/worksheets/_rels/sheet201.xml.rels><?xml version="1.0" encoding="UTF-8" standalone="yes"?>
<Relationships xmlns="http://schemas.openxmlformats.org/package/2006/relationships"><Relationship Id="rId1" Type="http://schemas.openxmlformats.org/officeDocument/2006/relationships/table" Target="../tables/table204.xml"/></Relationships>
</file>

<file path=xl/worksheets/_rels/sheet202.xml.rels><?xml version="1.0" encoding="UTF-8" standalone="yes"?>
<Relationships xmlns="http://schemas.openxmlformats.org/package/2006/relationships"><Relationship Id="rId1" Type="http://schemas.openxmlformats.org/officeDocument/2006/relationships/table" Target="../tables/table205.xml"/></Relationships>
</file>

<file path=xl/worksheets/_rels/sheet203.xml.rels><?xml version="1.0" encoding="UTF-8" standalone="yes"?>
<Relationships xmlns="http://schemas.openxmlformats.org/package/2006/relationships"><Relationship Id="rId2" Type="http://schemas.openxmlformats.org/officeDocument/2006/relationships/table" Target="../tables/table206.xml"/><Relationship Id="rId1" Type="http://schemas.openxmlformats.org/officeDocument/2006/relationships/printerSettings" Target="../printerSettings/printerSettings52.bin"/></Relationships>
</file>

<file path=xl/worksheets/_rels/sheet21.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23.xml.rels><?xml version="1.0" encoding="UTF-8" standalone="yes"?>
<Relationships xmlns="http://schemas.openxmlformats.org/package/2006/relationships"><Relationship Id="rId2" Type="http://schemas.openxmlformats.org/officeDocument/2006/relationships/table" Target="../tables/table26.xml"/><Relationship Id="rId1" Type="http://schemas.openxmlformats.org/officeDocument/2006/relationships/printerSettings" Target="../printerSettings/printerSettings8.bin"/></Relationships>
</file>

<file path=xl/worksheets/_rels/sheet24.xml.rels><?xml version="1.0" encoding="UTF-8" standalone="yes"?>
<Relationships xmlns="http://schemas.openxmlformats.org/package/2006/relationships"><Relationship Id="rId2" Type="http://schemas.openxmlformats.org/officeDocument/2006/relationships/table" Target="../tables/table27.xml"/><Relationship Id="rId1" Type="http://schemas.openxmlformats.org/officeDocument/2006/relationships/printerSettings" Target="../printerSettings/printerSettings9.bin"/></Relationships>
</file>

<file path=xl/worksheets/_rels/sheet25.xml.rels><?xml version="1.0" encoding="UTF-8" standalone="yes"?>
<Relationships xmlns="http://schemas.openxmlformats.org/package/2006/relationships"><Relationship Id="rId1" Type="http://schemas.openxmlformats.org/officeDocument/2006/relationships/table" Target="../tables/table28.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9.xml"/></Relationships>
</file>

<file path=xl/worksheets/_rels/sheet27.xml.rels><?xml version="1.0" encoding="UTF-8" standalone="yes"?>
<Relationships xmlns="http://schemas.openxmlformats.org/package/2006/relationships"><Relationship Id="rId1" Type="http://schemas.openxmlformats.org/officeDocument/2006/relationships/table" Target="../tables/table30.xml"/></Relationships>
</file>

<file path=xl/worksheets/_rels/sheet28.xml.rels><?xml version="1.0" encoding="UTF-8" standalone="yes"?>
<Relationships xmlns="http://schemas.openxmlformats.org/package/2006/relationships"><Relationship Id="rId1" Type="http://schemas.openxmlformats.org/officeDocument/2006/relationships/table" Target="../tables/table31.xml"/></Relationships>
</file>

<file path=xl/worksheets/_rels/sheet29.xml.rels><?xml version="1.0" encoding="UTF-8" standalone="yes"?>
<Relationships xmlns="http://schemas.openxmlformats.org/package/2006/relationships"><Relationship Id="rId1" Type="http://schemas.openxmlformats.org/officeDocument/2006/relationships/table" Target="../tables/table3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6.xml"/></Relationships>
</file>

<file path=xl/worksheets/_rels/sheet30.xml.rels><?xml version="1.0" encoding="UTF-8" standalone="yes"?>
<Relationships xmlns="http://schemas.openxmlformats.org/package/2006/relationships"><Relationship Id="rId1" Type="http://schemas.openxmlformats.org/officeDocument/2006/relationships/table" Target="../tables/table33.xml"/></Relationships>
</file>

<file path=xl/worksheets/_rels/sheet31.xml.rels><?xml version="1.0" encoding="UTF-8" standalone="yes"?>
<Relationships xmlns="http://schemas.openxmlformats.org/package/2006/relationships"><Relationship Id="rId1" Type="http://schemas.openxmlformats.org/officeDocument/2006/relationships/table" Target="../tables/table34.xml"/></Relationships>
</file>

<file path=xl/worksheets/_rels/sheet32.xml.rels><?xml version="1.0" encoding="UTF-8" standalone="yes"?>
<Relationships xmlns="http://schemas.openxmlformats.org/package/2006/relationships"><Relationship Id="rId1" Type="http://schemas.openxmlformats.org/officeDocument/2006/relationships/table" Target="../tables/table35.xml"/></Relationships>
</file>

<file path=xl/worksheets/_rels/sheet33.xml.rels><?xml version="1.0" encoding="UTF-8" standalone="yes"?>
<Relationships xmlns="http://schemas.openxmlformats.org/package/2006/relationships"><Relationship Id="rId1" Type="http://schemas.openxmlformats.org/officeDocument/2006/relationships/table" Target="../tables/table36.xml"/></Relationships>
</file>

<file path=xl/worksheets/_rels/sheet34.xml.rels><?xml version="1.0" encoding="UTF-8" standalone="yes"?>
<Relationships xmlns="http://schemas.openxmlformats.org/package/2006/relationships"><Relationship Id="rId1" Type="http://schemas.openxmlformats.org/officeDocument/2006/relationships/table" Target="../tables/table37.xml"/></Relationships>
</file>

<file path=xl/worksheets/_rels/sheet35.xml.rels><?xml version="1.0" encoding="UTF-8" standalone="yes"?>
<Relationships xmlns="http://schemas.openxmlformats.org/package/2006/relationships"><Relationship Id="rId2" Type="http://schemas.openxmlformats.org/officeDocument/2006/relationships/table" Target="../tables/table38.xml"/><Relationship Id="rId1" Type="http://schemas.openxmlformats.org/officeDocument/2006/relationships/printerSettings" Target="../printerSettings/printerSettings10.bin"/></Relationships>
</file>

<file path=xl/worksheets/_rels/sheet36.xml.rels><?xml version="1.0" encoding="UTF-8" standalone="yes"?>
<Relationships xmlns="http://schemas.openxmlformats.org/package/2006/relationships"><Relationship Id="rId1" Type="http://schemas.openxmlformats.org/officeDocument/2006/relationships/table" Target="../tables/table39.xml"/></Relationships>
</file>

<file path=xl/worksheets/_rels/sheet37.xml.rels><?xml version="1.0" encoding="UTF-8" standalone="yes"?>
<Relationships xmlns="http://schemas.openxmlformats.org/package/2006/relationships"><Relationship Id="rId1" Type="http://schemas.openxmlformats.org/officeDocument/2006/relationships/table" Target="../tables/table40.xml"/></Relationships>
</file>

<file path=xl/worksheets/_rels/sheet38.xml.rels><?xml version="1.0" encoding="UTF-8" standalone="yes"?>
<Relationships xmlns="http://schemas.openxmlformats.org/package/2006/relationships"><Relationship Id="rId1" Type="http://schemas.openxmlformats.org/officeDocument/2006/relationships/table" Target="../tables/table41.xml"/></Relationships>
</file>

<file path=xl/worksheets/_rels/sheet39.xml.rels><?xml version="1.0" encoding="UTF-8" standalone="yes"?>
<Relationships xmlns="http://schemas.openxmlformats.org/package/2006/relationships"><Relationship Id="rId1" Type="http://schemas.openxmlformats.org/officeDocument/2006/relationships/table" Target="../tables/table4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7.xml"/></Relationships>
</file>

<file path=xl/worksheets/_rels/sheet40.xml.rels><?xml version="1.0" encoding="UTF-8" standalone="yes"?>
<Relationships xmlns="http://schemas.openxmlformats.org/package/2006/relationships"><Relationship Id="rId2" Type="http://schemas.openxmlformats.org/officeDocument/2006/relationships/table" Target="../tables/table43.xml"/><Relationship Id="rId1" Type="http://schemas.openxmlformats.org/officeDocument/2006/relationships/printerSettings" Target="../printerSettings/printerSettings11.bin"/></Relationships>
</file>

<file path=xl/worksheets/_rels/sheet41.xml.rels><?xml version="1.0" encoding="UTF-8" standalone="yes"?>
<Relationships xmlns="http://schemas.openxmlformats.org/package/2006/relationships"><Relationship Id="rId1" Type="http://schemas.openxmlformats.org/officeDocument/2006/relationships/table" Target="../tables/table44.xml"/></Relationships>
</file>

<file path=xl/worksheets/_rels/sheet42.xml.rels><?xml version="1.0" encoding="UTF-8" standalone="yes"?>
<Relationships xmlns="http://schemas.openxmlformats.org/package/2006/relationships"><Relationship Id="rId1" Type="http://schemas.openxmlformats.org/officeDocument/2006/relationships/table" Target="../tables/table45.xml"/></Relationships>
</file>

<file path=xl/worksheets/_rels/sheet43.xml.rels><?xml version="1.0" encoding="UTF-8" standalone="yes"?>
<Relationships xmlns="http://schemas.openxmlformats.org/package/2006/relationships"><Relationship Id="rId2" Type="http://schemas.openxmlformats.org/officeDocument/2006/relationships/table" Target="../tables/table46.xml"/><Relationship Id="rId1" Type="http://schemas.openxmlformats.org/officeDocument/2006/relationships/printerSettings" Target="../printerSettings/printerSettings12.bin"/></Relationships>
</file>

<file path=xl/worksheets/_rels/sheet44.xml.rels><?xml version="1.0" encoding="UTF-8" standalone="yes"?>
<Relationships xmlns="http://schemas.openxmlformats.org/package/2006/relationships"><Relationship Id="rId1" Type="http://schemas.openxmlformats.org/officeDocument/2006/relationships/table" Target="../tables/table47.xml"/></Relationships>
</file>

<file path=xl/worksheets/_rels/sheet45.xml.rels><?xml version="1.0" encoding="UTF-8" standalone="yes"?>
<Relationships xmlns="http://schemas.openxmlformats.org/package/2006/relationships"><Relationship Id="rId1" Type="http://schemas.openxmlformats.org/officeDocument/2006/relationships/table" Target="../tables/table48.xml"/></Relationships>
</file>

<file path=xl/worksheets/_rels/sheet46.xml.rels><?xml version="1.0" encoding="UTF-8" standalone="yes"?>
<Relationships xmlns="http://schemas.openxmlformats.org/package/2006/relationships"><Relationship Id="rId2" Type="http://schemas.openxmlformats.org/officeDocument/2006/relationships/table" Target="../tables/table49.xml"/><Relationship Id="rId1" Type="http://schemas.openxmlformats.org/officeDocument/2006/relationships/printerSettings" Target="../printerSettings/printerSettings13.bin"/></Relationships>
</file>

<file path=xl/worksheets/_rels/sheet47.xml.rels><?xml version="1.0" encoding="UTF-8" standalone="yes"?>
<Relationships xmlns="http://schemas.openxmlformats.org/package/2006/relationships"><Relationship Id="rId1" Type="http://schemas.openxmlformats.org/officeDocument/2006/relationships/table" Target="../tables/table50.xml"/></Relationships>
</file>

<file path=xl/worksheets/_rels/sheet48.xml.rels><?xml version="1.0" encoding="UTF-8" standalone="yes"?>
<Relationships xmlns="http://schemas.openxmlformats.org/package/2006/relationships"><Relationship Id="rId2" Type="http://schemas.openxmlformats.org/officeDocument/2006/relationships/table" Target="../tables/table51.xml"/><Relationship Id="rId1" Type="http://schemas.openxmlformats.org/officeDocument/2006/relationships/printerSettings" Target="../printerSettings/printerSettings14.bin"/></Relationships>
</file>

<file path=xl/worksheets/_rels/sheet49.xml.rels><?xml version="1.0" encoding="UTF-8" standalone="yes"?>
<Relationships xmlns="http://schemas.openxmlformats.org/package/2006/relationships"><Relationship Id="rId2" Type="http://schemas.openxmlformats.org/officeDocument/2006/relationships/table" Target="../tables/table52.xml"/><Relationship Id="rId1" Type="http://schemas.openxmlformats.org/officeDocument/2006/relationships/printerSettings" Target="../printerSettings/printerSettings15.bin"/></Relationships>
</file>

<file path=xl/worksheets/_rels/sheet5.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3.bin"/></Relationships>
</file>

<file path=xl/worksheets/_rels/sheet50.xml.rels><?xml version="1.0" encoding="UTF-8" standalone="yes"?>
<Relationships xmlns="http://schemas.openxmlformats.org/package/2006/relationships"><Relationship Id="rId2" Type="http://schemas.openxmlformats.org/officeDocument/2006/relationships/table" Target="../tables/table53.xml"/><Relationship Id="rId1" Type="http://schemas.openxmlformats.org/officeDocument/2006/relationships/printerSettings" Target="../printerSettings/printerSettings16.bin"/></Relationships>
</file>

<file path=xl/worksheets/_rels/sheet51.xml.rels><?xml version="1.0" encoding="UTF-8" standalone="yes"?>
<Relationships xmlns="http://schemas.openxmlformats.org/package/2006/relationships"><Relationship Id="rId2" Type="http://schemas.openxmlformats.org/officeDocument/2006/relationships/table" Target="../tables/table54.xml"/><Relationship Id="rId1" Type="http://schemas.openxmlformats.org/officeDocument/2006/relationships/printerSettings" Target="../printerSettings/printerSettings17.bin"/></Relationships>
</file>

<file path=xl/worksheets/_rels/sheet52.xml.rels><?xml version="1.0" encoding="UTF-8" standalone="yes"?>
<Relationships xmlns="http://schemas.openxmlformats.org/package/2006/relationships"><Relationship Id="rId2" Type="http://schemas.openxmlformats.org/officeDocument/2006/relationships/table" Target="../tables/table55.xml"/><Relationship Id="rId1" Type="http://schemas.openxmlformats.org/officeDocument/2006/relationships/printerSettings" Target="../printerSettings/printerSettings18.bin"/></Relationships>
</file>

<file path=xl/worksheets/_rels/sheet53.xml.rels><?xml version="1.0" encoding="UTF-8" standalone="yes"?>
<Relationships xmlns="http://schemas.openxmlformats.org/package/2006/relationships"><Relationship Id="rId2" Type="http://schemas.openxmlformats.org/officeDocument/2006/relationships/table" Target="../tables/table56.xml"/><Relationship Id="rId1" Type="http://schemas.openxmlformats.org/officeDocument/2006/relationships/printerSettings" Target="../printerSettings/printerSettings19.bin"/></Relationships>
</file>

<file path=xl/worksheets/_rels/sheet54.xml.rels><?xml version="1.0" encoding="UTF-8" standalone="yes"?>
<Relationships xmlns="http://schemas.openxmlformats.org/package/2006/relationships"><Relationship Id="rId2" Type="http://schemas.openxmlformats.org/officeDocument/2006/relationships/table" Target="../tables/table57.xml"/><Relationship Id="rId1" Type="http://schemas.openxmlformats.org/officeDocument/2006/relationships/printerSettings" Target="../printerSettings/printerSettings20.bin"/></Relationships>
</file>

<file path=xl/worksheets/_rels/sheet55.xml.rels><?xml version="1.0" encoding="UTF-8" standalone="yes"?>
<Relationships xmlns="http://schemas.openxmlformats.org/package/2006/relationships"><Relationship Id="rId2" Type="http://schemas.openxmlformats.org/officeDocument/2006/relationships/table" Target="../tables/table58.xml"/><Relationship Id="rId1" Type="http://schemas.openxmlformats.org/officeDocument/2006/relationships/printerSettings" Target="../printerSettings/printerSettings21.bin"/></Relationships>
</file>

<file path=xl/worksheets/_rels/sheet56.xml.rels><?xml version="1.0" encoding="UTF-8" standalone="yes"?>
<Relationships xmlns="http://schemas.openxmlformats.org/package/2006/relationships"><Relationship Id="rId2" Type="http://schemas.openxmlformats.org/officeDocument/2006/relationships/table" Target="../tables/table59.xml"/><Relationship Id="rId1" Type="http://schemas.openxmlformats.org/officeDocument/2006/relationships/printerSettings" Target="../printerSettings/printerSettings22.bin"/></Relationships>
</file>

<file path=xl/worksheets/_rels/sheet57.xml.rels><?xml version="1.0" encoding="UTF-8" standalone="yes"?>
<Relationships xmlns="http://schemas.openxmlformats.org/package/2006/relationships"><Relationship Id="rId2" Type="http://schemas.openxmlformats.org/officeDocument/2006/relationships/table" Target="../tables/table60.xml"/><Relationship Id="rId1" Type="http://schemas.openxmlformats.org/officeDocument/2006/relationships/printerSettings" Target="../printerSettings/printerSettings23.bin"/></Relationships>
</file>

<file path=xl/worksheets/_rels/sheet58.xml.rels><?xml version="1.0" encoding="UTF-8" standalone="yes"?>
<Relationships xmlns="http://schemas.openxmlformats.org/package/2006/relationships"><Relationship Id="rId2" Type="http://schemas.openxmlformats.org/officeDocument/2006/relationships/table" Target="../tables/table61.xml"/><Relationship Id="rId1" Type="http://schemas.openxmlformats.org/officeDocument/2006/relationships/printerSettings" Target="../printerSettings/printerSettings24.bin"/></Relationships>
</file>

<file path=xl/worksheets/_rels/sheet59.xml.rels><?xml version="1.0" encoding="UTF-8" standalone="yes"?>
<Relationships xmlns="http://schemas.openxmlformats.org/package/2006/relationships"><Relationship Id="rId1" Type="http://schemas.openxmlformats.org/officeDocument/2006/relationships/table" Target="../tables/table62.xml"/></Relationships>
</file>

<file path=xl/worksheets/_rels/sheet6.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4.bin"/></Relationships>
</file>

<file path=xl/worksheets/_rels/sheet60.xml.rels><?xml version="1.0" encoding="UTF-8" standalone="yes"?>
<Relationships xmlns="http://schemas.openxmlformats.org/package/2006/relationships"><Relationship Id="rId2" Type="http://schemas.openxmlformats.org/officeDocument/2006/relationships/table" Target="../tables/table63.xml"/><Relationship Id="rId1" Type="http://schemas.openxmlformats.org/officeDocument/2006/relationships/printerSettings" Target="../printerSettings/printerSettings25.bin"/></Relationships>
</file>

<file path=xl/worksheets/_rels/sheet61.xml.rels><?xml version="1.0" encoding="UTF-8" standalone="yes"?>
<Relationships xmlns="http://schemas.openxmlformats.org/package/2006/relationships"><Relationship Id="rId1" Type="http://schemas.openxmlformats.org/officeDocument/2006/relationships/table" Target="../tables/table64.xml"/></Relationships>
</file>

<file path=xl/worksheets/_rels/sheet62.xml.rels><?xml version="1.0" encoding="UTF-8" standalone="yes"?>
<Relationships xmlns="http://schemas.openxmlformats.org/package/2006/relationships"><Relationship Id="rId2" Type="http://schemas.openxmlformats.org/officeDocument/2006/relationships/table" Target="../tables/table65.xml"/><Relationship Id="rId1" Type="http://schemas.openxmlformats.org/officeDocument/2006/relationships/printerSettings" Target="../printerSettings/printerSettings26.bin"/></Relationships>
</file>

<file path=xl/worksheets/_rels/sheet63.xml.rels><?xml version="1.0" encoding="UTF-8" standalone="yes"?>
<Relationships xmlns="http://schemas.openxmlformats.org/package/2006/relationships"><Relationship Id="rId2" Type="http://schemas.openxmlformats.org/officeDocument/2006/relationships/table" Target="../tables/table66.xml"/><Relationship Id="rId1" Type="http://schemas.openxmlformats.org/officeDocument/2006/relationships/printerSettings" Target="../printerSettings/printerSettings27.bin"/></Relationships>
</file>

<file path=xl/worksheets/_rels/sheet64.xml.rels><?xml version="1.0" encoding="UTF-8" standalone="yes"?>
<Relationships xmlns="http://schemas.openxmlformats.org/package/2006/relationships"><Relationship Id="rId2" Type="http://schemas.openxmlformats.org/officeDocument/2006/relationships/table" Target="../tables/table67.xml"/><Relationship Id="rId1" Type="http://schemas.openxmlformats.org/officeDocument/2006/relationships/printerSettings" Target="../printerSettings/printerSettings28.bin"/></Relationships>
</file>

<file path=xl/worksheets/_rels/sheet65.xml.rels><?xml version="1.0" encoding="UTF-8" standalone="yes"?>
<Relationships xmlns="http://schemas.openxmlformats.org/package/2006/relationships"><Relationship Id="rId2" Type="http://schemas.openxmlformats.org/officeDocument/2006/relationships/table" Target="../tables/table68.xml"/><Relationship Id="rId1" Type="http://schemas.openxmlformats.org/officeDocument/2006/relationships/printerSettings" Target="../printerSettings/printerSettings29.bin"/></Relationships>
</file>

<file path=xl/worksheets/_rels/sheet66.xml.rels><?xml version="1.0" encoding="UTF-8" standalone="yes"?>
<Relationships xmlns="http://schemas.openxmlformats.org/package/2006/relationships"><Relationship Id="rId2" Type="http://schemas.openxmlformats.org/officeDocument/2006/relationships/table" Target="../tables/table69.xml"/><Relationship Id="rId1" Type="http://schemas.openxmlformats.org/officeDocument/2006/relationships/printerSettings" Target="../printerSettings/printerSettings30.bin"/></Relationships>
</file>

<file path=xl/worksheets/_rels/sheet67.xml.rels><?xml version="1.0" encoding="UTF-8" standalone="yes"?>
<Relationships xmlns="http://schemas.openxmlformats.org/package/2006/relationships"><Relationship Id="rId1" Type="http://schemas.openxmlformats.org/officeDocument/2006/relationships/table" Target="../tables/table70.xml"/></Relationships>
</file>

<file path=xl/worksheets/_rels/sheet68.xml.rels><?xml version="1.0" encoding="UTF-8" standalone="yes"?>
<Relationships xmlns="http://schemas.openxmlformats.org/package/2006/relationships"><Relationship Id="rId1" Type="http://schemas.openxmlformats.org/officeDocument/2006/relationships/table" Target="../tables/table71.xml"/></Relationships>
</file>

<file path=xl/worksheets/_rels/sheet69.xml.rels><?xml version="1.0" encoding="UTF-8" standalone="yes"?>
<Relationships xmlns="http://schemas.openxmlformats.org/package/2006/relationships"><Relationship Id="rId1" Type="http://schemas.openxmlformats.org/officeDocument/2006/relationships/table" Target="../tables/table72.xml"/></Relationships>
</file>

<file path=xl/worksheets/_rels/sheet7.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70.xml.rels><?xml version="1.0" encoding="UTF-8" standalone="yes"?>
<Relationships xmlns="http://schemas.openxmlformats.org/package/2006/relationships"><Relationship Id="rId1" Type="http://schemas.openxmlformats.org/officeDocument/2006/relationships/table" Target="../tables/table73.xml"/></Relationships>
</file>

<file path=xl/worksheets/_rels/sheet71.xml.rels><?xml version="1.0" encoding="UTF-8" standalone="yes"?>
<Relationships xmlns="http://schemas.openxmlformats.org/package/2006/relationships"><Relationship Id="rId1" Type="http://schemas.openxmlformats.org/officeDocument/2006/relationships/table" Target="../tables/table74.xml"/></Relationships>
</file>

<file path=xl/worksheets/_rels/sheet72.xml.rels><?xml version="1.0" encoding="UTF-8" standalone="yes"?>
<Relationships xmlns="http://schemas.openxmlformats.org/package/2006/relationships"><Relationship Id="rId1" Type="http://schemas.openxmlformats.org/officeDocument/2006/relationships/table" Target="../tables/table75.xml"/></Relationships>
</file>

<file path=xl/worksheets/_rels/sheet73.xml.rels><?xml version="1.0" encoding="UTF-8" standalone="yes"?>
<Relationships xmlns="http://schemas.openxmlformats.org/package/2006/relationships"><Relationship Id="rId1" Type="http://schemas.openxmlformats.org/officeDocument/2006/relationships/table" Target="../tables/table76.xml"/></Relationships>
</file>

<file path=xl/worksheets/_rels/sheet74.xml.rels><?xml version="1.0" encoding="UTF-8" standalone="yes"?>
<Relationships xmlns="http://schemas.openxmlformats.org/package/2006/relationships"><Relationship Id="rId1" Type="http://schemas.openxmlformats.org/officeDocument/2006/relationships/table" Target="../tables/table77.xml"/></Relationships>
</file>

<file path=xl/worksheets/_rels/sheet75.xml.rels><?xml version="1.0" encoding="UTF-8" standalone="yes"?>
<Relationships xmlns="http://schemas.openxmlformats.org/package/2006/relationships"><Relationship Id="rId1" Type="http://schemas.openxmlformats.org/officeDocument/2006/relationships/table" Target="../tables/table78.xml"/></Relationships>
</file>

<file path=xl/worksheets/_rels/sheet76.xml.rels><?xml version="1.0" encoding="UTF-8" standalone="yes"?>
<Relationships xmlns="http://schemas.openxmlformats.org/package/2006/relationships"><Relationship Id="rId1" Type="http://schemas.openxmlformats.org/officeDocument/2006/relationships/table" Target="../tables/table79.xml"/></Relationships>
</file>

<file path=xl/worksheets/_rels/sheet77.xml.rels><?xml version="1.0" encoding="UTF-8" standalone="yes"?>
<Relationships xmlns="http://schemas.openxmlformats.org/package/2006/relationships"><Relationship Id="rId2" Type="http://schemas.openxmlformats.org/officeDocument/2006/relationships/table" Target="../tables/table80.xml"/><Relationship Id="rId1" Type="http://schemas.openxmlformats.org/officeDocument/2006/relationships/printerSettings" Target="../printerSettings/printerSettings31.bin"/></Relationships>
</file>

<file path=xl/worksheets/_rels/sheet78.xml.rels><?xml version="1.0" encoding="UTF-8" standalone="yes"?>
<Relationships xmlns="http://schemas.openxmlformats.org/package/2006/relationships"><Relationship Id="rId2" Type="http://schemas.openxmlformats.org/officeDocument/2006/relationships/table" Target="../tables/table81.xml"/><Relationship Id="rId1" Type="http://schemas.openxmlformats.org/officeDocument/2006/relationships/printerSettings" Target="../printerSettings/printerSettings32.bin"/></Relationships>
</file>

<file path=xl/worksheets/_rels/sheet79.xml.rels><?xml version="1.0" encoding="UTF-8" standalone="yes"?>
<Relationships xmlns="http://schemas.openxmlformats.org/package/2006/relationships"><Relationship Id="rId2" Type="http://schemas.openxmlformats.org/officeDocument/2006/relationships/table" Target="../tables/table82.xml"/><Relationship Id="rId1" Type="http://schemas.openxmlformats.org/officeDocument/2006/relationships/printerSettings" Target="../printerSettings/printerSettings33.bin"/></Relationships>
</file>

<file path=xl/worksheets/_rels/sheet8.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80.xml.rels><?xml version="1.0" encoding="UTF-8" standalone="yes"?>
<Relationships xmlns="http://schemas.openxmlformats.org/package/2006/relationships"><Relationship Id="rId2" Type="http://schemas.openxmlformats.org/officeDocument/2006/relationships/table" Target="../tables/table83.xml"/><Relationship Id="rId1" Type="http://schemas.openxmlformats.org/officeDocument/2006/relationships/printerSettings" Target="../printerSettings/printerSettings34.bin"/></Relationships>
</file>

<file path=xl/worksheets/_rels/sheet81.xml.rels><?xml version="1.0" encoding="UTF-8" standalone="yes"?>
<Relationships xmlns="http://schemas.openxmlformats.org/package/2006/relationships"><Relationship Id="rId2" Type="http://schemas.openxmlformats.org/officeDocument/2006/relationships/table" Target="../tables/table84.xml"/><Relationship Id="rId1" Type="http://schemas.openxmlformats.org/officeDocument/2006/relationships/printerSettings" Target="../printerSettings/printerSettings35.bin"/></Relationships>
</file>

<file path=xl/worksheets/_rels/sheet82.xml.rels><?xml version="1.0" encoding="UTF-8" standalone="yes"?>
<Relationships xmlns="http://schemas.openxmlformats.org/package/2006/relationships"><Relationship Id="rId2" Type="http://schemas.openxmlformats.org/officeDocument/2006/relationships/table" Target="../tables/table85.xml"/><Relationship Id="rId1" Type="http://schemas.openxmlformats.org/officeDocument/2006/relationships/printerSettings" Target="../printerSettings/printerSettings36.bin"/></Relationships>
</file>

<file path=xl/worksheets/_rels/sheet83.xml.rels><?xml version="1.0" encoding="UTF-8" standalone="yes"?>
<Relationships xmlns="http://schemas.openxmlformats.org/package/2006/relationships"><Relationship Id="rId2" Type="http://schemas.openxmlformats.org/officeDocument/2006/relationships/table" Target="../tables/table86.xml"/><Relationship Id="rId1" Type="http://schemas.openxmlformats.org/officeDocument/2006/relationships/printerSettings" Target="../printerSettings/printerSettings37.bin"/></Relationships>
</file>

<file path=xl/worksheets/_rels/sheet84.xml.rels><?xml version="1.0" encoding="UTF-8" standalone="yes"?>
<Relationships xmlns="http://schemas.openxmlformats.org/package/2006/relationships"><Relationship Id="rId1" Type="http://schemas.openxmlformats.org/officeDocument/2006/relationships/table" Target="../tables/table87.xml"/></Relationships>
</file>

<file path=xl/worksheets/_rels/sheet85.xml.rels><?xml version="1.0" encoding="UTF-8" standalone="yes"?>
<Relationships xmlns="http://schemas.openxmlformats.org/package/2006/relationships"><Relationship Id="rId1" Type="http://schemas.openxmlformats.org/officeDocument/2006/relationships/table" Target="../tables/table88.xml"/></Relationships>
</file>

<file path=xl/worksheets/_rels/sheet86.xml.rels><?xml version="1.0" encoding="UTF-8" standalone="yes"?>
<Relationships xmlns="http://schemas.openxmlformats.org/package/2006/relationships"><Relationship Id="rId1" Type="http://schemas.openxmlformats.org/officeDocument/2006/relationships/table" Target="../tables/table89.xml"/></Relationships>
</file>

<file path=xl/worksheets/_rels/sheet87.xml.rels><?xml version="1.0" encoding="UTF-8" standalone="yes"?>
<Relationships xmlns="http://schemas.openxmlformats.org/package/2006/relationships"><Relationship Id="rId1" Type="http://schemas.openxmlformats.org/officeDocument/2006/relationships/table" Target="../tables/table90.xml"/></Relationships>
</file>

<file path=xl/worksheets/_rels/sheet88.xml.rels><?xml version="1.0" encoding="UTF-8" standalone="yes"?>
<Relationships xmlns="http://schemas.openxmlformats.org/package/2006/relationships"><Relationship Id="rId1" Type="http://schemas.openxmlformats.org/officeDocument/2006/relationships/table" Target="../tables/table91.xml"/></Relationships>
</file>

<file path=xl/worksheets/_rels/sheet89.xml.rels><?xml version="1.0" encoding="UTF-8" standalone="yes"?>
<Relationships xmlns="http://schemas.openxmlformats.org/package/2006/relationships"><Relationship Id="rId1" Type="http://schemas.openxmlformats.org/officeDocument/2006/relationships/table" Target="../tables/table92.xml"/></Relationships>
</file>

<file path=xl/worksheets/_rels/sheet9.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90.xml.rels><?xml version="1.0" encoding="UTF-8" standalone="yes"?>
<Relationships xmlns="http://schemas.openxmlformats.org/package/2006/relationships"><Relationship Id="rId1" Type="http://schemas.openxmlformats.org/officeDocument/2006/relationships/table" Target="../tables/table93.xml"/></Relationships>
</file>

<file path=xl/worksheets/_rels/sheet91.xml.rels><?xml version="1.0" encoding="UTF-8" standalone="yes"?>
<Relationships xmlns="http://schemas.openxmlformats.org/package/2006/relationships"><Relationship Id="rId1" Type="http://schemas.openxmlformats.org/officeDocument/2006/relationships/table" Target="../tables/table94.xml"/></Relationships>
</file>

<file path=xl/worksheets/_rels/sheet92.xml.rels><?xml version="1.0" encoding="UTF-8" standalone="yes"?>
<Relationships xmlns="http://schemas.openxmlformats.org/package/2006/relationships"><Relationship Id="rId1" Type="http://schemas.openxmlformats.org/officeDocument/2006/relationships/table" Target="../tables/table95.xml"/></Relationships>
</file>

<file path=xl/worksheets/_rels/sheet93.xml.rels><?xml version="1.0" encoding="UTF-8" standalone="yes"?>
<Relationships xmlns="http://schemas.openxmlformats.org/package/2006/relationships"><Relationship Id="rId1" Type="http://schemas.openxmlformats.org/officeDocument/2006/relationships/table" Target="../tables/table96.xml"/></Relationships>
</file>

<file path=xl/worksheets/_rels/sheet94.xml.rels><?xml version="1.0" encoding="UTF-8" standalone="yes"?>
<Relationships xmlns="http://schemas.openxmlformats.org/package/2006/relationships"><Relationship Id="rId1" Type="http://schemas.openxmlformats.org/officeDocument/2006/relationships/table" Target="../tables/table97.xml"/></Relationships>
</file>

<file path=xl/worksheets/_rels/sheet95.xml.rels><?xml version="1.0" encoding="UTF-8" standalone="yes"?>
<Relationships xmlns="http://schemas.openxmlformats.org/package/2006/relationships"><Relationship Id="rId1" Type="http://schemas.openxmlformats.org/officeDocument/2006/relationships/table" Target="../tables/table98.xml"/></Relationships>
</file>

<file path=xl/worksheets/_rels/sheet96.xml.rels><?xml version="1.0" encoding="UTF-8" standalone="yes"?>
<Relationships xmlns="http://schemas.openxmlformats.org/package/2006/relationships"><Relationship Id="rId1" Type="http://schemas.openxmlformats.org/officeDocument/2006/relationships/table" Target="../tables/table99.xml"/></Relationships>
</file>

<file path=xl/worksheets/_rels/sheet97.xml.rels><?xml version="1.0" encoding="UTF-8" standalone="yes"?>
<Relationships xmlns="http://schemas.openxmlformats.org/package/2006/relationships"><Relationship Id="rId1" Type="http://schemas.openxmlformats.org/officeDocument/2006/relationships/table" Target="../tables/table100.xml"/></Relationships>
</file>

<file path=xl/worksheets/_rels/sheet98.xml.rels><?xml version="1.0" encoding="UTF-8" standalone="yes"?>
<Relationships xmlns="http://schemas.openxmlformats.org/package/2006/relationships"><Relationship Id="rId1" Type="http://schemas.openxmlformats.org/officeDocument/2006/relationships/table" Target="../tables/table101.xml"/></Relationships>
</file>

<file path=xl/worksheets/_rels/sheet99.xml.rels><?xml version="1.0" encoding="UTF-8" standalone="yes"?>
<Relationships xmlns="http://schemas.openxmlformats.org/package/2006/relationships"><Relationship Id="rId1" Type="http://schemas.openxmlformats.org/officeDocument/2006/relationships/table" Target="../tables/table10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F181"/>
  <sheetViews>
    <sheetView tabSelected="1" zoomScaleNormal="100" workbookViewId="0">
      <pane ySplit="4" topLeftCell="A5" activePane="bottomLeft" state="frozen"/>
      <selection pane="bottomLeft" activeCell="G1" sqref="G1"/>
    </sheetView>
  </sheetViews>
  <sheetFormatPr defaultRowHeight="14.5" x14ac:dyDescent="0.35"/>
  <cols>
    <col min="1" max="1" width="13.453125" customWidth="1"/>
    <col min="2" max="2" width="19.453125" customWidth="1"/>
    <col min="3" max="3" width="50.81640625" customWidth="1"/>
    <col min="4" max="4" width="56.453125" style="16" bestFit="1" customWidth="1"/>
    <col min="5" max="5" width="11.54296875" customWidth="1"/>
    <col min="6" max="6" width="48" style="16" bestFit="1" customWidth="1"/>
  </cols>
  <sheetData>
    <row r="1" spans="1:6" s="1" customFormat="1" ht="20" customHeight="1" x14ac:dyDescent="0.35">
      <c r="A1" s="174" t="s">
        <v>128</v>
      </c>
      <c r="B1" s="175"/>
      <c r="C1" s="180" t="s">
        <v>239</v>
      </c>
      <c r="D1" s="181"/>
      <c r="E1" s="186"/>
      <c r="F1" s="189"/>
    </row>
    <row r="2" spans="1:6" s="1" customFormat="1" ht="20" customHeight="1" x14ac:dyDescent="0.35">
      <c r="A2" s="176"/>
      <c r="B2" s="177"/>
      <c r="C2" s="182"/>
      <c r="D2" s="183"/>
      <c r="E2" s="187"/>
      <c r="F2" s="190"/>
    </row>
    <row r="3" spans="1:6" s="1" customFormat="1" ht="20" customHeight="1" thickBot="1" x14ac:dyDescent="0.4">
      <c r="A3" s="178"/>
      <c r="B3" s="179"/>
      <c r="C3" s="184"/>
      <c r="D3" s="185"/>
      <c r="E3" s="188"/>
      <c r="F3" s="191"/>
    </row>
    <row r="4" spans="1:6" s="4" customFormat="1" ht="29" thickBot="1" x14ac:dyDescent="0.7">
      <c r="A4" s="2" t="s">
        <v>1</v>
      </c>
      <c r="B4" s="2" t="s">
        <v>18</v>
      </c>
      <c r="C4" s="3" t="s">
        <v>2</v>
      </c>
      <c r="D4" s="3" t="s">
        <v>21</v>
      </c>
      <c r="E4" s="2" t="s">
        <v>3</v>
      </c>
      <c r="F4" s="2" t="s">
        <v>22</v>
      </c>
    </row>
    <row r="5" spans="1:6" ht="26" x14ac:dyDescent="0.35">
      <c r="A5" s="171" t="s">
        <v>550</v>
      </c>
      <c r="B5" s="172"/>
      <c r="C5" s="172"/>
      <c r="D5" s="172"/>
      <c r="E5" s="172"/>
      <c r="F5" s="173"/>
    </row>
    <row r="6" spans="1:6" ht="29" x14ac:dyDescent="0.35">
      <c r="A6" s="13" t="s">
        <v>91</v>
      </c>
      <c r="B6" s="6" t="s">
        <v>127</v>
      </c>
      <c r="C6" s="17" t="s">
        <v>486</v>
      </c>
      <c r="D6" s="126" t="s">
        <v>531</v>
      </c>
      <c r="E6" s="14"/>
      <c r="F6" s="46"/>
    </row>
    <row r="7" spans="1:6" ht="21" x14ac:dyDescent="0.35">
      <c r="A7" s="13" t="s">
        <v>92</v>
      </c>
      <c r="B7" s="6"/>
      <c r="C7" s="17" t="s">
        <v>386</v>
      </c>
      <c r="D7" s="126"/>
      <c r="E7" s="14"/>
      <c r="F7" s="46"/>
    </row>
    <row r="8" spans="1:6" ht="21" x14ac:dyDescent="0.35">
      <c r="A8" s="13" t="s">
        <v>93</v>
      </c>
      <c r="B8" s="6"/>
      <c r="C8" s="17" t="s">
        <v>436</v>
      </c>
      <c r="D8" s="126" t="s">
        <v>532</v>
      </c>
      <c r="E8" s="14"/>
      <c r="F8" s="46"/>
    </row>
    <row r="9" spans="1:6" ht="21" x14ac:dyDescent="0.35">
      <c r="A9" s="13" t="s">
        <v>94</v>
      </c>
      <c r="B9" s="6"/>
      <c r="C9" s="17" t="s">
        <v>401</v>
      </c>
      <c r="D9" s="126" t="s">
        <v>533</v>
      </c>
      <c r="E9" s="14"/>
      <c r="F9" s="46"/>
    </row>
    <row r="10" spans="1:6" s="42" customFormat="1" ht="21" x14ac:dyDescent="0.35">
      <c r="A10" s="13" t="s">
        <v>95</v>
      </c>
      <c r="B10" s="53"/>
      <c r="C10" s="17" t="s">
        <v>406</v>
      </c>
      <c r="D10" s="126" t="s">
        <v>534</v>
      </c>
      <c r="E10" s="5"/>
      <c r="F10" s="46"/>
    </row>
    <row r="11" spans="1:6" s="42" customFormat="1" ht="21" x14ac:dyDescent="0.35">
      <c r="A11" s="13" t="s">
        <v>96</v>
      </c>
      <c r="B11" s="53"/>
      <c r="C11" s="17" t="s">
        <v>405</v>
      </c>
      <c r="D11" s="126" t="s">
        <v>535</v>
      </c>
      <c r="E11" s="5"/>
      <c r="F11" s="46"/>
    </row>
    <row r="12" spans="1:6" s="42" customFormat="1" ht="21" x14ac:dyDescent="0.35">
      <c r="A12" s="13" t="s">
        <v>97</v>
      </c>
      <c r="B12" s="53"/>
      <c r="C12" s="17" t="s">
        <v>407</v>
      </c>
      <c r="D12" s="109" t="s">
        <v>536</v>
      </c>
      <c r="E12" s="5"/>
      <c r="F12" s="46"/>
    </row>
    <row r="13" spans="1:6" s="42" customFormat="1" ht="21" x14ac:dyDescent="0.35">
      <c r="A13" s="13" t="s">
        <v>98</v>
      </c>
      <c r="B13" s="53"/>
      <c r="C13" s="17" t="s">
        <v>408</v>
      </c>
      <c r="D13" s="109" t="s">
        <v>537</v>
      </c>
      <c r="E13" s="5"/>
      <c r="F13" s="46"/>
    </row>
    <row r="14" spans="1:6" s="42" customFormat="1" ht="21" x14ac:dyDescent="0.35">
      <c r="A14" s="13" t="s">
        <v>99</v>
      </c>
      <c r="B14" s="53"/>
      <c r="C14" s="17" t="s">
        <v>410</v>
      </c>
      <c r="D14" s="109" t="s">
        <v>538</v>
      </c>
      <c r="E14" s="5"/>
      <c r="F14" s="46"/>
    </row>
    <row r="15" spans="1:6" s="42" customFormat="1" ht="21" x14ac:dyDescent="0.35">
      <c r="A15" s="13" t="s">
        <v>23</v>
      </c>
      <c r="B15" s="53"/>
      <c r="C15" s="17" t="s">
        <v>409</v>
      </c>
      <c r="D15" s="109" t="s">
        <v>539</v>
      </c>
      <c r="E15" s="5"/>
      <c r="F15" s="46"/>
    </row>
    <row r="16" spans="1:6" s="42" customFormat="1" ht="21" x14ac:dyDescent="0.35">
      <c r="A16" s="13" t="s">
        <v>24</v>
      </c>
      <c r="B16" s="53"/>
      <c r="C16" s="17" t="s">
        <v>403</v>
      </c>
      <c r="D16" s="109" t="s">
        <v>540</v>
      </c>
      <c r="E16" s="5"/>
      <c r="F16" s="46"/>
    </row>
    <row r="17" spans="1:6" s="42" customFormat="1" ht="21" x14ac:dyDescent="0.35">
      <c r="A17" s="13" t="s">
        <v>25</v>
      </c>
      <c r="B17" s="53"/>
      <c r="C17" s="17" t="s">
        <v>404</v>
      </c>
      <c r="D17" s="109" t="s">
        <v>541</v>
      </c>
      <c r="E17" s="108"/>
      <c r="F17" s="46"/>
    </row>
    <row r="18" spans="1:6" s="42" customFormat="1" ht="21" x14ac:dyDescent="0.35">
      <c r="A18" s="13" t="s">
        <v>26</v>
      </c>
      <c r="B18" s="53"/>
      <c r="C18" s="17" t="s">
        <v>416</v>
      </c>
      <c r="D18" s="109" t="s">
        <v>546</v>
      </c>
      <c r="E18" s="108"/>
      <c r="F18" s="46"/>
    </row>
    <row r="19" spans="1:6" s="42" customFormat="1" ht="21" x14ac:dyDescent="0.35">
      <c r="A19" s="13" t="s">
        <v>27</v>
      </c>
      <c r="B19" s="53"/>
      <c r="C19" s="17" t="s">
        <v>421</v>
      </c>
      <c r="D19" s="109" t="s">
        <v>547</v>
      </c>
      <c r="E19" s="5"/>
      <c r="F19" s="46"/>
    </row>
    <row r="20" spans="1:6" ht="21" x14ac:dyDescent="0.35">
      <c r="A20" s="13" t="s">
        <v>28</v>
      </c>
      <c r="B20" s="6"/>
      <c r="C20" s="17" t="s">
        <v>422</v>
      </c>
      <c r="D20" s="109" t="s">
        <v>548</v>
      </c>
      <c r="E20" s="5"/>
      <c r="F20" s="46"/>
    </row>
    <row r="21" spans="1:6" ht="21" x14ac:dyDescent="0.35">
      <c r="A21" s="13" t="s">
        <v>29</v>
      </c>
      <c r="B21" s="6"/>
      <c r="C21" s="17" t="s">
        <v>573</v>
      </c>
      <c r="D21" s="126" t="s">
        <v>542</v>
      </c>
      <c r="E21" s="5"/>
      <c r="F21" s="46"/>
    </row>
    <row r="22" spans="1:6" s="42" customFormat="1" ht="21" x14ac:dyDescent="0.35">
      <c r="A22" s="13" t="s">
        <v>30</v>
      </c>
      <c r="B22" s="53"/>
      <c r="C22" s="17" t="s">
        <v>572</v>
      </c>
      <c r="D22" s="126" t="s">
        <v>543</v>
      </c>
      <c r="E22" s="5"/>
      <c r="F22" s="46"/>
    </row>
    <row r="23" spans="1:6" s="42" customFormat="1" ht="29" x14ac:dyDescent="0.35">
      <c r="A23" s="13" t="s">
        <v>31</v>
      </c>
      <c r="B23" s="110"/>
      <c r="C23" s="17" t="s">
        <v>431</v>
      </c>
      <c r="D23" s="109" t="s">
        <v>544</v>
      </c>
      <c r="E23" s="5"/>
      <c r="F23" s="46"/>
    </row>
    <row r="24" spans="1:6" s="42" customFormat="1" ht="21" x14ac:dyDescent="0.35">
      <c r="A24" s="13" t="s">
        <v>32</v>
      </c>
      <c r="B24" s="110"/>
      <c r="C24" s="17" t="s">
        <v>430</v>
      </c>
      <c r="D24" s="109" t="s">
        <v>545</v>
      </c>
      <c r="E24" s="5"/>
      <c r="F24" s="46"/>
    </row>
    <row r="25" spans="1:6" ht="29" x14ac:dyDescent="0.35">
      <c r="A25" s="13" t="s">
        <v>80</v>
      </c>
      <c r="B25" s="6"/>
      <c r="C25" s="17" t="s">
        <v>559</v>
      </c>
      <c r="D25" s="109" t="s">
        <v>574</v>
      </c>
      <c r="E25" s="5"/>
      <c r="F25" s="46"/>
    </row>
    <row r="26" spans="1:6" s="42" customFormat="1" ht="29" x14ac:dyDescent="0.35">
      <c r="A26" s="13" t="s">
        <v>81</v>
      </c>
      <c r="B26" s="110"/>
      <c r="C26" s="17" t="s">
        <v>560</v>
      </c>
      <c r="D26" s="109" t="s">
        <v>575</v>
      </c>
      <c r="E26" s="5"/>
      <c r="F26" s="46"/>
    </row>
    <row r="27" spans="1:6" s="42" customFormat="1" ht="21" x14ac:dyDescent="0.35">
      <c r="A27" s="13" t="s">
        <v>82</v>
      </c>
      <c r="B27" s="53"/>
      <c r="C27" s="17" t="s">
        <v>569</v>
      </c>
      <c r="D27" s="109"/>
      <c r="E27" s="5"/>
      <c r="F27" s="46"/>
    </row>
    <row r="28" spans="1:6" s="42" customFormat="1" ht="21" x14ac:dyDescent="0.35">
      <c r="A28" s="13" t="s">
        <v>83</v>
      </c>
      <c r="B28" s="53"/>
      <c r="C28" s="17" t="s">
        <v>570</v>
      </c>
      <c r="D28" s="109"/>
      <c r="E28" s="5"/>
      <c r="F28" s="46"/>
    </row>
    <row r="29" spans="1:6" ht="21" x14ac:dyDescent="0.35">
      <c r="A29" s="13"/>
      <c r="B29" s="110"/>
      <c r="C29" s="17"/>
      <c r="D29" s="109"/>
      <c r="E29" s="5"/>
      <c r="F29" s="46"/>
    </row>
    <row r="30" spans="1:6" ht="21" x14ac:dyDescent="0.35">
      <c r="A30" s="13"/>
      <c r="B30" s="110"/>
      <c r="C30" s="17"/>
      <c r="D30" s="109"/>
      <c r="E30" s="5"/>
      <c r="F30" s="46"/>
    </row>
    <row r="31" spans="1:6" ht="21" x14ac:dyDescent="0.35">
      <c r="A31" s="13"/>
      <c r="B31" s="110"/>
      <c r="C31" s="17"/>
      <c r="D31" s="109"/>
      <c r="E31" s="5"/>
      <c r="F31" s="46"/>
    </row>
    <row r="32" spans="1:6" ht="21" x14ac:dyDescent="0.35">
      <c r="A32" s="13"/>
      <c r="B32" s="53"/>
      <c r="C32" s="17"/>
      <c r="D32" s="109"/>
      <c r="E32" s="5"/>
      <c r="F32" s="46"/>
    </row>
    <row r="33" spans="1:6" ht="21" x14ac:dyDescent="0.35">
      <c r="A33" s="13"/>
      <c r="B33" s="53"/>
      <c r="C33" s="17"/>
      <c r="D33" s="109"/>
      <c r="E33" s="5"/>
      <c r="F33" s="46"/>
    </row>
    <row r="34" spans="1:6" ht="21" x14ac:dyDescent="0.35">
      <c r="A34" s="13"/>
      <c r="B34" s="53"/>
      <c r="C34" s="17"/>
      <c r="D34" s="109"/>
      <c r="E34" s="5"/>
      <c r="F34" s="46"/>
    </row>
    <row r="35" spans="1:6" ht="21" x14ac:dyDescent="0.35">
      <c r="A35" s="7"/>
      <c r="B35" s="8"/>
      <c r="C35" s="9"/>
      <c r="D35" s="10"/>
      <c r="E35" s="11"/>
      <c r="F35" s="12"/>
    </row>
    <row r="36" spans="1:6" ht="26" x14ac:dyDescent="0.35">
      <c r="A36" s="171" t="s">
        <v>435</v>
      </c>
      <c r="B36" s="172"/>
      <c r="C36" s="172"/>
      <c r="D36" s="172"/>
      <c r="E36" s="172"/>
      <c r="F36" s="173"/>
    </row>
    <row r="37" spans="1:6" ht="21" x14ac:dyDescent="0.35">
      <c r="A37" s="13" t="s">
        <v>33</v>
      </c>
      <c r="B37" s="37"/>
      <c r="C37" s="6" t="s">
        <v>479</v>
      </c>
      <c r="D37" s="43"/>
      <c r="E37" s="14"/>
      <c r="F37" s="47"/>
    </row>
    <row r="38" spans="1:6" ht="21" x14ac:dyDescent="0.35">
      <c r="A38" s="13" t="s">
        <v>34</v>
      </c>
      <c r="B38" s="36"/>
      <c r="C38" s="6" t="s">
        <v>483</v>
      </c>
      <c r="D38" s="43"/>
      <c r="E38" s="14"/>
      <c r="F38" s="48"/>
    </row>
    <row r="39" spans="1:6" ht="21" x14ac:dyDescent="0.35">
      <c r="A39" s="13" t="s">
        <v>35</v>
      </c>
      <c r="B39" s="36"/>
      <c r="C39" s="6" t="s">
        <v>476</v>
      </c>
      <c r="D39" s="126" t="s">
        <v>491</v>
      </c>
      <c r="E39" s="5"/>
      <c r="F39" s="48"/>
    </row>
    <row r="40" spans="1:6" ht="29" x14ac:dyDescent="0.35">
      <c r="A40" s="13" t="s">
        <v>36</v>
      </c>
      <c r="B40" s="36"/>
      <c r="C40" s="156" t="s">
        <v>477</v>
      </c>
      <c r="D40" s="126" t="s">
        <v>494</v>
      </c>
      <c r="E40" s="14"/>
      <c r="F40" s="48"/>
    </row>
    <row r="41" spans="1:6" ht="21" x14ac:dyDescent="0.35">
      <c r="A41" s="13" t="s">
        <v>37</v>
      </c>
      <c r="B41" s="36"/>
      <c r="C41" s="6" t="s">
        <v>492</v>
      </c>
      <c r="D41" s="126" t="s">
        <v>493</v>
      </c>
      <c r="E41" s="5"/>
      <c r="F41" s="48"/>
    </row>
    <row r="42" spans="1:6" ht="29" x14ac:dyDescent="0.35">
      <c r="A42" s="13" t="s">
        <v>38</v>
      </c>
      <c r="B42" s="36"/>
      <c r="C42" s="56" t="s">
        <v>515</v>
      </c>
      <c r="D42" s="126" t="s">
        <v>496</v>
      </c>
      <c r="E42" s="5"/>
      <c r="F42" s="48"/>
    </row>
    <row r="43" spans="1:6" ht="21" x14ac:dyDescent="0.35">
      <c r="A43" s="13" t="s">
        <v>39</v>
      </c>
      <c r="B43" s="36"/>
      <c r="C43" s="6" t="s">
        <v>497</v>
      </c>
      <c r="D43" s="109" t="s">
        <v>502</v>
      </c>
      <c r="E43" s="5"/>
      <c r="F43" s="57"/>
    </row>
    <row r="44" spans="1:6" ht="21" x14ac:dyDescent="0.35">
      <c r="A44" s="13" t="s">
        <v>40</v>
      </c>
      <c r="B44" s="36"/>
      <c r="C44" s="6" t="s">
        <v>498</v>
      </c>
      <c r="D44" s="45"/>
      <c r="E44" s="5"/>
      <c r="F44" s="57"/>
    </row>
    <row r="45" spans="1:6" ht="21" x14ac:dyDescent="0.35">
      <c r="A45" s="13" t="s">
        <v>41</v>
      </c>
      <c r="B45" s="36"/>
      <c r="C45" s="110" t="s">
        <v>438</v>
      </c>
      <c r="D45" s="156"/>
      <c r="E45" s="5"/>
      <c r="F45" s="57"/>
    </row>
    <row r="46" spans="1:6" ht="21" x14ac:dyDescent="0.35">
      <c r="A46" s="13" t="s">
        <v>42</v>
      </c>
      <c r="B46" s="36"/>
      <c r="C46" s="110" t="s">
        <v>437</v>
      </c>
      <c r="D46" s="45"/>
      <c r="E46" s="5"/>
      <c r="F46" s="57"/>
    </row>
    <row r="47" spans="1:6" ht="29" x14ac:dyDescent="0.35">
      <c r="A47" s="13" t="s">
        <v>43</v>
      </c>
      <c r="B47" s="36"/>
      <c r="C47" s="110" t="s">
        <v>439</v>
      </c>
      <c r="D47" s="109" t="s">
        <v>509</v>
      </c>
      <c r="E47" s="5"/>
      <c r="F47" s="57"/>
    </row>
    <row r="48" spans="1:6" ht="21" x14ac:dyDescent="0.35">
      <c r="A48" s="13" t="s">
        <v>44</v>
      </c>
      <c r="B48" s="36"/>
      <c r="C48" s="110" t="s">
        <v>440</v>
      </c>
      <c r="D48" s="109" t="s">
        <v>504</v>
      </c>
      <c r="E48" s="5"/>
      <c r="F48" s="57"/>
    </row>
    <row r="49" spans="1:6" ht="21" x14ac:dyDescent="0.35">
      <c r="A49" s="13" t="s">
        <v>45</v>
      </c>
      <c r="B49" s="36"/>
      <c r="C49" s="110" t="s">
        <v>441</v>
      </c>
      <c r="D49" s="109" t="s">
        <v>505</v>
      </c>
      <c r="E49" s="5"/>
      <c r="F49" s="57"/>
    </row>
    <row r="50" spans="1:6" ht="21" x14ac:dyDescent="0.35">
      <c r="A50" s="13" t="s">
        <v>46</v>
      </c>
      <c r="B50" s="36"/>
      <c r="C50" s="110" t="s">
        <v>442</v>
      </c>
      <c r="D50" s="109" t="s">
        <v>505</v>
      </c>
      <c r="E50" s="5"/>
      <c r="F50" s="57"/>
    </row>
    <row r="51" spans="1:6" ht="21" x14ac:dyDescent="0.35">
      <c r="A51" s="13" t="s">
        <v>47</v>
      </c>
      <c r="B51" s="36"/>
      <c r="C51" s="156" t="s">
        <v>507</v>
      </c>
      <c r="D51" s="109" t="s">
        <v>511</v>
      </c>
      <c r="E51" s="5"/>
      <c r="F51" s="48"/>
    </row>
    <row r="52" spans="1:6" ht="21" x14ac:dyDescent="0.35">
      <c r="A52" s="13" t="s">
        <v>48</v>
      </c>
      <c r="B52" s="36"/>
      <c r="C52" s="156" t="s">
        <v>506</v>
      </c>
      <c r="D52" s="109" t="s">
        <v>512</v>
      </c>
      <c r="E52" s="5"/>
      <c r="F52" s="48"/>
    </row>
    <row r="53" spans="1:6" ht="29" x14ac:dyDescent="0.35">
      <c r="A53" s="13" t="s">
        <v>49</v>
      </c>
      <c r="B53" s="36"/>
      <c r="C53" s="156" t="s">
        <v>521</v>
      </c>
      <c r="D53" s="109" t="s">
        <v>522</v>
      </c>
      <c r="E53" s="5"/>
      <c r="F53" s="48"/>
    </row>
    <row r="54" spans="1:6" ht="21" x14ac:dyDescent="0.35">
      <c r="A54" s="13" t="s">
        <v>50</v>
      </c>
      <c r="B54" s="36"/>
      <c r="C54" s="156" t="s">
        <v>508</v>
      </c>
      <c r="D54" s="109" t="s">
        <v>513</v>
      </c>
      <c r="E54" s="5"/>
      <c r="F54" s="48"/>
    </row>
    <row r="55" spans="1:6" ht="21" x14ac:dyDescent="0.35">
      <c r="A55" s="13" t="s">
        <v>51</v>
      </c>
      <c r="B55" s="36"/>
      <c r="C55" s="9" t="s">
        <v>443</v>
      </c>
      <c r="D55" s="109" t="s">
        <v>514</v>
      </c>
      <c r="E55" s="5"/>
      <c r="F55" s="48"/>
    </row>
    <row r="56" spans="1:6" ht="21" x14ac:dyDescent="0.35">
      <c r="A56" s="13" t="s">
        <v>52</v>
      </c>
      <c r="B56" s="36"/>
      <c r="C56" s="9" t="s">
        <v>444</v>
      </c>
      <c r="D56" s="109" t="s">
        <v>514</v>
      </c>
      <c r="E56" s="5"/>
      <c r="F56" s="48"/>
    </row>
    <row r="57" spans="1:6" ht="21" x14ac:dyDescent="0.35">
      <c r="A57" s="13" t="s">
        <v>53</v>
      </c>
      <c r="B57" s="36"/>
      <c r="C57" s="56" t="s">
        <v>445</v>
      </c>
      <c r="D57" s="109" t="s">
        <v>516</v>
      </c>
      <c r="E57" s="5"/>
      <c r="F57" s="48"/>
    </row>
    <row r="58" spans="1:6" ht="21" x14ac:dyDescent="0.35">
      <c r="A58" s="13" t="s">
        <v>54</v>
      </c>
      <c r="B58" s="36"/>
      <c r="C58" s="56" t="s">
        <v>446</v>
      </c>
      <c r="D58" s="109" t="s">
        <v>516</v>
      </c>
      <c r="E58" s="5"/>
      <c r="F58" s="48"/>
    </row>
    <row r="59" spans="1:6" s="97" customFormat="1" ht="21" x14ac:dyDescent="0.35">
      <c r="A59" s="13" t="s">
        <v>55</v>
      </c>
      <c r="B59" s="36"/>
      <c r="C59" s="9" t="s">
        <v>447</v>
      </c>
      <c r="D59" s="109" t="s">
        <v>516</v>
      </c>
      <c r="E59" s="108"/>
      <c r="F59" s="48"/>
    </row>
    <row r="60" spans="1:6" s="97" customFormat="1" ht="21" x14ac:dyDescent="0.35">
      <c r="A60" s="13" t="s">
        <v>56</v>
      </c>
      <c r="B60" s="36"/>
      <c r="C60" s="9" t="s">
        <v>448</v>
      </c>
      <c r="D60" s="109" t="s">
        <v>516</v>
      </c>
      <c r="E60" s="108"/>
      <c r="F60" s="48"/>
    </row>
    <row r="61" spans="1:6" s="97" customFormat="1" ht="21" x14ac:dyDescent="0.35">
      <c r="A61" s="13" t="s">
        <v>57</v>
      </c>
      <c r="B61" s="36"/>
      <c r="C61" s="156" t="s">
        <v>518</v>
      </c>
      <c r="D61" s="109"/>
      <c r="E61" s="108"/>
      <c r="F61" s="48"/>
    </row>
    <row r="62" spans="1:6" s="97" customFormat="1" ht="21" x14ac:dyDescent="0.35">
      <c r="A62" s="13" t="s">
        <v>58</v>
      </c>
      <c r="B62" s="36"/>
      <c r="C62" s="163" t="s">
        <v>523</v>
      </c>
      <c r="D62" s="109" t="s">
        <v>516</v>
      </c>
      <c r="E62" s="108"/>
      <c r="F62" s="48"/>
    </row>
    <row r="63" spans="1:6" s="97" customFormat="1" ht="21" x14ac:dyDescent="0.35">
      <c r="A63" s="74" t="s">
        <v>59</v>
      </c>
      <c r="B63" s="160"/>
      <c r="C63" s="9" t="s">
        <v>524</v>
      </c>
      <c r="D63" s="64"/>
      <c r="E63" s="161"/>
      <c r="F63" s="162"/>
    </row>
    <row r="64" spans="1:6" s="97" customFormat="1" ht="21" x14ac:dyDescent="0.35">
      <c r="A64" s="13" t="s">
        <v>60</v>
      </c>
      <c r="B64" s="160"/>
      <c r="C64" s="9" t="s">
        <v>525</v>
      </c>
      <c r="D64" s="73" t="s">
        <v>528</v>
      </c>
      <c r="E64" s="161"/>
      <c r="F64" s="162"/>
    </row>
    <row r="65" spans="1:6" s="97" customFormat="1" ht="21" x14ac:dyDescent="0.35">
      <c r="A65" s="13" t="s">
        <v>61</v>
      </c>
      <c r="B65" s="160"/>
      <c r="C65" s="9" t="s">
        <v>526</v>
      </c>
      <c r="D65" s="73" t="s">
        <v>528</v>
      </c>
      <c r="E65" s="161"/>
      <c r="F65" s="162"/>
    </row>
    <row r="66" spans="1:6" s="97" customFormat="1" ht="21" x14ac:dyDescent="0.35">
      <c r="A66" s="13" t="s">
        <v>62</v>
      </c>
      <c r="B66" s="36"/>
      <c r="C66" s="9" t="s">
        <v>527</v>
      </c>
      <c r="D66" s="109" t="s">
        <v>516</v>
      </c>
      <c r="E66" s="108"/>
      <c r="F66" s="48"/>
    </row>
    <row r="67" spans="1:6" s="97" customFormat="1" ht="29" x14ac:dyDescent="0.35">
      <c r="A67" s="13" t="s">
        <v>63</v>
      </c>
      <c r="B67" s="36"/>
      <c r="C67" s="9" t="s">
        <v>529</v>
      </c>
      <c r="D67" s="109" t="s">
        <v>530</v>
      </c>
      <c r="E67" s="108"/>
      <c r="F67" s="48"/>
    </row>
    <row r="68" spans="1:6" s="97" customFormat="1" ht="29" x14ac:dyDescent="0.35">
      <c r="A68" s="13" t="s">
        <v>64</v>
      </c>
      <c r="B68" s="36"/>
      <c r="C68" s="110" t="s">
        <v>558</v>
      </c>
      <c r="D68" s="109" t="s">
        <v>516</v>
      </c>
      <c r="E68" s="108"/>
      <c r="F68" s="48"/>
    </row>
    <row r="69" spans="1:6" s="97" customFormat="1" ht="21" x14ac:dyDescent="0.35">
      <c r="A69" s="13" t="s">
        <v>65</v>
      </c>
      <c r="B69" s="36"/>
      <c r="C69" s="17" t="s">
        <v>561</v>
      </c>
      <c r="D69" s="109" t="s">
        <v>562</v>
      </c>
      <c r="E69" s="108"/>
      <c r="F69" s="48"/>
    </row>
    <row r="70" spans="1:6" s="97" customFormat="1" ht="21" x14ac:dyDescent="0.35">
      <c r="A70" s="13" t="s">
        <v>66</v>
      </c>
      <c r="B70" s="160"/>
      <c r="C70" s="9" t="s">
        <v>564</v>
      </c>
      <c r="D70" s="73" t="s">
        <v>563</v>
      </c>
      <c r="E70" s="161"/>
      <c r="F70" s="162"/>
    </row>
    <row r="71" spans="1:6" s="97" customFormat="1" ht="21" x14ac:dyDescent="0.35">
      <c r="A71" s="13" t="s">
        <v>67</v>
      </c>
      <c r="B71" s="160"/>
      <c r="C71" s="110" t="s">
        <v>565</v>
      </c>
      <c r="D71" s="73" t="s">
        <v>563</v>
      </c>
      <c r="E71" s="161"/>
      <c r="F71" s="162"/>
    </row>
    <row r="72" spans="1:6" s="97" customFormat="1" ht="21" x14ac:dyDescent="0.35">
      <c r="A72" s="13" t="s">
        <v>68</v>
      </c>
      <c r="B72" s="160"/>
      <c r="C72" s="110" t="s">
        <v>566</v>
      </c>
      <c r="D72" s="73" t="s">
        <v>567</v>
      </c>
      <c r="E72" s="161"/>
      <c r="F72" s="162"/>
    </row>
    <row r="73" spans="1:6" s="97" customFormat="1" ht="21" x14ac:dyDescent="0.35">
      <c r="A73" s="13" t="s">
        <v>69</v>
      </c>
      <c r="B73" s="160"/>
      <c r="C73" s="110" t="s">
        <v>576</v>
      </c>
      <c r="D73" s="73" t="s">
        <v>577</v>
      </c>
      <c r="E73" s="161"/>
      <c r="F73" s="162"/>
    </row>
    <row r="74" spans="1:6" s="97" customFormat="1" ht="21" x14ac:dyDescent="0.35">
      <c r="A74" s="13" t="s">
        <v>70</v>
      </c>
      <c r="B74" s="160"/>
      <c r="C74" s="9" t="s">
        <v>578</v>
      </c>
      <c r="D74" s="73" t="s">
        <v>579</v>
      </c>
      <c r="E74" s="161"/>
      <c r="F74" s="162"/>
    </row>
    <row r="75" spans="1:6" s="97" customFormat="1" ht="21" x14ac:dyDescent="0.35">
      <c r="A75" s="13" t="s">
        <v>71</v>
      </c>
      <c r="B75" s="160"/>
      <c r="C75" s="9"/>
      <c r="D75" s="64"/>
      <c r="E75" s="161"/>
      <c r="F75" s="162"/>
    </row>
    <row r="76" spans="1:6" s="97" customFormat="1" ht="21" x14ac:dyDescent="0.35">
      <c r="A76" s="13" t="s">
        <v>72</v>
      </c>
      <c r="B76" s="36"/>
      <c r="C76" s="9"/>
      <c r="D76" s="45"/>
      <c r="E76" s="108"/>
      <c r="F76" s="48"/>
    </row>
    <row r="77" spans="1:6" ht="21" x14ac:dyDescent="0.35">
      <c r="A77" s="13" t="s">
        <v>73</v>
      </c>
      <c r="B77" s="160"/>
      <c r="C77" s="9"/>
      <c r="D77" s="64"/>
      <c r="E77" s="161"/>
      <c r="F77" s="162"/>
    </row>
    <row r="78" spans="1:6" ht="21" x14ac:dyDescent="0.35">
      <c r="A78" s="13" t="s">
        <v>74</v>
      </c>
      <c r="B78" s="160"/>
      <c r="C78" s="9"/>
      <c r="D78" s="64"/>
      <c r="E78" s="161"/>
      <c r="F78" s="162"/>
    </row>
    <row r="79" spans="1:6" ht="21" x14ac:dyDescent="0.35">
      <c r="A79" s="13" t="s">
        <v>75</v>
      </c>
      <c r="B79" s="160"/>
      <c r="C79" s="9"/>
      <c r="D79" s="64"/>
      <c r="E79" s="161"/>
      <c r="F79" s="162"/>
    </row>
    <row r="80" spans="1:6" ht="21" x14ac:dyDescent="0.35">
      <c r="A80" s="13" t="s">
        <v>76</v>
      </c>
      <c r="B80" s="160"/>
      <c r="C80" s="9"/>
      <c r="D80" s="64"/>
      <c r="E80" s="161"/>
      <c r="F80" s="162"/>
    </row>
    <row r="81" spans="1:6" s="97" customFormat="1" ht="21" x14ac:dyDescent="0.35">
      <c r="A81" s="13" t="s">
        <v>77</v>
      </c>
      <c r="B81" s="160"/>
      <c r="C81" s="9"/>
      <c r="D81" s="64"/>
      <c r="E81" s="161"/>
      <c r="F81" s="162"/>
    </row>
    <row r="82" spans="1:6" s="97" customFormat="1" ht="21" x14ac:dyDescent="0.35">
      <c r="A82" s="13" t="s">
        <v>78</v>
      </c>
      <c r="B82" s="160"/>
      <c r="C82" s="9"/>
      <c r="D82" s="64"/>
      <c r="E82" s="161"/>
      <c r="F82" s="162"/>
    </row>
    <row r="83" spans="1:6" s="97" customFormat="1" ht="21" x14ac:dyDescent="0.35">
      <c r="A83" s="13" t="s">
        <v>79</v>
      </c>
      <c r="B83" s="36"/>
      <c r="C83" s="9"/>
      <c r="D83" s="45"/>
      <c r="E83" s="108"/>
      <c r="F83" s="48"/>
    </row>
    <row r="84" spans="1:6" s="97" customFormat="1" ht="21" x14ac:dyDescent="0.35">
      <c r="A84" s="13" t="s">
        <v>84</v>
      </c>
      <c r="B84" s="160"/>
      <c r="C84" s="9"/>
      <c r="D84" s="64"/>
      <c r="E84" s="161"/>
      <c r="F84" s="162"/>
    </row>
    <row r="85" spans="1:6" s="97" customFormat="1" ht="21" x14ac:dyDescent="0.35">
      <c r="A85" s="13" t="s">
        <v>85</v>
      </c>
      <c r="B85" s="160"/>
      <c r="C85" s="9"/>
      <c r="D85" s="64"/>
      <c r="E85" s="161"/>
      <c r="F85" s="162"/>
    </row>
    <row r="86" spans="1:6" s="97" customFormat="1" ht="21" x14ac:dyDescent="0.35">
      <c r="A86" s="13" t="s">
        <v>86</v>
      </c>
      <c r="B86" s="160"/>
      <c r="C86" s="9"/>
      <c r="D86" s="64"/>
      <c r="E86" s="161"/>
      <c r="F86" s="162"/>
    </row>
    <row r="87" spans="1:6" s="97" customFormat="1" ht="21" x14ac:dyDescent="0.35">
      <c r="A87" s="13" t="s">
        <v>87</v>
      </c>
      <c r="B87" s="160"/>
      <c r="C87" s="9"/>
      <c r="D87" s="64"/>
      <c r="E87" s="161"/>
      <c r="F87" s="162"/>
    </row>
    <row r="88" spans="1:6" s="97" customFormat="1" ht="21" x14ac:dyDescent="0.35">
      <c r="A88" s="74"/>
      <c r="B88" s="160"/>
      <c r="C88" s="9"/>
      <c r="D88" s="64"/>
      <c r="E88" s="161"/>
      <c r="F88" s="162"/>
    </row>
    <row r="89" spans="1:6" s="97" customFormat="1" ht="21" x14ac:dyDescent="0.35">
      <c r="A89" s="74"/>
      <c r="B89" s="36"/>
      <c r="C89" s="9"/>
      <c r="D89" s="45"/>
      <c r="E89" s="108"/>
      <c r="F89" s="48"/>
    </row>
    <row r="90" spans="1:6" s="97" customFormat="1" ht="21" x14ac:dyDescent="0.35">
      <c r="A90" s="74"/>
      <c r="B90" s="160"/>
      <c r="C90" s="9"/>
      <c r="D90" s="64"/>
      <c r="E90" s="161"/>
      <c r="F90" s="162"/>
    </row>
    <row r="91" spans="1:6" ht="21" x14ac:dyDescent="0.35">
      <c r="A91" s="13"/>
      <c r="B91" s="160"/>
      <c r="C91" s="9"/>
      <c r="D91" s="64"/>
      <c r="E91" s="161"/>
      <c r="F91" s="162"/>
    </row>
    <row r="92" spans="1:6" ht="21" x14ac:dyDescent="0.35">
      <c r="A92" s="13" t="s">
        <v>88</v>
      </c>
      <c r="B92" s="160"/>
      <c r="C92" s="9"/>
      <c r="D92" s="64"/>
      <c r="E92" s="161"/>
      <c r="F92" s="162"/>
    </row>
    <row r="93" spans="1:6" ht="21" x14ac:dyDescent="0.35">
      <c r="A93" s="13" t="s">
        <v>89</v>
      </c>
      <c r="B93" s="160"/>
      <c r="C93" s="9"/>
      <c r="D93" s="73"/>
      <c r="E93" s="161"/>
      <c r="F93" s="162"/>
    </row>
    <row r="94" spans="1:6" s="97" customFormat="1" ht="21" x14ac:dyDescent="0.35">
      <c r="A94" s="13" t="s">
        <v>90</v>
      </c>
      <c r="B94" s="160"/>
      <c r="C94" s="56"/>
      <c r="D94" s="73"/>
      <c r="E94" s="161"/>
      <c r="F94" s="162"/>
    </row>
    <row r="95" spans="1:6" s="97" customFormat="1" ht="21" x14ac:dyDescent="0.35">
      <c r="A95" s="13" t="s">
        <v>100</v>
      </c>
      <c r="B95" s="160"/>
      <c r="C95" s="56"/>
      <c r="D95" s="73"/>
      <c r="E95" s="161"/>
      <c r="F95" s="162"/>
    </row>
    <row r="96" spans="1:6" s="97" customFormat="1" ht="21" x14ac:dyDescent="0.35">
      <c r="A96" s="13" t="s">
        <v>101</v>
      </c>
      <c r="B96" s="160"/>
      <c r="C96" s="56"/>
      <c r="D96" s="73"/>
      <c r="E96" s="161"/>
      <c r="F96" s="162"/>
    </row>
    <row r="97" spans="1:6" s="97" customFormat="1" ht="21" x14ac:dyDescent="0.35">
      <c r="A97" s="13" t="s">
        <v>102</v>
      </c>
      <c r="B97" s="160"/>
      <c r="C97" s="56"/>
      <c r="D97" s="73"/>
      <c r="E97" s="161"/>
      <c r="F97" s="162"/>
    </row>
    <row r="98" spans="1:6" s="97" customFormat="1" ht="21" x14ac:dyDescent="0.35">
      <c r="A98" s="13" t="s">
        <v>103</v>
      </c>
      <c r="B98" s="160"/>
      <c r="C98" s="56"/>
      <c r="D98" s="73"/>
      <c r="E98" s="161"/>
      <c r="F98" s="162"/>
    </row>
    <row r="99" spans="1:6" s="97" customFormat="1" ht="21" x14ac:dyDescent="0.35">
      <c r="A99" s="13" t="s">
        <v>104</v>
      </c>
      <c r="B99" s="160"/>
      <c r="C99" s="56"/>
      <c r="D99" s="73"/>
      <c r="E99" s="161"/>
      <c r="F99" s="162"/>
    </row>
    <row r="100" spans="1:6" s="97" customFormat="1" ht="21" x14ac:dyDescent="0.35">
      <c r="A100" s="13" t="s">
        <v>105</v>
      </c>
      <c r="B100" s="160"/>
      <c r="C100" s="56"/>
      <c r="D100" s="73"/>
      <c r="E100" s="161"/>
      <c r="F100" s="162"/>
    </row>
    <row r="101" spans="1:6" s="97" customFormat="1" ht="21" x14ac:dyDescent="0.35">
      <c r="A101" s="13" t="s">
        <v>106</v>
      </c>
      <c r="B101" s="160"/>
      <c r="C101" s="56"/>
      <c r="D101" s="73"/>
      <c r="E101" s="161"/>
      <c r="F101" s="162"/>
    </row>
    <row r="102" spans="1:6" s="97" customFormat="1" ht="21" x14ac:dyDescent="0.35">
      <c r="A102" s="13" t="s">
        <v>107</v>
      </c>
      <c r="B102" s="160"/>
      <c r="C102" s="56"/>
      <c r="D102" s="73"/>
      <c r="E102" s="161"/>
      <c r="F102" s="162"/>
    </row>
    <row r="103" spans="1:6" s="97" customFormat="1" ht="21" x14ac:dyDescent="0.35">
      <c r="A103" s="13" t="s">
        <v>108</v>
      </c>
      <c r="B103" s="160"/>
      <c r="C103" s="56"/>
      <c r="D103" s="73"/>
      <c r="E103" s="161"/>
      <c r="F103" s="162"/>
    </row>
    <row r="104" spans="1:6" s="97" customFormat="1" ht="21" x14ac:dyDescent="0.35">
      <c r="A104" s="13" t="s">
        <v>109</v>
      </c>
      <c r="B104" s="160"/>
      <c r="C104" s="56"/>
      <c r="D104" s="73"/>
      <c r="E104" s="161"/>
      <c r="F104" s="162"/>
    </row>
    <row r="105" spans="1:6" s="97" customFormat="1" ht="21" x14ac:dyDescent="0.35">
      <c r="A105" s="13" t="s">
        <v>110</v>
      </c>
      <c r="B105" s="160"/>
      <c r="C105" s="56"/>
      <c r="D105" s="73"/>
      <c r="E105" s="161"/>
      <c r="F105" s="162"/>
    </row>
    <row r="106" spans="1:6" s="97" customFormat="1" ht="21" x14ac:dyDescent="0.35">
      <c r="A106" s="13" t="s">
        <v>111</v>
      </c>
      <c r="B106" s="160"/>
      <c r="C106" s="56"/>
      <c r="D106" s="73"/>
      <c r="E106" s="161"/>
      <c r="F106" s="162"/>
    </row>
    <row r="107" spans="1:6" s="97" customFormat="1" ht="21" x14ac:dyDescent="0.35">
      <c r="A107" s="13" t="s">
        <v>112</v>
      </c>
      <c r="B107" s="160"/>
      <c r="C107" s="56"/>
      <c r="D107" s="73"/>
      <c r="E107" s="161"/>
      <c r="F107" s="162"/>
    </row>
    <row r="108" spans="1:6" s="97" customFormat="1" ht="21" x14ac:dyDescent="0.35">
      <c r="A108" s="13" t="s">
        <v>113</v>
      </c>
      <c r="B108" s="36"/>
      <c r="C108" s="56"/>
      <c r="D108" s="109"/>
      <c r="E108" s="108"/>
      <c r="F108" s="48"/>
    </row>
    <row r="109" spans="1:6" s="97" customFormat="1" ht="21" x14ac:dyDescent="0.35">
      <c r="A109" s="13" t="s">
        <v>116</v>
      </c>
      <c r="B109" s="160"/>
      <c r="C109" s="56"/>
      <c r="D109" s="73"/>
      <c r="E109" s="161"/>
      <c r="F109" s="162"/>
    </row>
    <row r="110" spans="1:6" s="97" customFormat="1" ht="21" x14ac:dyDescent="0.35">
      <c r="A110" s="13" t="s">
        <v>117</v>
      </c>
      <c r="B110" s="160"/>
      <c r="C110" s="56"/>
      <c r="D110" s="73"/>
      <c r="E110" s="161"/>
      <c r="F110" s="162"/>
    </row>
    <row r="111" spans="1:6" s="97" customFormat="1" ht="21" x14ac:dyDescent="0.35">
      <c r="A111" s="13" t="s">
        <v>118</v>
      </c>
      <c r="B111" s="160"/>
      <c r="C111" s="56"/>
      <c r="D111" s="73"/>
      <c r="E111" s="161"/>
      <c r="F111" s="162"/>
    </row>
    <row r="112" spans="1:6" s="97" customFormat="1" ht="21" x14ac:dyDescent="0.35">
      <c r="A112" s="13" t="s">
        <v>119</v>
      </c>
      <c r="B112" s="160"/>
      <c r="C112" s="56"/>
      <c r="D112" s="73"/>
      <c r="E112" s="161"/>
      <c r="F112" s="162"/>
    </row>
    <row r="113" spans="1:6" s="97" customFormat="1" ht="21" x14ac:dyDescent="0.35">
      <c r="A113" s="13" t="s">
        <v>120</v>
      </c>
      <c r="B113" s="160"/>
      <c r="C113" s="56"/>
      <c r="D113" s="73"/>
      <c r="E113" s="161"/>
      <c r="F113" s="162"/>
    </row>
    <row r="114" spans="1:6" ht="21" x14ac:dyDescent="0.35">
      <c r="A114" s="13" t="s">
        <v>121</v>
      </c>
      <c r="B114" s="160"/>
      <c r="C114" s="56"/>
      <c r="D114" s="73"/>
      <c r="E114" s="161"/>
      <c r="F114" s="162"/>
    </row>
    <row r="115" spans="1:6" s="97" customFormat="1" ht="21" x14ac:dyDescent="0.35">
      <c r="A115" s="13" t="s">
        <v>122</v>
      </c>
      <c r="B115" s="160"/>
      <c r="C115" s="56"/>
      <c r="D115" s="73"/>
      <c r="E115" s="161"/>
      <c r="F115" s="162"/>
    </row>
    <row r="116" spans="1:6" s="97" customFormat="1" ht="21" x14ac:dyDescent="0.35">
      <c r="A116" s="13" t="s">
        <v>123</v>
      </c>
      <c r="B116" s="160"/>
      <c r="C116" s="56"/>
      <c r="D116" s="73"/>
      <c r="E116" s="161"/>
      <c r="F116" s="162"/>
    </row>
    <row r="117" spans="1:6" s="97" customFormat="1" ht="21" x14ac:dyDescent="0.35">
      <c r="A117" s="74" t="s">
        <v>449</v>
      </c>
      <c r="B117" s="160"/>
      <c r="C117" s="56"/>
      <c r="D117" s="73"/>
      <c r="E117" s="161"/>
      <c r="F117" s="162"/>
    </row>
    <row r="118" spans="1:6" s="97" customFormat="1" ht="21" x14ac:dyDescent="0.35">
      <c r="A118" s="74" t="s">
        <v>450</v>
      </c>
      <c r="B118" s="160"/>
      <c r="C118" s="56"/>
      <c r="D118" s="73"/>
      <c r="E118" s="161"/>
      <c r="F118" s="162"/>
    </row>
    <row r="119" spans="1:6" s="97" customFormat="1" ht="21" x14ac:dyDescent="0.35">
      <c r="A119" s="74" t="s">
        <v>451</v>
      </c>
      <c r="B119" s="160"/>
      <c r="C119" s="155"/>
      <c r="D119" s="73"/>
      <c r="E119" s="161"/>
      <c r="F119" s="162"/>
    </row>
    <row r="120" spans="1:6" s="97" customFormat="1" ht="21" x14ac:dyDescent="0.35">
      <c r="A120" s="74" t="s">
        <v>452</v>
      </c>
      <c r="B120" s="160"/>
      <c r="C120" s="155"/>
      <c r="D120" s="73"/>
      <c r="E120" s="161"/>
      <c r="F120" s="162"/>
    </row>
    <row r="121" spans="1:6" s="97" customFormat="1" ht="21" x14ac:dyDescent="0.35">
      <c r="A121" s="74" t="s">
        <v>453</v>
      </c>
      <c r="B121" s="160"/>
      <c r="C121" s="155"/>
      <c r="D121" s="73"/>
      <c r="E121" s="161"/>
      <c r="F121" s="162"/>
    </row>
    <row r="122" spans="1:6" s="97" customFormat="1" ht="21" x14ac:dyDescent="0.35">
      <c r="A122" s="74" t="s">
        <v>454</v>
      </c>
      <c r="B122" s="160"/>
      <c r="C122" s="155"/>
      <c r="D122" s="73"/>
      <c r="E122" s="161"/>
      <c r="F122" s="162"/>
    </row>
    <row r="123" spans="1:6" s="97" customFormat="1" ht="21" x14ac:dyDescent="0.35">
      <c r="A123" s="74" t="s">
        <v>455</v>
      </c>
      <c r="B123" s="160"/>
      <c r="C123" s="155"/>
      <c r="D123" s="73"/>
      <c r="E123" s="161"/>
      <c r="F123" s="162"/>
    </row>
    <row r="124" spans="1:6" s="97" customFormat="1" ht="21" x14ac:dyDescent="0.35">
      <c r="A124" s="74" t="s">
        <v>456</v>
      </c>
      <c r="B124" s="160"/>
      <c r="C124" s="155"/>
      <c r="D124" s="73"/>
      <c r="E124" s="161"/>
      <c r="F124" s="162"/>
    </row>
    <row r="125" spans="1:6" s="97" customFormat="1" ht="21" x14ac:dyDescent="0.35">
      <c r="A125" s="74" t="s">
        <v>457</v>
      </c>
      <c r="B125" s="160"/>
      <c r="C125" s="155"/>
      <c r="D125" s="73"/>
      <c r="E125" s="161"/>
      <c r="F125" s="162"/>
    </row>
    <row r="126" spans="1:6" s="97" customFormat="1" ht="21" x14ac:dyDescent="0.35">
      <c r="A126" s="74" t="s">
        <v>458</v>
      </c>
      <c r="B126" s="160"/>
      <c r="C126" s="155"/>
      <c r="D126" s="73"/>
      <c r="E126" s="161"/>
      <c r="F126" s="162"/>
    </row>
    <row r="127" spans="1:6" s="97" customFormat="1" ht="21" x14ac:dyDescent="0.35">
      <c r="A127" s="74" t="s">
        <v>459</v>
      </c>
      <c r="B127" s="160"/>
      <c r="C127" s="155"/>
      <c r="D127" s="73"/>
      <c r="E127" s="161"/>
      <c r="F127" s="162"/>
    </row>
    <row r="128" spans="1:6" s="97" customFormat="1" ht="21" x14ac:dyDescent="0.35">
      <c r="A128" s="74" t="s">
        <v>460</v>
      </c>
      <c r="B128" s="160"/>
      <c r="C128" s="155"/>
      <c r="D128" s="73"/>
      <c r="E128" s="161"/>
      <c r="F128" s="162"/>
    </row>
    <row r="129" spans="1:6" s="97" customFormat="1" ht="21" x14ac:dyDescent="0.35">
      <c r="A129" s="74" t="s">
        <v>461</v>
      </c>
      <c r="B129" s="160"/>
      <c r="C129" s="155"/>
      <c r="D129" s="73"/>
      <c r="E129" s="161"/>
      <c r="F129" s="162"/>
    </row>
    <row r="130" spans="1:6" s="97" customFormat="1" ht="21" x14ac:dyDescent="0.35">
      <c r="A130" s="74" t="s">
        <v>462</v>
      </c>
      <c r="B130" s="160"/>
      <c r="C130" s="155"/>
      <c r="D130" s="73"/>
      <c r="E130" s="161"/>
      <c r="F130" s="162"/>
    </row>
    <row r="131" spans="1:6" s="97" customFormat="1" ht="21" x14ac:dyDescent="0.35">
      <c r="A131" s="74" t="s">
        <v>463</v>
      </c>
      <c r="B131" s="160"/>
      <c r="C131" s="155"/>
      <c r="D131" s="73"/>
      <c r="E131" s="161"/>
      <c r="F131" s="162"/>
    </row>
    <row r="132" spans="1:6" s="97" customFormat="1" ht="21" x14ac:dyDescent="0.35">
      <c r="A132" s="74" t="s">
        <v>464</v>
      </c>
      <c r="B132" s="160"/>
      <c r="C132" s="155"/>
      <c r="D132" s="73"/>
      <c r="E132" s="161"/>
      <c r="F132" s="162"/>
    </row>
    <row r="133" spans="1:6" s="97" customFormat="1" ht="21" x14ac:dyDescent="0.35">
      <c r="A133" s="74" t="s">
        <v>465</v>
      </c>
      <c r="B133" s="160"/>
      <c r="C133" s="155"/>
      <c r="D133" s="73"/>
      <c r="E133" s="161"/>
      <c r="F133" s="162"/>
    </row>
    <row r="134" spans="1:6" s="97" customFormat="1" ht="21" x14ac:dyDescent="0.35">
      <c r="A134" s="74" t="s">
        <v>466</v>
      </c>
      <c r="B134" s="160"/>
      <c r="C134" s="155"/>
      <c r="D134" s="73"/>
      <c r="E134" s="161"/>
      <c r="F134" s="162"/>
    </row>
    <row r="135" spans="1:6" s="97" customFormat="1" ht="21" x14ac:dyDescent="0.35">
      <c r="A135" s="74" t="s">
        <v>467</v>
      </c>
      <c r="B135" s="160"/>
      <c r="C135" s="155"/>
      <c r="D135" s="73"/>
      <c r="E135" s="161"/>
      <c r="F135" s="162"/>
    </row>
    <row r="136" spans="1:6" s="97" customFormat="1" ht="21" x14ac:dyDescent="0.35">
      <c r="A136" s="74" t="s">
        <v>468</v>
      </c>
      <c r="B136" s="160"/>
      <c r="C136" s="155"/>
      <c r="D136" s="73"/>
      <c r="E136" s="161"/>
      <c r="F136" s="162"/>
    </row>
    <row r="137" spans="1:6" s="97" customFormat="1" ht="21" x14ac:dyDescent="0.35">
      <c r="A137" s="74" t="s">
        <v>469</v>
      </c>
      <c r="B137" s="160"/>
      <c r="C137" s="155"/>
      <c r="D137" s="73"/>
      <c r="E137" s="161"/>
      <c r="F137" s="162"/>
    </row>
    <row r="138" spans="1:6" s="97" customFormat="1" ht="21" x14ac:dyDescent="0.35">
      <c r="A138" s="74" t="s">
        <v>470</v>
      </c>
      <c r="B138" s="160"/>
      <c r="C138" s="155"/>
      <c r="D138" s="73"/>
      <c r="E138" s="161"/>
      <c r="F138" s="162"/>
    </row>
    <row r="139" spans="1:6" s="97" customFormat="1" ht="21" x14ac:dyDescent="0.35">
      <c r="A139" s="74" t="s">
        <v>471</v>
      </c>
      <c r="B139" s="160"/>
      <c r="C139" s="155"/>
      <c r="D139" s="73"/>
      <c r="E139" s="161"/>
      <c r="F139" s="162"/>
    </row>
    <row r="140" spans="1:6" s="97" customFormat="1" ht="21" x14ac:dyDescent="0.35">
      <c r="A140" s="74" t="s">
        <v>472</v>
      </c>
      <c r="B140" s="160"/>
      <c r="C140" s="155"/>
      <c r="D140" s="73"/>
      <c r="E140" s="161"/>
      <c r="F140" s="162"/>
    </row>
    <row r="141" spans="1:6" s="97" customFormat="1" ht="21" x14ac:dyDescent="0.35">
      <c r="A141" s="74" t="s">
        <v>473</v>
      </c>
      <c r="B141" s="160"/>
      <c r="C141" s="155"/>
      <c r="D141" s="73"/>
      <c r="E141" s="161"/>
      <c r="F141" s="162"/>
    </row>
    <row r="142" spans="1:6" s="97" customFormat="1" ht="21" x14ac:dyDescent="0.35">
      <c r="A142" s="74" t="s">
        <v>474</v>
      </c>
      <c r="B142" s="160"/>
      <c r="C142" s="155"/>
      <c r="D142" s="73"/>
      <c r="E142" s="161"/>
      <c r="F142" s="162"/>
    </row>
    <row r="143" spans="1:6" s="97" customFormat="1" ht="21" x14ac:dyDescent="0.35">
      <c r="A143" s="74" t="s">
        <v>475</v>
      </c>
      <c r="B143" s="160"/>
      <c r="C143" s="168"/>
      <c r="D143" s="73"/>
      <c r="E143" s="161"/>
      <c r="F143" s="162"/>
    </row>
    <row r="144" spans="1:6" s="97" customFormat="1" ht="21" x14ac:dyDescent="0.35">
      <c r="A144" s="157"/>
      <c r="B144" s="158"/>
      <c r="C144" s="9"/>
      <c r="D144" s="10"/>
      <c r="E144" s="11"/>
      <c r="F144" s="159"/>
    </row>
    <row r="145" spans="1:6" ht="26" x14ac:dyDescent="0.35">
      <c r="A145" s="171" t="s">
        <v>549</v>
      </c>
      <c r="B145" s="172"/>
      <c r="C145" s="172"/>
      <c r="D145" s="172"/>
      <c r="E145" s="172"/>
      <c r="F145" s="173"/>
    </row>
    <row r="146" spans="1:6" ht="21" x14ac:dyDescent="0.35">
      <c r="A146" s="74"/>
      <c r="B146" s="44"/>
      <c r="C146" s="17" t="s">
        <v>551</v>
      </c>
      <c r="D146" s="15"/>
      <c r="E146" s="14"/>
      <c r="F146" s="51"/>
    </row>
    <row r="147" spans="1:6" ht="21" x14ac:dyDescent="0.35">
      <c r="A147" s="74"/>
      <c r="B147" s="44"/>
      <c r="C147" s="17" t="s">
        <v>552</v>
      </c>
      <c r="D147" s="15"/>
      <c r="E147" s="49"/>
      <c r="F147" s="52"/>
    </row>
    <row r="148" spans="1:6" ht="21" x14ac:dyDescent="0.35">
      <c r="A148" s="74"/>
      <c r="B148" s="44"/>
      <c r="C148" s="6" t="s">
        <v>553</v>
      </c>
      <c r="D148" s="15"/>
      <c r="E148" s="49"/>
      <c r="F148" s="50"/>
    </row>
    <row r="149" spans="1:6" ht="21" x14ac:dyDescent="0.35">
      <c r="A149" s="74"/>
      <c r="B149" s="44"/>
      <c r="C149" s="110" t="s">
        <v>554</v>
      </c>
      <c r="D149" s="43"/>
      <c r="E149" s="49"/>
      <c r="F149" s="50"/>
    </row>
    <row r="150" spans="1:6" ht="21" x14ac:dyDescent="0.35">
      <c r="A150" s="74"/>
      <c r="B150" s="44"/>
      <c r="C150" s="110" t="s">
        <v>555</v>
      </c>
      <c r="D150" s="45"/>
      <c r="E150" s="49"/>
      <c r="F150" s="50"/>
    </row>
    <row r="151" spans="1:6" ht="21" x14ac:dyDescent="0.35">
      <c r="A151" s="74"/>
      <c r="B151" s="44"/>
      <c r="C151" s="6" t="s">
        <v>556</v>
      </c>
      <c r="D151" s="43"/>
      <c r="E151" s="49"/>
      <c r="F151" s="50"/>
    </row>
    <row r="152" spans="1:6" ht="21" x14ac:dyDescent="0.35">
      <c r="A152" s="74"/>
      <c r="B152" s="62"/>
      <c r="C152" s="63"/>
      <c r="D152" s="64"/>
      <c r="E152" s="65"/>
      <c r="F152" s="66"/>
    </row>
    <row r="153" spans="1:6" ht="21" x14ac:dyDescent="0.35">
      <c r="A153" s="74"/>
      <c r="B153" s="58"/>
      <c r="C153" s="53"/>
      <c r="D153" s="45"/>
      <c r="E153" s="59"/>
      <c r="F153" s="60"/>
    </row>
    <row r="154" spans="1:6" ht="21" x14ac:dyDescent="0.35">
      <c r="A154" s="74"/>
      <c r="B154" s="58"/>
      <c r="C154" s="53"/>
      <c r="D154" s="45"/>
      <c r="E154" s="59"/>
      <c r="F154" s="60"/>
    </row>
    <row r="155" spans="1:6" ht="21" x14ac:dyDescent="0.35">
      <c r="A155" s="74"/>
      <c r="B155" s="58"/>
      <c r="C155" s="53"/>
      <c r="D155" s="45"/>
      <c r="E155" s="59"/>
      <c r="F155" s="60"/>
    </row>
    <row r="156" spans="1:6" ht="21" x14ac:dyDescent="0.35">
      <c r="A156" s="74"/>
      <c r="B156" s="58"/>
      <c r="C156" s="53"/>
      <c r="D156" s="45"/>
      <c r="E156" s="59"/>
      <c r="F156" s="60"/>
    </row>
    <row r="157" spans="1:6" ht="21" x14ac:dyDescent="0.35">
      <c r="A157" s="74"/>
      <c r="B157" s="58"/>
      <c r="C157" s="53"/>
      <c r="D157" s="45"/>
      <c r="E157" s="59"/>
      <c r="F157" s="60"/>
    </row>
    <row r="158" spans="1:6" ht="21" x14ac:dyDescent="0.35">
      <c r="A158" s="13"/>
      <c r="B158" s="58"/>
      <c r="C158" s="53"/>
      <c r="D158" s="45"/>
      <c r="E158" s="59"/>
      <c r="F158" s="60"/>
    </row>
    <row r="159" spans="1:6" ht="21" x14ac:dyDescent="0.35">
      <c r="A159" s="74"/>
      <c r="B159" s="58"/>
      <c r="C159" s="53"/>
      <c r="D159" s="45"/>
      <c r="E159" s="59"/>
      <c r="F159" s="60"/>
    </row>
    <row r="160" spans="1:6" ht="21" x14ac:dyDescent="0.35">
      <c r="A160" s="74"/>
      <c r="B160" s="58"/>
      <c r="C160" s="53"/>
      <c r="D160" s="45"/>
      <c r="E160" s="59"/>
      <c r="F160" s="60"/>
    </row>
    <row r="161" spans="1:6" ht="21" x14ac:dyDescent="0.35">
      <c r="A161" s="74"/>
      <c r="B161" s="58"/>
      <c r="C161" s="53"/>
      <c r="D161" s="45"/>
      <c r="E161" s="59"/>
      <c r="F161" s="60"/>
    </row>
    <row r="162" spans="1:6" ht="21" x14ac:dyDescent="0.35">
      <c r="A162" s="74"/>
      <c r="B162" s="58"/>
      <c r="C162" s="53"/>
      <c r="D162" s="45"/>
      <c r="E162" s="59"/>
      <c r="F162" s="60"/>
    </row>
    <row r="163" spans="1:6" ht="21" x14ac:dyDescent="0.35">
      <c r="A163" s="74"/>
      <c r="B163" s="58"/>
      <c r="C163" s="53"/>
      <c r="D163" s="45"/>
      <c r="E163" s="59"/>
      <c r="F163" s="60"/>
    </row>
    <row r="164" spans="1:6" ht="21" x14ac:dyDescent="0.35">
      <c r="A164" s="54"/>
      <c r="B164" s="67"/>
      <c r="C164" s="55"/>
      <c r="D164" s="68"/>
      <c r="E164" s="69"/>
      <c r="F164" s="70"/>
    </row>
    <row r="165" spans="1:6" ht="26" x14ac:dyDescent="0.35">
      <c r="A165" s="171"/>
      <c r="B165" s="172"/>
      <c r="C165" s="172"/>
      <c r="D165" s="172"/>
      <c r="E165" s="172"/>
      <c r="F165" s="173"/>
    </row>
    <row r="166" spans="1:6" ht="21" x14ac:dyDescent="0.35">
      <c r="A166" s="13"/>
      <c r="B166" s="6"/>
      <c r="C166" s="56"/>
      <c r="D166" s="15"/>
      <c r="E166" s="14"/>
      <c r="F166" s="46"/>
    </row>
    <row r="167" spans="1:6" ht="21" x14ac:dyDescent="0.35">
      <c r="A167" s="13"/>
      <c r="B167" s="6"/>
      <c r="C167" s="6"/>
      <c r="D167" s="15"/>
      <c r="E167" s="5"/>
      <c r="F167" s="46"/>
    </row>
    <row r="168" spans="1:6" ht="21" x14ac:dyDescent="0.35">
      <c r="A168" s="13"/>
      <c r="B168" s="6"/>
      <c r="C168" s="6"/>
      <c r="D168" s="15"/>
      <c r="E168" s="5"/>
      <c r="F168" s="15"/>
    </row>
    <row r="169" spans="1:6" ht="21" x14ac:dyDescent="0.35">
      <c r="A169" s="13"/>
      <c r="B169" s="6"/>
      <c r="C169" s="6"/>
      <c r="D169" s="15"/>
      <c r="E169" s="5"/>
      <c r="F169" s="15"/>
    </row>
    <row r="170" spans="1:6" ht="21" x14ac:dyDescent="0.35">
      <c r="A170" s="13"/>
      <c r="B170" s="6"/>
      <c r="C170" s="6"/>
      <c r="D170" s="15"/>
      <c r="E170" s="5"/>
      <c r="F170" s="15"/>
    </row>
    <row r="171" spans="1:6" ht="21" x14ac:dyDescent="0.35">
      <c r="A171" s="13"/>
      <c r="B171" s="6"/>
      <c r="C171" s="6"/>
      <c r="D171" s="15"/>
      <c r="E171" s="5"/>
      <c r="F171" s="15"/>
    </row>
    <row r="172" spans="1:6" ht="21" x14ac:dyDescent="0.35">
      <c r="A172" s="13"/>
      <c r="B172" s="6"/>
      <c r="C172" s="6"/>
      <c r="D172" s="15"/>
      <c r="E172" s="5"/>
      <c r="F172" s="15"/>
    </row>
    <row r="173" spans="1:6" ht="21" x14ac:dyDescent="0.35">
      <c r="A173" s="13"/>
      <c r="B173" s="6"/>
      <c r="C173" s="6"/>
      <c r="D173" s="15"/>
      <c r="E173" s="5"/>
      <c r="F173" s="15"/>
    </row>
    <row r="174" spans="1:6" ht="21" x14ac:dyDescent="0.35">
      <c r="A174" s="13"/>
      <c r="B174" s="6"/>
      <c r="C174" s="6"/>
      <c r="D174" s="15"/>
      <c r="E174" s="5"/>
      <c r="F174" s="46"/>
    </row>
    <row r="175" spans="1:6" ht="21" x14ac:dyDescent="0.35">
      <c r="A175" s="61"/>
      <c r="B175" s="63"/>
      <c r="C175" s="6"/>
      <c r="D175" s="71"/>
      <c r="E175" s="65"/>
      <c r="F175" s="72"/>
    </row>
    <row r="176" spans="1:6" ht="21" x14ac:dyDescent="0.35">
      <c r="A176" s="61"/>
      <c r="B176" s="63"/>
      <c r="C176" s="6"/>
      <c r="D176" s="71"/>
      <c r="E176" s="65"/>
      <c r="F176" s="72"/>
    </row>
    <row r="177" spans="1:6" ht="21" x14ac:dyDescent="0.35">
      <c r="A177" s="61"/>
      <c r="B177" s="63"/>
      <c r="C177" s="6"/>
      <c r="D177" s="71"/>
      <c r="E177" s="65"/>
      <c r="F177" s="72"/>
    </row>
    <row r="178" spans="1:6" ht="21" x14ac:dyDescent="0.35">
      <c r="A178" s="61"/>
      <c r="B178" s="63"/>
      <c r="C178" s="6"/>
      <c r="D178" s="71"/>
      <c r="E178" s="65"/>
      <c r="F178" s="72"/>
    </row>
    <row r="179" spans="1:6" ht="21" x14ac:dyDescent="0.35">
      <c r="A179" s="61"/>
      <c r="B179" s="63"/>
      <c r="C179" s="6"/>
      <c r="D179" s="73"/>
      <c r="E179" s="65"/>
      <c r="F179" s="72"/>
    </row>
    <row r="180" spans="1:6" ht="21" x14ac:dyDescent="0.35">
      <c r="A180" s="74"/>
      <c r="B180" s="75"/>
      <c r="C180" s="75"/>
      <c r="D180" s="73"/>
      <c r="E180" s="65"/>
      <c r="F180" s="76"/>
    </row>
    <row r="181" spans="1:6" ht="21" x14ac:dyDescent="0.35">
      <c r="A181" s="74"/>
      <c r="B181" s="75"/>
      <c r="C181" s="75"/>
      <c r="D181" s="73"/>
      <c r="E181" s="65"/>
      <c r="F181" s="76"/>
    </row>
  </sheetData>
  <mergeCells count="8">
    <mergeCell ref="A165:F165"/>
    <mergeCell ref="A145:F145"/>
    <mergeCell ref="A36:F36"/>
    <mergeCell ref="A1:B3"/>
    <mergeCell ref="C1:D3"/>
    <mergeCell ref="E1:E3"/>
    <mergeCell ref="F1:F3"/>
    <mergeCell ref="A5:F5"/>
  </mergeCells>
  <phoneticPr fontId="30" type="noConversion"/>
  <conditionalFormatting sqref="E146:E164 E31:E34 E19:E29 E6:E16 E37:E144">
    <cfRule type="containsText" dxfId="5986" priority="681" operator="containsText" text="on hold">
      <formula>NOT(ISERROR(SEARCH("on hold",E6)))</formula>
    </cfRule>
    <cfRule type="containsText" dxfId="5985" priority="692" operator="containsText" text="FAIL">
      <formula>NOT(ISERROR(SEARCH("FAIL",E6)))</formula>
    </cfRule>
    <cfRule type="containsText" dxfId="5984" priority="693" operator="containsText" text="PASS">
      <formula>NOT(ISERROR(SEARCH("PASS",E6)))</formula>
    </cfRule>
  </conditionalFormatting>
  <conditionalFormatting sqref="E146:E164 E38:E92">
    <cfRule type="containsText" dxfId="5983" priority="690" operator="containsText" text="FAIL">
      <formula>NOT(ISERROR(SEARCH("FAIL",E38)))</formula>
    </cfRule>
    <cfRule type="containsText" dxfId="5982" priority="691" operator="containsText" text="PASS">
      <formula>NOT(ISERROR(SEARCH("PASS",E38)))</formula>
    </cfRule>
  </conditionalFormatting>
  <conditionalFormatting sqref="E38:E42">
    <cfRule type="containsText" dxfId="5981" priority="675" operator="containsText" text="on hold">
      <formula>NOT(ISERROR(SEARCH("on hold",E38)))</formula>
    </cfRule>
    <cfRule type="containsText" dxfId="5980" priority="676" operator="containsText" text="FAIL">
      <formula>NOT(ISERROR(SEARCH("FAIL",E38)))</formula>
    </cfRule>
    <cfRule type="containsText" dxfId="5979" priority="677" operator="containsText" text="PASS">
      <formula>NOT(ISERROR(SEARCH("PASS",E38)))</formula>
    </cfRule>
  </conditionalFormatting>
  <conditionalFormatting sqref="E30">
    <cfRule type="containsText" dxfId="5978" priority="219" operator="containsText" text="on hold">
      <formula>NOT(ISERROR(SEARCH("on hold",E30)))</formula>
    </cfRule>
    <cfRule type="containsText" dxfId="5977" priority="220" operator="containsText" text="FAIL">
      <formula>NOT(ISERROR(SEARCH("FAIL",E30)))</formula>
    </cfRule>
    <cfRule type="containsText" dxfId="5976" priority="221" operator="containsText" text="PASS">
      <formula>NOT(ISERROR(SEARCH("PASS",E30)))</formula>
    </cfRule>
  </conditionalFormatting>
  <conditionalFormatting sqref="E166:E173">
    <cfRule type="containsText" dxfId="5975" priority="10" operator="containsText" text="on hold">
      <formula>NOT(ISERROR(SEARCH("on hold",E166)))</formula>
    </cfRule>
    <cfRule type="containsText" dxfId="5974" priority="11" operator="containsText" text="FAIL">
      <formula>NOT(ISERROR(SEARCH("FAIL",E166)))</formula>
    </cfRule>
    <cfRule type="containsText" dxfId="5973" priority="12" operator="containsText" text="PASS">
      <formula>NOT(ISERROR(SEARCH("PASS",E166)))</formula>
    </cfRule>
  </conditionalFormatting>
  <conditionalFormatting sqref="E174">
    <cfRule type="containsText" dxfId="5972" priority="7" operator="containsText" text="on hold">
      <formula>NOT(ISERROR(SEARCH("on hold",E174)))</formula>
    </cfRule>
    <cfRule type="containsText" dxfId="5971" priority="8" operator="containsText" text="FAIL">
      <formula>NOT(ISERROR(SEARCH("FAIL",E174)))</formula>
    </cfRule>
    <cfRule type="containsText" dxfId="5970" priority="9" operator="containsText" text="PASS">
      <formula>NOT(ISERROR(SEARCH("PASS",E174)))</formula>
    </cfRule>
  </conditionalFormatting>
  <conditionalFormatting sqref="E18">
    <cfRule type="containsText" dxfId="5969" priority="4" operator="containsText" text="on hold">
      <formula>NOT(ISERROR(SEARCH("on hold",E18)))</formula>
    </cfRule>
    <cfRule type="containsText" dxfId="5968" priority="5" operator="containsText" text="FAIL">
      <formula>NOT(ISERROR(SEARCH("FAIL",E18)))</formula>
    </cfRule>
    <cfRule type="containsText" dxfId="5967" priority="6" operator="containsText" text="PASS">
      <formula>NOT(ISERROR(SEARCH("PASS",E18)))</formula>
    </cfRule>
  </conditionalFormatting>
  <conditionalFormatting sqref="E17">
    <cfRule type="containsText" dxfId="5966" priority="1" operator="containsText" text="on hold">
      <formula>NOT(ISERROR(SEARCH("on hold",E17)))</formula>
    </cfRule>
    <cfRule type="containsText" dxfId="5965" priority="2" operator="containsText" text="FAIL">
      <formula>NOT(ISERROR(SEARCH("FAIL",E17)))</formula>
    </cfRule>
    <cfRule type="containsText" dxfId="5964" priority="3" operator="containsText" text="PASS">
      <formula>NOT(ISERROR(SEARCH("PASS",E17)))</formula>
    </cfRule>
  </conditionalFormatting>
  <hyperlinks>
    <hyperlink ref="A95" location="'TC78'!A1" display="T78" xr:uid="{00000000-0004-0000-0000-000000000000}"/>
    <hyperlink ref="A96" location="'TC79'!A1" display="T79" xr:uid="{00000000-0004-0000-0000-000001000000}"/>
    <hyperlink ref="A97" location="'TC80'!A1" display="T80" xr:uid="{00000000-0004-0000-0000-000002000000}"/>
    <hyperlink ref="A102" location="'TC85'!A1" display="T85" xr:uid="{00000000-0004-0000-0000-000003000000}"/>
    <hyperlink ref="A101" location="'TC84'!A1" display="T84" xr:uid="{00000000-0004-0000-0000-000004000000}"/>
    <hyperlink ref="A100" location="'TC83'!A1" display="T83" xr:uid="{00000000-0004-0000-0000-000005000000}"/>
    <hyperlink ref="A99" location="'TC82'!A1" display="T82" xr:uid="{00000000-0004-0000-0000-000006000000}"/>
    <hyperlink ref="A98" location="'TC81'!A1" display="T81" xr:uid="{00000000-0004-0000-0000-000007000000}"/>
    <hyperlink ref="A103" location="'TC86'!A1" display="TC86" xr:uid="{00000000-0004-0000-0000-000008000000}"/>
    <hyperlink ref="A104" location="'TC87'!A1" display="TC87" xr:uid="{00000000-0004-0000-0000-000009000000}"/>
    <hyperlink ref="A105" location="'TC88'!A1" display="TC88" xr:uid="{00000000-0004-0000-0000-00000A000000}"/>
    <hyperlink ref="A106" location="'TC89'!A1" display="TC89" xr:uid="{00000000-0004-0000-0000-00000B000000}"/>
    <hyperlink ref="A107" location="'TC90'!A1" display="TC90" xr:uid="{00000000-0004-0000-0000-00000C000000}"/>
    <hyperlink ref="A108" location="'TC91'!A1" display="TC91" xr:uid="{00000000-0004-0000-0000-00000D000000}"/>
    <hyperlink ref="A6" location="'TC1'!A1" display="TC1" xr:uid="{00000000-0004-0000-0000-00000E000000}"/>
    <hyperlink ref="A109" location="'TC92'!A1" display="TC92" xr:uid="{00000000-0004-0000-0000-00000F000000}"/>
    <hyperlink ref="A110" location="'TC93'!A1" display="TC93" xr:uid="{00000000-0004-0000-0000-000010000000}"/>
    <hyperlink ref="A111" location="'TC94'!A1" display="TC94" xr:uid="{00000000-0004-0000-0000-000011000000}"/>
    <hyperlink ref="A112" location="'TC95'!A1" display="TC95" xr:uid="{00000000-0004-0000-0000-000012000000}"/>
    <hyperlink ref="A113" location="'TC96'!A1" display="TC96" xr:uid="{00000000-0004-0000-0000-000013000000}"/>
    <hyperlink ref="A114" location="'TC97'!A1" display="TC97" xr:uid="{00000000-0004-0000-0000-000014000000}"/>
    <hyperlink ref="A115" location="'TC98'!A1" display="TC98" xr:uid="{00000000-0004-0000-0000-000015000000}"/>
    <hyperlink ref="A116" location="'TC99'!A1" display="TC99" xr:uid="{00000000-0004-0000-0000-000016000000}"/>
    <hyperlink ref="A7" location="'TC2'!A1" display="TC2" xr:uid="{00000000-0004-0000-0000-000017000000}"/>
    <hyperlink ref="A8" location="'TC3'!A1" display="TC3" xr:uid="{00000000-0004-0000-0000-000018000000}"/>
    <hyperlink ref="A9" location="'TC4'!A1" display="TC4" xr:uid="{00000000-0004-0000-0000-000019000000}"/>
    <hyperlink ref="A10" location="'TC5'!A1" display="TC5" xr:uid="{00000000-0004-0000-0000-00001A000000}"/>
    <hyperlink ref="A11" location="'TC6'!A1" display="TC6" xr:uid="{00000000-0004-0000-0000-00001B000000}"/>
    <hyperlink ref="A12" location="'TC7'!A1" display="TC7" xr:uid="{00000000-0004-0000-0000-00001C000000}"/>
    <hyperlink ref="A13" location="'TC8'!A1" display="TC8" xr:uid="{00000000-0004-0000-0000-00001D000000}"/>
    <hyperlink ref="A14" location="'TC9'!A1" display="TC9" xr:uid="{00000000-0004-0000-0000-00001E000000}"/>
    <hyperlink ref="A15" location="'TC10'!A1" display="TC10" xr:uid="{00000000-0004-0000-0000-00001F000000}"/>
    <hyperlink ref="A16" location="'TC11'!A1" display="TC11" xr:uid="{00000000-0004-0000-0000-000020000000}"/>
    <hyperlink ref="A17" location="'TC12'!A1" display="TC12" xr:uid="{00000000-0004-0000-0000-000021000000}"/>
    <hyperlink ref="A18" location="'TC13'!A1" display="TC13" xr:uid="{00000000-0004-0000-0000-000022000000}"/>
    <hyperlink ref="A19" location="'TC14'!A1" display="TC14" xr:uid="{00000000-0004-0000-0000-000023000000}"/>
    <hyperlink ref="A20" location="'TC15'!A1" display="TC15" xr:uid="{00000000-0004-0000-0000-000024000000}"/>
    <hyperlink ref="A21" location="'TC16'!A1" display="TC16" xr:uid="{00000000-0004-0000-0000-000025000000}"/>
    <hyperlink ref="A22" location="'TC17'!A1" display="TC17" xr:uid="{00000000-0004-0000-0000-000026000000}"/>
    <hyperlink ref="A23" location="'TC18'!A1" display="TC18" xr:uid="{00000000-0004-0000-0000-000027000000}"/>
    <hyperlink ref="A24" location="'TC19'!A1" display="TC19" xr:uid="{00000000-0004-0000-0000-000028000000}"/>
    <hyperlink ref="A37" location="'TC20'!A1" display="TC20" xr:uid="{00000000-0004-0000-0000-000029000000}"/>
    <hyperlink ref="A38" location="'TC21'!A1" display="TC21" xr:uid="{00000000-0004-0000-0000-00002A000000}"/>
    <hyperlink ref="A46" location="'TC29'!A1" display="TC29" xr:uid="{00000000-0004-0000-0000-000032000000}"/>
    <hyperlink ref="A47" location="'TC30'!A1" display="TC30" xr:uid="{00000000-0004-0000-0000-000033000000}"/>
    <hyperlink ref="A48" location="'TC31'!A1" display="TC31" xr:uid="{00000000-0004-0000-0000-000034000000}"/>
    <hyperlink ref="A49" location="'TC32'!A1" display="TC32" xr:uid="{00000000-0004-0000-0000-000035000000}"/>
    <hyperlink ref="A50" location="'TC33'!A1" display="TC33" xr:uid="{00000000-0004-0000-0000-000036000000}"/>
    <hyperlink ref="A51" location="'TC34'!A1" display="TC34" xr:uid="{00000000-0004-0000-0000-000037000000}"/>
    <hyperlink ref="A52" location="'TC35'!A1" display="TC35" xr:uid="{00000000-0004-0000-0000-000038000000}"/>
    <hyperlink ref="A53" location="'TC36'!A1" display="TC36" xr:uid="{00000000-0004-0000-0000-000039000000}"/>
    <hyperlink ref="A54" location="'TC37'!A1" display="TC37" xr:uid="{00000000-0004-0000-0000-00003A000000}"/>
    <hyperlink ref="A55" location="'TC38'!A1" display="TC38" xr:uid="{00000000-0004-0000-0000-00003B000000}"/>
    <hyperlink ref="A56" location="'TC39'!A1" display="TC39" xr:uid="{00000000-0004-0000-0000-00003C000000}"/>
    <hyperlink ref="A57" location="'TC40'!A1" display="TC40" xr:uid="{00000000-0004-0000-0000-00003D000000}"/>
    <hyperlink ref="A58" location="'TC41'!A1" display="TC41" xr:uid="{00000000-0004-0000-0000-00003E000000}"/>
    <hyperlink ref="A59" location="'TC42'!A1" display="TC42" xr:uid="{00000000-0004-0000-0000-00003F000000}"/>
    <hyperlink ref="A60" location="'TC43'!A1" display="TC43" xr:uid="{00000000-0004-0000-0000-000040000000}"/>
    <hyperlink ref="A61" location="'TC44'!A1" display="TC44" xr:uid="{00000000-0004-0000-0000-000041000000}"/>
    <hyperlink ref="A62" location="'TC45'!A1" display="TC45" xr:uid="{00000000-0004-0000-0000-000042000000}"/>
    <hyperlink ref="A63" location="'TC46'!A1" display="TC46" xr:uid="{00000000-0004-0000-0000-000043000000}"/>
    <hyperlink ref="A64" location="'TC47'!A1" display="TC47" xr:uid="{00000000-0004-0000-0000-000044000000}"/>
    <hyperlink ref="A65" location="'TC48'!A1" display="TC48" xr:uid="{00000000-0004-0000-0000-000045000000}"/>
    <hyperlink ref="A66" location="'TC49'!A1" display="TC49" xr:uid="{00000000-0004-0000-0000-000046000000}"/>
    <hyperlink ref="A67" location="'TC50'!A1" display="TC50" xr:uid="{00000000-0004-0000-0000-000047000000}"/>
    <hyperlink ref="A68" location="'TC51'!A1" display="TC51" xr:uid="{00000000-0004-0000-0000-000048000000}"/>
    <hyperlink ref="A69" location="'TC52'!A1" display="TC52" xr:uid="{00000000-0004-0000-0000-000049000000}"/>
    <hyperlink ref="A70" location="'TC53'!A1" display="TC53" xr:uid="{00000000-0004-0000-0000-00004A000000}"/>
    <hyperlink ref="A71" location="'TC54'!A1" display="TC54" xr:uid="{00000000-0004-0000-0000-00004B000000}"/>
    <hyperlink ref="A72" location="'TC55'!A1" display="TC55" xr:uid="{00000000-0004-0000-0000-00004C000000}"/>
    <hyperlink ref="A73" location="'TC56'!A1" display="TC56" xr:uid="{00000000-0004-0000-0000-00004D000000}"/>
    <hyperlink ref="A74" location="'TC57'!A1" display="TC57" xr:uid="{00000000-0004-0000-0000-00004E000000}"/>
    <hyperlink ref="A75" location="'TC58'!A1" display="TC58" xr:uid="{00000000-0004-0000-0000-00004F000000}"/>
    <hyperlink ref="A76" location="'TC59'!A1" display="TC59" xr:uid="{00000000-0004-0000-0000-000050000000}"/>
    <hyperlink ref="A77" location="'TC60'!A1" display="TC60" xr:uid="{00000000-0004-0000-0000-000051000000}"/>
    <hyperlink ref="A78" location="'TC61'!A1" display="TC61" xr:uid="{00000000-0004-0000-0000-000052000000}"/>
    <hyperlink ref="A79" location="'TC62'!A1" display="TC62" xr:uid="{00000000-0004-0000-0000-000053000000}"/>
    <hyperlink ref="A80" location="'TC63'!A1" display="TC63" xr:uid="{00000000-0004-0000-0000-000054000000}"/>
    <hyperlink ref="A81" location="'TC64'!A1" display="TC64" xr:uid="{00000000-0004-0000-0000-000055000000}"/>
    <hyperlink ref="A82" location="'TC65'!A1" display="TC65" xr:uid="{00000000-0004-0000-0000-000056000000}"/>
    <hyperlink ref="A83" location="'TC66'!A1" display="TC66" xr:uid="{00000000-0004-0000-0000-000057000000}"/>
    <hyperlink ref="A25" location="'TC67'!A1" display="TC67" xr:uid="{00000000-0004-0000-0000-000058000000}"/>
    <hyperlink ref="A26" location="'TC68'!A1" display="TC68" xr:uid="{00000000-0004-0000-0000-000059000000}"/>
    <hyperlink ref="A27" location="'TC69'!A1" display="TC69" xr:uid="{00000000-0004-0000-0000-00005A000000}"/>
    <hyperlink ref="A28" location="'TC70'!A1" display="TC70" xr:uid="{00000000-0004-0000-0000-00005B000000}"/>
    <hyperlink ref="A84" location="'TC71'!A1" display="TC71" xr:uid="{00000000-0004-0000-0000-00005C000000}"/>
    <hyperlink ref="A85" location="'TC72'!A1" display="TC72" xr:uid="{00000000-0004-0000-0000-00005D000000}"/>
    <hyperlink ref="A86" location="'TC73'!A1" display="TC73" xr:uid="{00000000-0004-0000-0000-00005E000000}"/>
    <hyperlink ref="A87" location="'TC74'!A1" display="TC74" xr:uid="{00000000-0004-0000-0000-00005F000000}"/>
    <hyperlink ref="A92" location="'TC75'!A1" display="TC75" xr:uid="{00000000-0004-0000-0000-000060000000}"/>
    <hyperlink ref="A93" location="'TC76'!A1" display="TC76" xr:uid="{00000000-0004-0000-0000-000061000000}"/>
    <hyperlink ref="A94" location="'TC77'!A1" display="TC77" xr:uid="{00000000-0004-0000-0000-000062000000}"/>
    <hyperlink ref="A45" location="'TC28'!A1" display="TC28" xr:uid="{00000000-0004-0000-0000-000031000000}"/>
    <hyperlink ref="A44" location="'TC27'!A1" display="TC27" xr:uid="{00000000-0004-0000-0000-000030000000}"/>
    <hyperlink ref="A43" location="'TC26'!A1" display="TC26" xr:uid="{00000000-0004-0000-0000-00002F000000}"/>
    <hyperlink ref="A42" location="'TC25'!A1" display="TC25" xr:uid="{00000000-0004-0000-0000-00002E000000}"/>
    <hyperlink ref="A41" location="'TC24'!A1" display="TC24" xr:uid="{00000000-0004-0000-0000-00002D000000}"/>
    <hyperlink ref="A40" location="'TC23'!A1" display="TC23" xr:uid="{00000000-0004-0000-0000-00002C000000}"/>
    <hyperlink ref="A39" location="'TC22'!A1" display="TC22" xr:uid="{00000000-0004-0000-0000-00002B000000}"/>
  </hyperlinks>
  <pageMargins left="0.25" right="0.25" top="0.75" bottom="0.75" header="0.3" footer="0.3"/>
  <pageSetup scale="67" fitToHeight="0" orientation="landscape" r:id="rId1"/>
  <drawing r:id="rId2"/>
  <tableParts count="4">
    <tablePart r:id="rId3"/>
    <tablePart r:id="rId4"/>
    <tablePart r:id="rId5"/>
    <tablePart r:id="rId6"/>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1"/>
  <dimension ref="A1:E36"/>
  <sheetViews>
    <sheetView zoomScaleNormal="100" workbookViewId="0">
      <selection activeCell="C16" sqref="C16"/>
    </sheetView>
  </sheetViews>
  <sheetFormatPr defaultRowHeight="14.5" x14ac:dyDescent="0.35"/>
  <cols>
    <col min="1" max="1" width="14.453125" style="97" bestFit="1" customWidth="1"/>
    <col min="2" max="2" width="42.6328125" style="97" customWidth="1"/>
    <col min="3" max="3" width="106.1796875" style="98" customWidth="1"/>
    <col min="4" max="4" width="21.81640625" style="111" bestFit="1" customWidth="1"/>
    <col min="5" max="5" width="20.6328125" style="97" customWidth="1"/>
  </cols>
  <sheetData>
    <row r="1" spans="1:5" ht="18.5" x14ac:dyDescent="0.35">
      <c r="A1" s="193" t="s">
        <v>4</v>
      </c>
      <c r="B1" s="194"/>
      <c r="C1" s="105"/>
    </row>
    <row r="2" spans="1:5" x14ac:dyDescent="0.35">
      <c r="A2" s="106" t="s">
        <v>5</v>
      </c>
      <c r="B2" s="107" t="str">
        <f ca="1">MID(CELL("filename",A1),FIND("]",CELL("filename",A1))+1,LEN(CELL("filename",A1))-FIND("]",CELL("filename",A1)))</f>
        <v>TC9</v>
      </c>
    </row>
    <row r="3" spans="1:5" x14ac:dyDescent="0.35">
      <c r="A3" s="104" t="s">
        <v>19</v>
      </c>
      <c r="B3" s="112">
        <f ca="1">VLOOKUP(B2,Table1[#All],2,FALSE)</f>
        <v>0</v>
      </c>
    </row>
    <row r="4" spans="1:5" ht="29" x14ac:dyDescent="0.35">
      <c r="A4" s="113" t="s">
        <v>20</v>
      </c>
      <c r="B4" s="99" t="str">
        <f ca="1">VLOOKUP(B2,Table1[#All],4,FALSE)</f>
        <v>Not declined, Update info - NO</v>
      </c>
    </row>
    <row r="5" spans="1:5" x14ac:dyDescent="0.35">
      <c r="A5" s="104" t="s">
        <v>6</v>
      </c>
      <c r="B5" s="93" t="str">
        <f ca="1">VLOOKUP(B2,Table1[#All],3,FALSE)</f>
        <v>Recurring Update Information - NO</v>
      </c>
    </row>
    <row r="7" spans="1:5" ht="15.5" x14ac:dyDescent="0.35">
      <c r="A7" s="100" t="s">
        <v>7</v>
      </c>
      <c r="B7" s="101" t="s">
        <v>8</v>
      </c>
      <c r="C7" s="102" t="s">
        <v>9</v>
      </c>
      <c r="D7" s="102" t="s">
        <v>14</v>
      </c>
      <c r="E7" s="103" t="s">
        <v>10</v>
      </c>
    </row>
    <row r="8" spans="1:5" x14ac:dyDescent="0.35">
      <c r="A8" s="118">
        <v>1</v>
      </c>
      <c r="B8" s="114" t="s">
        <v>114</v>
      </c>
      <c r="C8" s="127" t="s">
        <v>240</v>
      </c>
      <c r="D8" s="128"/>
      <c r="E8" s="125" t="s">
        <v>11</v>
      </c>
    </row>
    <row r="9" spans="1:5" x14ac:dyDescent="0.35">
      <c r="A9" s="118">
        <v>2</v>
      </c>
      <c r="B9" s="114" t="s">
        <v>115</v>
      </c>
      <c r="C9" s="109" t="str">
        <f>VLOOKUP(Table2575525269111220212223[[#This Row],[PEG]],Table1016[#All],2,FALSE)</f>
        <v>To get started, tell me your Account Number</v>
      </c>
      <c r="D9" s="141" t="s">
        <v>245</v>
      </c>
      <c r="E9" s="125" t="str">
        <f>VLOOKUP(Table2575525269111220212223[[#This Row],[PEG]],Table1016[#All],3,FALSE)</f>
        <v>Prompt</v>
      </c>
    </row>
    <row r="10" spans="1:5" x14ac:dyDescent="0.35">
      <c r="A10" s="118">
        <v>3</v>
      </c>
      <c r="B10" s="114" t="s">
        <v>124</v>
      </c>
      <c r="C10" s="109" t="s">
        <v>400</v>
      </c>
      <c r="D10" s="151"/>
      <c r="E10" s="125" t="e">
        <f>VLOOKUP(Table2575525269111220212223[[#This Row],[PEG]],Table1016[#All],3,FALSE)</f>
        <v>#N/A</v>
      </c>
    </row>
    <row r="11" spans="1:5" ht="174" x14ac:dyDescent="0.35">
      <c r="A11" s="118">
        <v>4</v>
      </c>
      <c r="B11" s="114" t="s">
        <v>12</v>
      </c>
      <c r="C11" s="109" t="str">
        <f>VLOOKUP(Table2575525269111220212223[[#This Row],[PEG]],Table1016[#All],2,FALSE)</f>
        <v>SAP HANA – SAP01_GetMember
inputs:
idnumber = iIdnumber	T
idtype 	= iIdtype
outputs:
~ Billing Reference
~ Enrollment Details
~ Billing Details
~ Last Payment
~ Recurring Payment Method
~ Stored Payment Method</v>
      </c>
      <c r="D11" s="152" t="s">
        <v>371</v>
      </c>
      <c r="E11" s="125" t="str">
        <f>VLOOKUP(Table2575525269111220212223[[#This Row],[PEG]],Table1016[#All],3,FALSE)</f>
        <v>DB</v>
      </c>
    </row>
    <row r="12" spans="1:5" x14ac:dyDescent="0.35">
      <c r="A12" s="118">
        <v>5</v>
      </c>
      <c r="B12" s="114" t="s">
        <v>115</v>
      </c>
      <c r="C12" s="109" t="str">
        <f>VLOOKUP(Table2575525269111220212223[[#This Row],[PEG]],Table1016[#All],2,FALSE)</f>
        <v>Thanks, I found your account!</v>
      </c>
      <c r="D12" s="141" t="s">
        <v>248</v>
      </c>
      <c r="E12" s="125" t="str">
        <f>VLOOKUP(Table2575525269111220212223[[#This Row],[PEG]],Table1016[#All],3,FALSE)</f>
        <v>Prompt</v>
      </c>
    </row>
    <row r="13" spans="1:5" ht="29" x14ac:dyDescent="0.35">
      <c r="A13" s="118">
        <v>6</v>
      </c>
      <c r="B13" s="114" t="s">
        <v>115</v>
      </c>
      <c r="C13" s="109" t="str">
        <f>VLOOKUP(Table2575525269111220212223[[#This Row],[PEG]],Table1016[#All],2,FALSE)</f>
        <v>You are already setup for recurring payments in the amount of &lt;SAP01_CurrentDue&gt; to be deducted on the last day of each month.</v>
      </c>
      <c r="D13" s="142" t="s">
        <v>266</v>
      </c>
      <c r="E13" s="125" t="str">
        <f>VLOOKUP(Table2575525269111220212223[[#This Row],[PEG]],Table1016[#All],3,FALSE)</f>
        <v>Prompt</v>
      </c>
    </row>
    <row r="14" spans="1:5" x14ac:dyDescent="0.35">
      <c r="A14" s="118">
        <v>7</v>
      </c>
      <c r="B14" s="114" t="s">
        <v>115</v>
      </c>
      <c r="C14" s="130" t="str">
        <f>VLOOKUP(Table2575525269111220212223[[#This Row],[PEG]],Table1016[#All],2,FALSE)</f>
        <v>Your last payment was posted on &lt;SAP01_ivrLastPaymentDate&gt;.</v>
      </c>
      <c r="D14" s="143" t="s">
        <v>271</v>
      </c>
      <c r="E14" s="125" t="str">
        <f>VLOOKUP(Table2575525269111220212223[[#This Row],[PEG]],Table1016[#All],3,FALSE)</f>
        <v>Prompt</v>
      </c>
    </row>
    <row r="15" spans="1:5" x14ac:dyDescent="0.35">
      <c r="A15" s="118">
        <v>8</v>
      </c>
      <c r="B15" s="114" t="s">
        <v>115</v>
      </c>
      <c r="C15" s="109" t="str">
        <f>VLOOKUP(Table2575525269111220212223[[#This Row],[PEG]],Table1016[#All],2,FALSE)</f>
        <v>Do you need to update your payment information?</v>
      </c>
      <c r="D15" s="143" t="s">
        <v>272</v>
      </c>
      <c r="E15" s="125" t="str">
        <f>VLOOKUP(Table2575525269111220212223[[#This Row],[PEG]],Table1016[#All],3,FALSE)</f>
        <v>Prompt</v>
      </c>
    </row>
    <row r="16" spans="1:5" x14ac:dyDescent="0.35">
      <c r="A16" s="118">
        <v>9</v>
      </c>
      <c r="B16" s="114" t="s">
        <v>124</v>
      </c>
      <c r="C16" s="127" t="s">
        <v>411</v>
      </c>
      <c r="D16" s="143"/>
      <c r="E16" s="125" t="e">
        <f>VLOOKUP(Table2575525269111220212223[[#This Row],[PEG]],Table1016[#All],3,FALSE)</f>
        <v>#N/A</v>
      </c>
    </row>
    <row r="17" spans="1:5" ht="29" x14ac:dyDescent="0.35">
      <c r="A17" s="118">
        <v>10</v>
      </c>
      <c r="B17" s="114" t="s">
        <v>115</v>
      </c>
      <c r="C17" s="109" t="str">
        <f>VLOOKUP(Table2575525269111220212223[[#This Row],[PEG]],Table1016[#All],2,FALSE)</f>
        <v>For future transactions you can also access your plan details, or manage your account online anytime at members.lacare.com.  Thank you for calling.</v>
      </c>
      <c r="D17" s="143" t="s">
        <v>362</v>
      </c>
      <c r="E17" s="125" t="str">
        <f>VLOOKUP(Table2575525269111220212223[[#This Row],[PEG]],Table1016[#All],3,FALSE)</f>
        <v>Prompt</v>
      </c>
    </row>
    <row r="18" spans="1:5" x14ac:dyDescent="0.35">
      <c r="A18" s="118">
        <v>11</v>
      </c>
      <c r="B18" s="114" t="s">
        <v>13</v>
      </c>
      <c r="C18" s="109" t="s">
        <v>13</v>
      </c>
      <c r="D18" s="143"/>
      <c r="E18" s="125" t="e">
        <f>VLOOKUP(Table2575525269111220212223[[#This Row],[PEG]],Table1016[#All],3,FALSE)</f>
        <v>#N/A</v>
      </c>
    </row>
    <row r="19" spans="1:5" x14ac:dyDescent="0.35">
      <c r="C19" s="26"/>
      <c r="D19" s="111" t="s">
        <v>0</v>
      </c>
    </row>
    <row r="20" spans="1:5" x14ac:dyDescent="0.35">
      <c r="C20" s="26"/>
    </row>
    <row r="21" spans="1:5" x14ac:dyDescent="0.35">
      <c r="C21" s="26"/>
    </row>
    <row r="22" spans="1:5" x14ac:dyDescent="0.35">
      <c r="C22" s="26"/>
    </row>
    <row r="23" spans="1:5" x14ac:dyDescent="0.35">
      <c r="C23" s="26"/>
    </row>
    <row r="24" spans="1:5" x14ac:dyDescent="0.35">
      <c r="C24" s="26"/>
    </row>
    <row r="25" spans="1:5" x14ac:dyDescent="0.35">
      <c r="C25" s="26"/>
    </row>
    <row r="26" spans="1:5" x14ac:dyDescent="0.35">
      <c r="C26" s="26"/>
    </row>
    <row r="27" spans="1:5" x14ac:dyDescent="0.35">
      <c r="C27" s="26"/>
    </row>
    <row r="28" spans="1:5" x14ac:dyDescent="0.35">
      <c r="C28" s="26"/>
    </row>
    <row r="29" spans="1:5" x14ac:dyDescent="0.35">
      <c r="C29" s="26"/>
    </row>
    <row r="30" spans="1:5" x14ac:dyDescent="0.35">
      <c r="C30" s="26"/>
    </row>
    <row r="31" spans="1:5" x14ac:dyDescent="0.35">
      <c r="C31" s="26"/>
    </row>
    <row r="32" spans="1:5" x14ac:dyDescent="0.35">
      <c r="C32" s="26"/>
    </row>
    <row r="33" spans="3:3" x14ac:dyDescent="0.35">
      <c r="C33" s="26"/>
    </row>
    <row r="34" spans="3:3" x14ac:dyDescent="0.35">
      <c r="C34" s="27"/>
    </row>
    <row r="35" spans="3:3" x14ac:dyDescent="0.35">
      <c r="C35" s="27"/>
    </row>
    <row r="36" spans="3:3" x14ac:dyDescent="0.35">
      <c r="C36" s="27"/>
    </row>
  </sheetData>
  <mergeCells count="1">
    <mergeCell ref="A1:B1"/>
  </mergeCells>
  <conditionalFormatting sqref="C17:C9975 C9:C13">
    <cfRule type="expression" dxfId="5794" priority="34">
      <formula>$B9="Dial"</formula>
    </cfRule>
    <cfRule type="expression" dxfId="5793" priority="36">
      <formula>$B9="HANGUP"</formula>
    </cfRule>
  </conditionalFormatting>
  <conditionalFormatting sqref="C16">
    <cfRule type="expression" dxfId="5792" priority="3">
      <formula>$B16="Dial"</formula>
    </cfRule>
    <cfRule type="expression" dxfId="5791" priority="4">
      <formula>$B16="HANGUP"</formula>
    </cfRule>
  </conditionalFormatting>
  <conditionalFormatting sqref="B8:B18">
    <cfRule type="containsText" dxfId="5790" priority="7" operator="containsText" text="Hear">
      <formula>NOT(ISERROR(SEARCH("Hear",B8)))</formula>
    </cfRule>
  </conditionalFormatting>
  <conditionalFormatting sqref="C15">
    <cfRule type="expression" dxfId="5789" priority="8">
      <formula>$B15="Dial"</formula>
    </cfRule>
    <cfRule type="expression" dxfId="5788" priority="10">
      <formula>$B15="HANGUP"</formula>
    </cfRule>
  </conditionalFormatting>
  <conditionalFormatting sqref="C15 C17:C18 C9:C13">
    <cfRule type="expression" dxfId="5787" priority="9">
      <formula>$B9="Speak"</formula>
    </cfRule>
  </conditionalFormatting>
  <conditionalFormatting sqref="C14">
    <cfRule type="expression" dxfId="5786" priority="5">
      <formula>$B14="Dial"</formula>
    </cfRule>
    <cfRule type="expression" dxfId="5785" priority="6">
      <formula>$B14="HANGUP"</formula>
    </cfRule>
  </conditionalFormatting>
  <conditionalFormatting sqref="C8">
    <cfRule type="expression" dxfId="5784" priority="1">
      <formula>$B8="Dial"</formula>
    </cfRule>
    <cfRule type="expression" dxfId="5783" priority="2">
      <formula>$B8="HANGUP"</formula>
    </cfRule>
  </conditionalFormatting>
  <hyperlinks>
    <hyperlink ref="A1" location="'Test Case Overview'!A1" display="Return to Test Case Overview" xr:uid="{00000000-0004-0000-0900-000000000000}"/>
  </hyperlinks>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containsText" priority="722" operator="containsText" text="WEB SERVICE" id="{C904952C-85E4-47CC-8EB0-44ED166E75B6}">
            <xm:f>NOT(ISERROR(SEARCH("WEB SERVICE",'TC1'!#REF!)))</xm:f>
            <x14:dxf>
              <font>
                <color rgb="FF9C0006"/>
              </font>
              <fill>
                <patternFill>
                  <bgColor rgb="FFFFC7CE"/>
                </patternFill>
              </fill>
            </x14:dxf>
          </x14:cfRule>
          <x14:cfRule type="containsText" priority="723" operator="containsText" text="DB" id="{256EFE65-224A-4D86-99CC-156CB510A8EE}">
            <xm:f>NOT(ISERROR(SEARCH("DB",'TC1'!#REF!)))</xm:f>
            <x14:dxf>
              <font>
                <color rgb="FF006100"/>
              </font>
              <fill>
                <patternFill>
                  <bgColor rgb="FFC6EFCE"/>
                </patternFill>
              </fill>
            </x14:dxf>
          </x14:cfRule>
          <xm:sqref>E14:E18</xm:sqref>
        </x14:conditionalFormatting>
        <x14:conditionalFormatting xmlns:xm="http://schemas.microsoft.com/office/excel/2006/main">
          <x14:cfRule type="containsText" priority="3585" operator="containsText" text="WEB SERVICE" id="{C904952C-85E4-47CC-8EB0-44ED166E75B6}">
            <xm:f>NOT(ISERROR(SEARCH("WEB SERVICE",'TC1'!E9)))</xm:f>
            <x14:dxf>
              <font>
                <color rgb="FF9C0006"/>
              </font>
              <fill>
                <patternFill>
                  <bgColor rgb="FFFFC7CE"/>
                </patternFill>
              </fill>
            </x14:dxf>
          </x14:cfRule>
          <x14:cfRule type="containsText" priority="3586" operator="containsText" text="DB" id="{256EFE65-224A-4D86-99CC-156CB510A8EE}">
            <xm:f>NOT(ISERROR(SEARCH("DB",'TC1'!E9)))</xm:f>
            <x14:dxf>
              <font>
                <color rgb="FF006100"/>
              </font>
              <fill>
                <patternFill>
                  <bgColor rgb="FFC6EFCE"/>
                </patternFill>
              </fill>
            </x14:dxf>
          </x14:cfRule>
          <xm:sqref>E9:E12</xm:sqref>
        </x14:conditionalFormatting>
        <x14:conditionalFormatting xmlns:xm="http://schemas.microsoft.com/office/excel/2006/main">
          <x14:cfRule type="containsText" priority="6157" operator="containsText" text="WEB SERVICE" id="{C904952C-85E4-47CC-8EB0-44ED166E75B6}">
            <xm:f>NOT(ISERROR(SEARCH("WEB SERVICE",'TC1'!E15)))</xm:f>
            <x14:dxf>
              <font>
                <color rgb="FF9C0006"/>
              </font>
              <fill>
                <patternFill>
                  <bgColor rgb="FFFFC7CE"/>
                </patternFill>
              </fill>
            </x14:dxf>
          </x14:cfRule>
          <x14:cfRule type="containsText" priority="6158" operator="containsText" text="DB" id="{256EFE65-224A-4D86-99CC-156CB510A8EE}">
            <xm:f>NOT(ISERROR(SEARCH("DB",'TC1'!E15)))</xm:f>
            <x14:dxf>
              <font>
                <color rgb="FF006100"/>
              </font>
              <fill>
                <patternFill>
                  <bgColor rgb="FFC6EFCE"/>
                </patternFill>
              </fill>
            </x14:dxf>
          </x14:cfRule>
          <xm:sqref>E13</xm:sqref>
        </x14:conditionalFormatting>
      </x14:conditionalFormattings>
    </ext>
  </extLst>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300-000000000000}">
  <sheetPr codeName="Sheet101"/>
  <dimension ref="A1:E60"/>
  <sheetViews>
    <sheetView topLeftCell="A19" zoomScaleNormal="100" workbookViewId="0">
      <selection sqref="A1:E44"/>
    </sheetView>
  </sheetViews>
  <sheetFormatPr defaultRowHeight="14.5" x14ac:dyDescent="0.35"/>
  <cols>
    <col min="1" max="1" width="14.453125" style="97" bestFit="1" customWidth="1"/>
    <col min="2" max="2" width="42.6328125" style="97" customWidth="1"/>
    <col min="3" max="3" width="106.1796875" style="98" customWidth="1"/>
    <col min="4" max="4" width="21.81640625" style="111" bestFit="1" customWidth="1"/>
    <col min="5" max="5" width="20.6328125" style="97" customWidth="1"/>
  </cols>
  <sheetData>
    <row r="1" spans="1:5" ht="18.5" x14ac:dyDescent="0.35">
      <c r="A1" s="192" t="s">
        <v>4</v>
      </c>
      <c r="B1" s="192"/>
      <c r="C1" s="105"/>
    </row>
    <row r="2" spans="1:5" x14ac:dyDescent="0.35">
      <c r="A2" s="106" t="s">
        <v>5</v>
      </c>
      <c r="B2" s="107" t="str">
        <f ca="1">MID(CELL("filename",A1),FIND("]",CELL("filename",A1))+1,LEN(CELL("filename",A1))-FIND("]",CELL("filename",A1)))</f>
        <v>TC99</v>
      </c>
    </row>
    <row r="3" spans="1:5" x14ac:dyDescent="0.35">
      <c r="A3" s="104" t="s">
        <v>19</v>
      </c>
      <c r="B3" s="112">
        <f ca="1">VLOOKUP(B2,Table53[#All],2,FALSE)</f>
        <v>0</v>
      </c>
    </row>
    <row r="4" spans="1:5" ht="29" x14ac:dyDescent="0.35">
      <c r="A4" s="113" t="s">
        <v>20</v>
      </c>
      <c r="B4" s="99">
        <f ca="1">VLOOKUP(B2,Table53[#All],4,FALSE)</f>
        <v>0</v>
      </c>
    </row>
    <row r="5" spans="1:5" x14ac:dyDescent="0.35">
      <c r="A5" s="104" t="s">
        <v>6</v>
      </c>
      <c r="B5" s="77">
        <f ca="1">VLOOKUP(B2,Table53[#All],3,FALSE)</f>
        <v>0</v>
      </c>
    </row>
    <row r="7" spans="1:5" ht="15.5" x14ac:dyDescent="0.35">
      <c r="A7" s="100" t="s">
        <v>7</v>
      </c>
      <c r="B7" s="101" t="s">
        <v>8</v>
      </c>
      <c r="C7" s="102" t="s">
        <v>9</v>
      </c>
      <c r="D7" s="102" t="s">
        <v>14</v>
      </c>
      <c r="E7" s="103" t="s">
        <v>10</v>
      </c>
    </row>
    <row r="8" spans="1:5" x14ac:dyDescent="0.35">
      <c r="A8" s="118">
        <v>1</v>
      </c>
      <c r="B8" s="114" t="s">
        <v>114</v>
      </c>
      <c r="C8" s="109" t="s">
        <v>125</v>
      </c>
      <c r="D8" s="128"/>
      <c r="E8" s="125" t="s">
        <v>11</v>
      </c>
    </row>
    <row r="9" spans="1:5" s="97" customFormat="1" x14ac:dyDescent="0.35">
      <c r="A9" s="118">
        <v>2</v>
      </c>
      <c r="B9" s="114" t="s">
        <v>12</v>
      </c>
      <c r="C9" s="109" t="e">
        <f>VLOOKUP(Table25751991[[#This Row],[PEG]],Table1016[#All],2,FALSE)</f>
        <v>#N/A</v>
      </c>
      <c r="D9" s="128"/>
      <c r="E9" s="125" t="e">
        <f>VLOOKUP(Table25751991[[#This Row],[PEG]],Table1016[#All],3,FALSE)</f>
        <v>#N/A</v>
      </c>
    </row>
    <row r="10" spans="1:5" s="97" customFormat="1" x14ac:dyDescent="0.35">
      <c r="A10" s="118">
        <v>3</v>
      </c>
      <c r="B10" s="114" t="s">
        <v>115</v>
      </c>
      <c r="C10" s="109" t="e">
        <f>VLOOKUP(Table25751991[[#This Row],[PEG]],Table1016[#All],2,FALSE)</f>
        <v>#N/A</v>
      </c>
      <c r="D10" s="128"/>
      <c r="E10" s="125" t="e">
        <f>VLOOKUP(Table25751991[[#This Row],[PEG]],Table1016[#All],3,FALSE)</f>
        <v>#N/A</v>
      </c>
    </row>
    <row r="11" spans="1:5" s="97" customFormat="1" x14ac:dyDescent="0.35">
      <c r="A11" s="118">
        <v>4</v>
      </c>
      <c r="B11" s="114" t="s">
        <v>115</v>
      </c>
      <c r="C11" s="109" t="e">
        <f>VLOOKUP(Table25751991[[#This Row],[PEG]],Table1016[#All],2,FALSE)</f>
        <v>#N/A</v>
      </c>
      <c r="D11" s="128"/>
      <c r="E11" s="125" t="e">
        <f>VLOOKUP(Table25751991[[#This Row],[PEG]],Table1016[#All],3,FALSE)</f>
        <v>#N/A</v>
      </c>
    </row>
    <row r="12" spans="1:5" s="97" customFormat="1" x14ac:dyDescent="0.35">
      <c r="A12" s="118">
        <v>5</v>
      </c>
      <c r="B12" s="114" t="s">
        <v>114</v>
      </c>
      <c r="C12" s="109" t="e">
        <f>VLOOKUP(Table25751991[[#This Row],[PEG]],Table1016[#All],2,FALSE)</f>
        <v>#N/A</v>
      </c>
      <c r="D12" s="128"/>
      <c r="E12" s="125" t="e">
        <f>VLOOKUP(Table25751991[[#This Row],[PEG]],Table1016[#All],3,FALSE)</f>
        <v>#N/A</v>
      </c>
    </row>
    <row r="13" spans="1:5" s="97" customFormat="1" x14ac:dyDescent="0.35">
      <c r="A13" s="118">
        <v>6</v>
      </c>
      <c r="B13" s="114" t="s">
        <v>115</v>
      </c>
      <c r="C13" s="109" t="e">
        <f>VLOOKUP(Table25751991[[#This Row],[PEG]],Table1016[#All],2,FALSE)</f>
        <v>#N/A</v>
      </c>
      <c r="D13" s="128"/>
      <c r="E13" s="125" t="e">
        <f>VLOOKUP(Table25751991[[#This Row],[PEG]],Table1016[#All],3,FALSE)</f>
        <v>#N/A</v>
      </c>
    </row>
    <row r="14" spans="1:5" s="97" customFormat="1" x14ac:dyDescent="0.35">
      <c r="A14" s="118">
        <v>7</v>
      </c>
      <c r="B14" s="114" t="s">
        <v>114</v>
      </c>
      <c r="C14" s="109" t="e">
        <f>VLOOKUP(Table25751991[[#This Row],[PEG]],Table1016[#All],2,FALSE)</f>
        <v>#N/A</v>
      </c>
      <c r="D14" s="128"/>
      <c r="E14" s="125" t="e">
        <f>VLOOKUP(Table25751991[[#This Row],[PEG]],Table1016[#All],3,FALSE)</f>
        <v>#N/A</v>
      </c>
    </row>
    <row r="15" spans="1:5" x14ac:dyDescent="0.35">
      <c r="A15" s="118">
        <v>8</v>
      </c>
      <c r="B15" s="114" t="s">
        <v>115</v>
      </c>
      <c r="C15" s="109" t="e">
        <f>VLOOKUP(Table25751991[[#This Row],[PEG]],Table1016[#All],2,FALSE)</f>
        <v>#N/A</v>
      </c>
      <c r="D15" s="116"/>
      <c r="E15" s="125" t="e">
        <f>VLOOKUP(Table25751991[[#This Row],[PEG]],Table1016[#All],3,FALSE)</f>
        <v>#N/A</v>
      </c>
    </row>
    <row r="16" spans="1:5" x14ac:dyDescent="0.35">
      <c r="A16" s="118">
        <v>9</v>
      </c>
      <c r="B16" s="114" t="s">
        <v>12</v>
      </c>
      <c r="C16" s="109" t="e">
        <f>VLOOKUP(Table25751991[[#This Row],[PEG]],Table1016[#All],2,FALSE)</f>
        <v>#N/A</v>
      </c>
      <c r="D16" s="116"/>
      <c r="E16" s="125" t="e">
        <f>VLOOKUP(Table25751991[[#This Row],[PEG]],Table1016[#All],3,FALSE)</f>
        <v>#N/A</v>
      </c>
    </row>
    <row r="17" spans="1:5" x14ac:dyDescent="0.35">
      <c r="A17" s="118">
        <v>10</v>
      </c>
      <c r="B17" s="114" t="s">
        <v>12</v>
      </c>
      <c r="C17" s="109" t="e">
        <f>VLOOKUP(Table25751991[[#This Row],[PEG]],Table1016[#All],2,FALSE)</f>
        <v>#N/A</v>
      </c>
      <c r="D17" s="117"/>
      <c r="E17" s="125" t="e">
        <f>VLOOKUP(Table25751991[[#This Row],[PEG]],Table1016[#All],3,FALSE)</f>
        <v>#N/A</v>
      </c>
    </row>
    <row r="18" spans="1:5" x14ac:dyDescent="0.35">
      <c r="A18" s="118">
        <v>11</v>
      </c>
      <c r="B18" s="114" t="s">
        <v>115</v>
      </c>
      <c r="C18" s="109" t="e">
        <f>VLOOKUP(Table25751991[[#This Row],[PEG]],Table1016[#All],2,FALSE)</f>
        <v>#N/A</v>
      </c>
      <c r="D18" s="117"/>
      <c r="E18" s="125" t="e">
        <f>VLOOKUP(Table25751991[[#This Row],[PEG]],Table1016[#All],3,FALSE)</f>
        <v>#N/A</v>
      </c>
    </row>
    <row r="19" spans="1:5" x14ac:dyDescent="0.35">
      <c r="A19" s="118">
        <v>12</v>
      </c>
      <c r="B19" s="114" t="s">
        <v>115</v>
      </c>
      <c r="C19" s="109" t="e">
        <f>VLOOKUP(Table25751991[[#This Row],[PEG]],Table1016[#All],2,FALSE)</f>
        <v>#N/A</v>
      </c>
      <c r="D19" s="117"/>
      <c r="E19" s="125" t="e">
        <f>VLOOKUP(Table25751991[[#This Row],[PEG]],Table1016[#All],3,FALSE)</f>
        <v>#N/A</v>
      </c>
    </row>
    <row r="20" spans="1:5" x14ac:dyDescent="0.35">
      <c r="A20" s="118">
        <v>13</v>
      </c>
      <c r="B20" s="114" t="s">
        <v>114</v>
      </c>
      <c r="C20" s="109" t="e">
        <f>VLOOKUP(Table25751991[[#This Row],[PEG]],Table1016[#All],2,FALSE)</f>
        <v>#N/A</v>
      </c>
      <c r="D20" s="117"/>
      <c r="E20" s="125" t="e">
        <f>VLOOKUP(Table25751991[[#This Row],[PEG]],Table1016[#All],3,FALSE)</f>
        <v>#N/A</v>
      </c>
    </row>
    <row r="21" spans="1:5" x14ac:dyDescent="0.35">
      <c r="A21" s="118">
        <v>14</v>
      </c>
      <c r="B21" s="114" t="s">
        <v>12</v>
      </c>
      <c r="C21" s="109" t="e">
        <f>VLOOKUP(Table25751991[[#This Row],[PEG]],Table1016[#All],2,FALSE)</f>
        <v>#N/A</v>
      </c>
      <c r="D21" s="117"/>
      <c r="E21" s="125" t="e">
        <f>VLOOKUP(Table25751991[[#This Row],[PEG]],Table1016[#All],3,FALSE)</f>
        <v>#N/A</v>
      </c>
    </row>
    <row r="22" spans="1:5" x14ac:dyDescent="0.35">
      <c r="A22" s="118">
        <v>15</v>
      </c>
      <c r="B22" s="114" t="s">
        <v>12</v>
      </c>
      <c r="C22" s="109" t="e">
        <f>VLOOKUP(Table25751991[[#This Row],[PEG]],Table1016[#All],2,FALSE)</f>
        <v>#N/A</v>
      </c>
      <c r="D22" s="117"/>
      <c r="E22" s="125" t="e">
        <f>VLOOKUP(Table25751991[[#This Row],[PEG]],Table1016[#All],3,FALSE)</f>
        <v>#N/A</v>
      </c>
    </row>
    <row r="23" spans="1:5" x14ac:dyDescent="0.35">
      <c r="A23" s="118">
        <v>16</v>
      </c>
      <c r="B23" s="114" t="s">
        <v>115</v>
      </c>
      <c r="C23" s="109" t="e">
        <f>VLOOKUP(Table25751991[[#This Row],[PEG]],Table1016[#All],2,FALSE)</f>
        <v>#N/A</v>
      </c>
      <c r="D23" s="117"/>
      <c r="E23" s="125" t="e">
        <f>VLOOKUP(Table25751991[[#This Row],[PEG]],Table1016[#All],3,FALSE)</f>
        <v>#N/A</v>
      </c>
    </row>
    <row r="24" spans="1:5" x14ac:dyDescent="0.35">
      <c r="A24" s="118">
        <v>17</v>
      </c>
      <c r="B24" s="114" t="s">
        <v>114</v>
      </c>
      <c r="C24" s="109" t="e">
        <f>VLOOKUP(Table25751991[[#This Row],[PEG]],Table1016[#All],2,FALSE)</f>
        <v>#N/A</v>
      </c>
      <c r="D24" s="117"/>
      <c r="E24" s="125" t="e">
        <f>VLOOKUP(Table25751991[[#This Row],[PEG]],Table1016[#All],3,FALSE)</f>
        <v>#N/A</v>
      </c>
    </row>
    <row r="25" spans="1:5" s="97" customFormat="1" x14ac:dyDescent="0.35">
      <c r="A25" s="118">
        <v>18</v>
      </c>
      <c r="B25" s="114" t="s">
        <v>12</v>
      </c>
      <c r="C25" s="109" t="e">
        <f>VLOOKUP(Table25751991[[#This Row],[PEG]],Table1016[#All],2,FALSE)</f>
        <v>#N/A</v>
      </c>
      <c r="D25" s="117"/>
      <c r="E25" s="125" t="e">
        <f>VLOOKUP(Table25751991[[#This Row],[PEG]],Table1016[#All],3,FALSE)</f>
        <v>#N/A</v>
      </c>
    </row>
    <row r="26" spans="1:5" x14ac:dyDescent="0.35">
      <c r="A26" s="118">
        <v>19</v>
      </c>
      <c r="B26" s="114" t="s">
        <v>12</v>
      </c>
      <c r="C26" s="109" t="e">
        <f>VLOOKUP(Table25751991[[#This Row],[PEG]],Table1016[#All],2,FALSE)</f>
        <v>#N/A</v>
      </c>
      <c r="D26" s="117"/>
      <c r="E26" s="125" t="e">
        <f>VLOOKUP(Table25751991[[#This Row],[PEG]],Table1016[#All],3,FALSE)</f>
        <v>#N/A</v>
      </c>
    </row>
    <row r="27" spans="1:5" x14ac:dyDescent="0.35">
      <c r="A27" s="118">
        <v>20</v>
      </c>
      <c r="B27" s="114" t="s">
        <v>115</v>
      </c>
      <c r="C27" s="109" t="e">
        <f>VLOOKUP(Table25751991[[#This Row],[PEG]],Table1016[#All],2,FALSE)</f>
        <v>#N/A</v>
      </c>
      <c r="D27" s="117"/>
      <c r="E27" s="125" t="e">
        <f>VLOOKUP(Table25751991[[#This Row],[PEG]],Table1016[#All],3,FALSE)</f>
        <v>#N/A</v>
      </c>
    </row>
    <row r="28" spans="1:5" x14ac:dyDescent="0.35">
      <c r="A28" s="118">
        <v>21</v>
      </c>
      <c r="B28" s="114" t="s">
        <v>114</v>
      </c>
      <c r="C28" s="109" t="e">
        <f>VLOOKUP(Table25751991[[#This Row],[PEG]],Table1016[#All],2,FALSE)</f>
        <v>#N/A</v>
      </c>
      <c r="D28" s="117"/>
      <c r="E28" s="125" t="e">
        <f>VLOOKUP(Table25751991[[#This Row],[PEG]],Table1016[#All],3,FALSE)</f>
        <v>#N/A</v>
      </c>
    </row>
    <row r="29" spans="1:5" x14ac:dyDescent="0.35">
      <c r="A29" s="118">
        <v>22</v>
      </c>
      <c r="B29" s="114" t="s">
        <v>12</v>
      </c>
      <c r="C29" s="109" t="e">
        <f>VLOOKUP(Table25751991[[#This Row],[PEG]],Table1016[#All],2,FALSE)</f>
        <v>#N/A</v>
      </c>
      <c r="D29" s="117"/>
      <c r="E29" s="125" t="e">
        <f>VLOOKUP(Table25751991[[#This Row],[PEG]],Table1016[#All],3,FALSE)</f>
        <v>#N/A</v>
      </c>
    </row>
    <row r="30" spans="1:5" x14ac:dyDescent="0.35">
      <c r="A30" s="118">
        <v>23</v>
      </c>
      <c r="B30" s="114" t="s">
        <v>12</v>
      </c>
      <c r="C30" s="109" t="e">
        <f>VLOOKUP(Table25751991[[#This Row],[PEG]],Table1016[#All],2,FALSE)</f>
        <v>#N/A</v>
      </c>
      <c r="D30" s="117"/>
      <c r="E30" s="125" t="e">
        <f>VLOOKUP(Table25751991[[#This Row],[PEG]],Table1016[#All],3,FALSE)</f>
        <v>#N/A</v>
      </c>
    </row>
    <row r="31" spans="1:5" x14ac:dyDescent="0.35">
      <c r="A31" s="118">
        <v>24</v>
      </c>
      <c r="B31" s="114" t="s">
        <v>115</v>
      </c>
      <c r="C31" s="109" t="e">
        <f>VLOOKUP(Table25751991[[#This Row],[PEG]],Table1016[#All],2,FALSE)</f>
        <v>#N/A</v>
      </c>
      <c r="D31" s="117"/>
      <c r="E31" s="125" t="e">
        <f>VLOOKUP(Table25751991[[#This Row],[PEG]],Table1016[#All],3,FALSE)</f>
        <v>#N/A</v>
      </c>
    </row>
    <row r="32" spans="1:5" x14ac:dyDescent="0.35">
      <c r="A32" s="118">
        <v>25</v>
      </c>
      <c r="B32" s="114" t="s">
        <v>115</v>
      </c>
      <c r="C32" s="109" t="e">
        <f>VLOOKUP(Table25751991[[#This Row],[PEG]],Table1016[#All],2,FALSE)</f>
        <v>#N/A</v>
      </c>
      <c r="D32" s="117"/>
      <c r="E32" s="125" t="e">
        <f>VLOOKUP(Table25751991[[#This Row],[PEG]],Table1016[#All],3,FALSE)</f>
        <v>#N/A</v>
      </c>
    </row>
    <row r="33" spans="1:5" x14ac:dyDescent="0.35">
      <c r="A33" s="118">
        <v>26</v>
      </c>
      <c r="B33" s="114" t="s">
        <v>124</v>
      </c>
      <c r="C33" s="109" t="e">
        <f>VLOOKUP(Table25751991[[#This Row],[PEG]],Table1016[#All],2,FALSE)</f>
        <v>#N/A</v>
      </c>
      <c r="D33" s="117"/>
      <c r="E33" s="125" t="e">
        <f>VLOOKUP(Table25751991[[#This Row],[PEG]],Table1016[#All],3,FALSE)</f>
        <v>#N/A</v>
      </c>
    </row>
    <row r="34" spans="1:5" x14ac:dyDescent="0.35">
      <c r="A34" s="118">
        <v>27</v>
      </c>
      <c r="B34" s="114" t="s">
        <v>115</v>
      </c>
      <c r="C34" s="109" t="e">
        <f>VLOOKUP(Table25751991[[#This Row],[PEG]],Table1016[#All],2,FALSE)</f>
        <v>#N/A</v>
      </c>
      <c r="D34" s="117"/>
      <c r="E34" s="125" t="e">
        <f>VLOOKUP(Table25751991[[#This Row],[PEG]],Table1016[#All],3,FALSE)</f>
        <v>#N/A</v>
      </c>
    </row>
    <row r="35" spans="1:5" x14ac:dyDescent="0.35">
      <c r="A35" s="118">
        <v>28</v>
      </c>
      <c r="B35" s="114" t="s">
        <v>124</v>
      </c>
      <c r="C35" s="109" t="e">
        <f>VLOOKUP(Table25751991[[#This Row],[PEG]],Table1016[#All],2,FALSE)</f>
        <v>#N/A</v>
      </c>
      <c r="D35" s="117"/>
      <c r="E35" s="125" t="e">
        <f>VLOOKUP(Table25751991[[#This Row],[PEG]],Table1016[#All],3,FALSE)</f>
        <v>#N/A</v>
      </c>
    </row>
    <row r="36" spans="1:5" x14ac:dyDescent="0.35">
      <c r="A36" s="118">
        <v>29</v>
      </c>
      <c r="B36" s="114" t="s">
        <v>115</v>
      </c>
      <c r="C36" s="109" t="e">
        <f>VLOOKUP(Table25751991[[#This Row],[PEG]],Table1016[#All],2,FALSE)</f>
        <v>#N/A</v>
      </c>
      <c r="D36" s="117"/>
      <c r="E36" s="125" t="e">
        <f>VLOOKUP(Table25751991[[#This Row],[PEG]],Table1016[#All],3,FALSE)</f>
        <v>#N/A</v>
      </c>
    </row>
    <row r="37" spans="1:5" x14ac:dyDescent="0.35">
      <c r="A37" s="118">
        <v>30</v>
      </c>
      <c r="B37" s="114" t="s">
        <v>12</v>
      </c>
      <c r="C37" s="109" t="e">
        <f>VLOOKUP(Table25751991[[#This Row],[PEG]],Table1016[#All],2,FALSE)</f>
        <v>#N/A</v>
      </c>
      <c r="D37" s="117"/>
      <c r="E37" s="125" t="e">
        <f>VLOOKUP(Table25751991[[#This Row],[PEG]],Table1016[#All],3,FALSE)</f>
        <v>#N/A</v>
      </c>
    </row>
    <row r="38" spans="1:5" x14ac:dyDescent="0.35">
      <c r="A38" s="118">
        <v>31</v>
      </c>
      <c r="B38" s="114" t="s">
        <v>12</v>
      </c>
      <c r="C38" s="109" t="e">
        <f>VLOOKUP(Table25751991[[#This Row],[PEG]],Table1016[#All],2,FALSE)</f>
        <v>#N/A</v>
      </c>
      <c r="D38" s="117"/>
      <c r="E38" s="125" t="e">
        <f>VLOOKUP(Table25751991[[#This Row],[PEG]],Table1016[#All],3,FALSE)</f>
        <v>#N/A</v>
      </c>
    </row>
    <row r="39" spans="1:5" x14ac:dyDescent="0.35">
      <c r="A39" s="118">
        <v>32</v>
      </c>
      <c r="B39" s="114" t="s">
        <v>12</v>
      </c>
      <c r="C39" s="109" t="e">
        <f>VLOOKUP(Table25751991[[#This Row],[PEG]],Table1016[#All],2,FALSE)</f>
        <v>#N/A</v>
      </c>
      <c r="D39" s="117"/>
      <c r="E39" s="125" t="e">
        <f>VLOOKUP(Table25751991[[#This Row],[PEG]],Table1016[#All],3,FALSE)</f>
        <v>#N/A</v>
      </c>
    </row>
    <row r="40" spans="1:5" x14ac:dyDescent="0.35">
      <c r="A40" s="118">
        <v>33</v>
      </c>
      <c r="B40" s="114" t="s">
        <v>12</v>
      </c>
      <c r="C40" s="109" t="e">
        <f>VLOOKUP(Table25751991[[#This Row],[PEG]],Table1016[#All],2,FALSE)</f>
        <v>#N/A</v>
      </c>
      <c r="D40" s="117"/>
      <c r="E40" s="125" t="e">
        <f>VLOOKUP(Table25751991[[#This Row],[PEG]],Table1016[#All],3,FALSE)</f>
        <v>#N/A</v>
      </c>
    </row>
    <row r="41" spans="1:5" x14ac:dyDescent="0.35">
      <c r="A41" s="118">
        <v>34</v>
      </c>
      <c r="B41" s="114" t="s">
        <v>115</v>
      </c>
      <c r="C41" s="109" t="e">
        <f>VLOOKUP(Table25751991[[#This Row],[PEG]],Table1016[#All],2,FALSE)</f>
        <v>#N/A</v>
      </c>
      <c r="D41" s="117"/>
      <c r="E41" s="125" t="e">
        <f>VLOOKUP(Table25751991[[#This Row],[PEG]],Table1016[#All],3,FALSE)</f>
        <v>#N/A</v>
      </c>
    </row>
    <row r="42" spans="1:5" x14ac:dyDescent="0.35">
      <c r="A42" s="118">
        <v>35</v>
      </c>
      <c r="B42" s="114" t="s">
        <v>12</v>
      </c>
      <c r="C42" s="109" t="e">
        <f>VLOOKUP(Table25751991[[#This Row],[PEG]],Table1016[#All],2,FALSE)</f>
        <v>#N/A</v>
      </c>
      <c r="D42" s="115"/>
      <c r="E42" s="125" t="e">
        <f>VLOOKUP(Table25751991[[#This Row],[PEG]],Table1016[#All],3,FALSE)</f>
        <v>#N/A</v>
      </c>
    </row>
    <row r="43" spans="1:5" x14ac:dyDescent="0.35">
      <c r="A43" s="118">
        <v>36</v>
      </c>
      <c r="B43" s="114" t="s">
        <v>115</v>
      </c>
      <c r="C43" s="109" t="e">
        <f>VLOOKUP(Table25751991[[#This Row],[PEG]],Table1016[#All],2,FALSE)</f>
        <v>#N/A</v>
      </c>
      <c r="D43" s="115"/>
      <c r="E43" s="125" t="e">
        <f>VLOOKUP(Table25751991[[#This Row],[PEG]],Table1016[#All],3,FALSE)</f>
        <v>#N/A</v>
      </c>
    </row>
    <row r="44" spans="1:5" x14ac:dyDescent="0.35">
      <c r="A44" s="118">
        <v>37</v>
      </c>
      <c r="B44" s="114" t="s">
        <v>13</v>
      </c>
      <c r="C44" s="18" t="s">
        <v>13</v>
      </c>
      <c r="D44" s="115"/>
      <c r="E44" s="32"/>
    </row>
    <row r="45" spans="1:5" x14ac:dyDescent="0.35">
      <c r="C45" s="26"/>
    </row>
    <row r="46" spans="1:5" x14ac:dyDescent="0.35">
      <c r="C46" s="26"/>
    </row>
    <row r="47" spans="1:5" x14ac:dyDescent="0.35">
      <c r="C47" s="26"/>
    </row>
    <row r="48" spans="1:5" x14ac:dyDescent="0.35">
      <c r="C48" s="26"/>
    </row>
    <row r="49" spans="3:3" x14ac:dyDescent="0.35">
      <c r="C49" s="26"/>
    </row>
    <row r="50" spans="3:3" x14ac:dyDescent="0.35">
      <c r="C50" s="26"/>
    </row>
    <row r="51" spans="3:3" x14ac:dyDescent="0.35">
      <c r="C51" s="26"/>
    </row>
    <row r="52" spans="3:3" x14ac:dyDescent="0.35">
      <c r="C52" s="26"/>
    </row>
    <row r="53" spans="3:3" x14ac:dyDescent="0.35">
      <c r="C53" s="26"/>
    </row>
    <row r="54" spans="3:3" x14ac:dyDescent="0.35">
      <c r="C54" s="26"/>
    </row>
    <row r="55" spans="3:3" x14ac:dyDescent="0.35">
      <c r="C55" s="26"/>
    </row>
    <row r="56" spans="3:3" x14ac:dyDescent="0.35">
      <c r="C56" s="26"/>
    </row>
    <row r="57" spans="3:3" x14ac:dyDescent="0.35">
      <c r="C57" s="26"/>
    </row>
    <row r="58" spans="3:3" x14ac:dyDescent="0.35">
      <c r="C58" s="27"/>
    </row>
    <row r="59" spans="3:3" x14ac:dyDescent="0.35">
      <c r="C59" s="27"/>
    </row>
    <row r="60" spans="3:3" x14ac:dyDescent="0.35">
      <c r="C60" s="27"/>
    </row>
  </sheetData>
  <mergeCells count="1">
    <mergeCell ref="A1:B1"/>
  </mergeCells>
  <conditionalFormatting sqref="C45:C9999">
    <cfRule type="expression" dxfId="2835" priority="52">
      <formula>$B45="Dial"</formula>
    </cfRule>
    <cfRule type="expression" dxfId="2834" priority="54">
      <formula>$B45="HANGUP"</formula>
    </cfRule>
  </conditionalFormatting>
  <conditionalFormatting sqref="B30">
    <cfRule type="containsText" dxfId="2833" priority="4" operator="containsText" text="Hear">
      <formula>NOT(ISERROR(SEARCH("Hear",B30)))</formula>
    </cfRule>
  </conditionalFormatting>
  <conditionalFormatting sqref="B43:B44">
    <cfRule type="containsText" dxfId="2832" priority="14" operator="containsText" text="Hear">
      <formula>NOT(ISERROR(SEARCH("Hear",B43)))</formula>
    </cfRule>
  </conditionalFormatting>
  <conditionalFormatting sqref="E44">
    <cfRule type="containsText" dxfId="2831" priority="12" operator="containsText" text="WEB SERVICE">
      <formula>NOT(ISERROR(SEARCH("WEB SERVICE",E44)))</formula>
    </cfRule>
    <cfRule type="containsText" dxfId="2830" priority="13" operator="containsText" text="DB">
      <formula>NOT(ISERROR(SEARCH("DB",E44)))</formula>
    </cfRule>
  </conditionalFormatting>
  <conditionalFormatting sqref="C44">
    <cfRule type="expression" dxfId="2829" priority="15">
      <formula>$B44="Dial"</formula>
    </cfRule>
    <cfRule type="expression" dxfId="2828" priority="17">
      <formula>$B44="HANGUP"</formula>
    </cfRule>
  </conditionalFormatting>
  <conditionalFormatting sqref="C44">
    <cfRule type="expression" dxfId="2827" priority="16">
      <formula>$B44="Speak"</formula>
    </cfRule>
  </conditionalFormatting>
  <conditionalFormatting sqref="B8:B18">
    <cfRule type="containsText" dxfId="2826" priority="1" operator="containsText" text="Hear">
      <formula>NOT(ISERROR(SEARCH("Hear",B8)))</formula>
    </cfRule>
  </conditionalFormatting>
  <conditionalFormatting sqref="B36:B38 B40:B41">
    <cfRule type="containsText" dxfId="2825" priority="3" operator="containsText" text="Hear">
      <formula>NOT(ISERROR(SEARCH("Hear",B36)))</formula>
    </cfRule>
  </conditionalFormatting>
  <conditionalFormatting sqref="B19:B29 B31:B35 B42">
    <cfRule type="containsText" dxfId="2824" priority="5" operator="containsText" text="Hear">
      <formula>NOT(ISERROR(SEARCH("Hear",B19)))</formula>
    </cfRule>
  </conditionalFormatting>
  <hyperlinks>
    <hyperlink ref="A1" location="'Test Case Overview'!A1" display="Return to Test Case Overview" xr:uid="{00000000-0004-0000-6300-000000000000}"/>
  </hyperlinks>
  <pageMargins left="0.7" right="0.7" top="0.75" bottom="0.75" header="0.3" footer="0.3"/>
  <pageSetup orientation="portrait" verticalDpi="0" r:id="rId1"/>
  <tableParts count="1">
    <tablePart r:id="rId2"/>
  </tableParts>
  <extLst>
    <ext xmlns:x14="http://schemas.microsoft.com/office/spreadsheetml/2009/9/main" uri="{78C0D931-6437-407d-A8EE-F0AAD7539E65}">
      <x14:conditionalFormattings>
        <x14:conditionalFormatting xmlns:xm="http://schemas.microsoft.com/office/excel/2006/main">
          <x14:cfRule type="expression" priority="8" id="{15F24D13-67DB-429B-AE0A-6B3EA3E8047F}">
            <xm:f>'TC1'!$B8="HANGUP"</xm:f>
            <x14:dxf>
              <font>
                <b/>
                <i val="0"/>
              </font>
            </x14:dxf>
          </x14:cfRule>
          <x14:cfRule type="expression" priority="9" id="{011FF4F5-E58C-4A37-A9F8-5CB13402E6FD}">
            <xm:f>'TC1'!$B8="Dial"</xm:f>
            <x14:dxf>
              <font>
                <b/>
                <i val="0"/>
                <color rgb="FFFF0000"/>
              </font>
            </x14:dxf>
          </x14:cfRule>
          <xm:sqref>C8</xm:sqref>
        </x14:conditionalFormatting>
        <x14:conditionalFormatting xmlns:xm="http://schemas.microsoft.com/office/excel/2006/main">
          <x14:cfRule type="expression" priority="10" id="{6E4B8264-3229-4352-8F24-026FF23634CD}">
            <xm:f>'TC1'!$B8="Speak"</xm:f>
            <x14:dxf>
              <font>
                <b/>
                <i val="0"/>
                <color rgb="FFFF0000"/>
              </font>
            </x14:dxf>
          </x14:cfRule>
          <xm:sqref>C8</xm:sqref>
        </x14:conditionalFormatting>
        <x14:conditionalFormatting xmlns:xm="http://schemas.microsoft.com/office/excel/2006/main">
          <x14:cfRule type="containsText" priority="2" operator="containsText" text="Hear" id="{67CCF0BC-E7C6-4503-97A0-CC4E4A95624B}">
            <xm:f>NOT(ISERROR(SEARCH("Hear",'TC3'!B34)))</xm:f>
            <x14:dxf>
              <font>
                <color theme="9" tint="-0.24994659260841701"/>
              </font>
              <fill>
                <patternFill>
                  <bgColor theme="9" tint="0.59996337778862885"/>
                </patternFill>
              </fill>
            </x14:dxf>
          </x14:cfRule>
          <xm:sqref>B41</xm:sqref>
        </x14:conditionalFormatting>
        <x14:conditionalFormatting xmlns:xm="http://schemas.microsoft.com/office/excel/2006/main">
          <x14:cfRule type="expression" priority="2243" id="{15F24D13-67DB-429B-AE0A-6B3EA3E8047F}">
            <xm:f>'TC1'!$B16="HANGUP"</xm:f>
            <x14:dxf>
              <font>
                <b/>
                <i val="0"/>
              </font>
            </x14:dxf>
          </x14:cfRule>
          <x14:cfRule type="expression" priority="2244" id="{011FF4F5-E58C-4A37-A9F8-5CB13402E6FD}">
            <xm:f>'TC1'!$B16="Dial"</xm:f>
            <x14:dxf>
              <font>
                <b/>
                <i val="0"/>
                <color rgb="FFFF0000"/>
              </font>
            </x14:dxf>
          </x14:cfRule>
          <xm:sqref>C34:C43</xm:sqref>
        </x14:conditionalFormatting>
        <x14:conditionalFormatting xmlns:xm="http://schemas.microsoft.com/office/excel/2006/main">
          <x14:cfRule type="expression" priority="2245" id="{15F24D13-67DB-429B-AE0A-6B3EA3E8047F}">
            <xm:f>'TC1'!#REF!="HANGUP"</xm:f>
            <x14:dxf>
              <font>
                <b/>
                <i val="0"/>
              </font>
            </x14:dxf>
          </x14:cfRule>
          <x14:cfRule type="expression" priority="2246" id="{011FF4F5-E58C-4A37-A9F8-5CB13402E6FD}">
            <xm:f>'TC1'!#REF!="Dial"</xm:f>
            <x14:dxf>
              <font>
                <b/>
                <i val="0"/>
                <color rgb="FFFF0000"/>
              </font>
            </x14:dxf>
          </x14:cfRule>
          <xm:sqref>C17:C33</xm:sqref>
        </x14:conditionalFormatting>
        <x14:conditionalFormatting xmlns:xm="http://schemas.microsoft.com/office/excel/2006/main">
          <x14:cfRule type="expression" priority="2250" id="{6E4B8264-3229-4352-8F24-026FF23634CD}">
            <xm:f>'TC1'!$B16="Speak"</xm:f>
            <x14:dxf>
              <font>
                <b/>
                <i val="0"/>
                <color rgb="FFFF0000"/>
              </font>
            </x14:dxf>
          </x14:cfRule>
          <xm:sqref>C34:C43</xm:sqref>
        </x14:conditionalFormatting>
        <x14:conditionalFormatting xmlns:xm="http://schemas.microsoft.com/office/excel/2006/main">
          <x14:cfRule type="expression" priority="2251" id="{6E4B8264-3229-4352-8F24-026FF23634CD}">
            <xm:f>'TC1'!#REF!="Speak"</xm:f>
            <x14:dxf>
              <font>
                <b/>
                <i val="0"/>
                <color rgb="FFFF0000"/>
              </font>
            </x14:dxf>
          </x14:cfRule>
          <xm:sqref>C17:C33</xm:sqref>
        </x14:conditionalFormatting>
        <x14:conditionalFormatting xmlns:xm="http://schemas.microsoft.com/office/excel/2006/main">
          <x14:cfRule type="containsText" priority="2255" operator="containsText" text="DB" id="{6B2D435E-8388-45F9-BB96-3D2A1EFB2A69}">
            <xm:f>NOT(ISERROR(SEARCH("DB",'TC1'!E16)))</xm:f>
            <x14:dxf>
              <font>
                <color rgb="FF006100"/>
              </font>
              <fill>
                <patternFill>
                  <bgColor rgb="FFC6EFCE"/>
                </patternFill>
              </fill>
            </x14:dxf>
          </x14:cfRule>
          <x14:cfRule type="containsText" priority="2256" operator="containsText" text="WEB SERVICE" id="{1682C3D6-030D-4A53-815A-41671E08B1A0}">
            <xm:f>NOT(ISERROR(SEARCH("WEB SERVICE",'TC1'!E16)))</xm:f>
            <x14:dxf>
              <font>
                <color rgb="FF9C0006"/>
              </font>
              <fill>
                <patternFill>
                  <bgColor rgb="FFFFC7CE"/>
                </patternFill>
              </fill>
            </x14:dxf>
          </x14:cfRule>
          <xm:sqref>E34:E43</xm:sqref>
        </x14:conditionalFormatting>
        <x14:conditionalFormatting xmlns:xm="http://schemas.microsoft.com/office/excel/2006/main">
          <x14:cfRule type="containsText" priority="2257" operator="containsText" text="DB" id="{6B2D435E-8388-45F9-BB96-3D2A1EFB2A69}">
            <xm:f>NOT(ISERROR(SEARCH("DB",'TC1'!#REF!)))</xm:f>
            <x14:dxf>
              <font>
                <color rgb="FF006100"/>
              </font>
              <fill>
                <patternFill>
                  <bgColor rgb="FFC6EFCE"/>
                </patternFill>
              </fill>
            </x14:dxf>
          </x14:cfRule>
          <x14:cfRule type="containsText" priority="2258" operator="containsText" text="WEB SERVICE" id="{1682C3D6-030D-4A53-815A-41671E08B1A0}">
            <xm:f>NOT(ISERROR(SEARCH("WEB SERVICE",'TC1'!#REF!)))</xm:f>
            <x14:dxf>
              <font>
                <color rgb="FF9C0006"/>
              </font>
              <fill>
                <patternFill>
                  <bgColor rgb="FFFFC7CE"/>
                </patternFill>
              </fill>
            </x14:dxf>
          </x14:cfRule>
          <xm:sqref>E17:E33</xm:sqref>
        </x14:conditionalFormatting>
        <x14:conditionalFormatting xmlns:xm="http://schemas.microsoft.com/office/excel/2006/main">
          <x14:cfRule type="expression" priority="4957" id="{15F24D13-67DB-429B-AE0A-6B3EA3E8047F}">
            <xm:f>'TC1'!$B9="HANGUP"</xm:f>
            <x14:dxf>
              <font>
                <b/>
                <i val="0"/>
              </font>
            </x14:dxf>
          </x14:cfRule>
          <x14:cfRule type="expression" priority="4958" id="{011FF4F5-E58C-4A37-A9F8-5CB13402E6FD}">
            <xm:f>'TC1'!$B9="Dial"</xm:f>
            <x14:dxf>
              <font>
                <b/>
                <i val="0"/>
                <color rgb="FFFF0000"/>
              </font>
            </x14:dxf>
          </x14:cfRule>
          <xm:sqref>C12:C15</xm:sqref>
        </x14:conditionalFormatting>
        <x14:conditionalFormatting xmlns:xm="http://schemas.microsoft.com/office/excel/2006/main">
          <x14:cfRule type="expression" priority="4959" id="{15F24D13-67DB-429B-AE0A-6B3EA3E8047F}">
            <xm:f>'TC1'!#REF!="HANGUP"</xm:f>
            <x14:dxf>
              <font>
                <b/>
                <i val="0"/>
              </font>
            </x14:dxf>
          </x14:cfRule>
          <x14:cfRule type="expression" priority="4960" id="{011FF4F5-E58C-4A37-A9F8-5CB13402E6FD}">
            <xm:f>'TC1'!#REF!="Dial"</xm:f>
            <x14:dxf>
              <font>
                <b/>
                <i val="0"/>
                <color rgb="FFFF0000"/>
              </font>
            </x14:dxf>
          </x14:cfRule>
          <xm:sqref>C9:C11</xm:sqref>
        </x14:conditionalFormatting>
        <x14:conditionalFormatting xmlns:xm="http://schemas.microsoft.com/office/excel/2006/main">
          <x14:cfRule type="expression" priority="4964" id="{6E4B8264-3229-4352-8F24-026FF23634CD}">
            <xm:f>'TC1'!$B9="Speak"</xm:f>
            <x14:dxf>
              <font>
                <b/>
                <i val="0"/>
                <color rgb="FFFF0000"/>
              </font>
            </x14:dxf>
          </x14:cfRule>
          <xm:sqref>C12:C15</xm:sqref>
        </x14:conditionalFormatting>
        <x14:conditionalFormatting xmlns:xm="http://schemas.microsoft.com/office/excel/2006/main">
          <x14:cfRule type="expression" priority="4965" id="{6E4B8264-3229-4352-8F24-026FF23634CD}">
            <xm:f>'TC1'!#REF!="Speak"</xm:f>
            <x14:dxf>
              <font>
                <b/>
                <i val="0"/>
                <color rgb="FFFF0000"/>
              </font>
            </x14:dxf>
          </x14:cfRule>
          <xm:sqref>C9:C11</xm:sqref>
        </x14:conditionalFormatting>
        <x14:conditionalFormatting xmlns:xm="http://schemas.microsoft.com/office/excel/2006/main">
          <x14:cfRule type="containsText" priority="4967" operator="containsText" text="DB" id="{6B2D435E-8388-45F9-BB96-3D2A1EFB2A69}">
            <xm:f>NOT(ISERROR(SEARCH("DB",'TC1'!#REF!)))</xm:f>
            <x14:dxf>
              <font>
                <color rgb="FF006100"/>
              </font>
              <fill>
                <patternFill>
                  <bgColor rgb="FFC6EFCE"/>
                </patternFill>
              </fill>
            </x14:dxf>
          </x14:cfRule>
          <x14:cfRule type="containsText" priority="4968" operator="containsText" text="WEB SERVICE" id="{1682C3D6-030D-4A53-815A-41671E08B1A0}">
            <xm:f>NOT(ISERROR(SEARCH("WEB SERVICE",'TC1'!#REF!)))</xm:f>
            <x14:dxf>
              <font>
                <color rgb="FF9C0006"/>
              </font>
              <fill>
                <patternFill>
                  <bgColor rgb="FFFFC7CE"/>
                </patternFill>
              </fill>
            </x14:dxf>
          </x14:cfRule>
          <xm:sqref>E9:E11</xm:sqref>
        </x14:conditionalFormatting>
        <x14:conditionalFormatting xmlns:xm="http://schemas.microsoft.com/office/excel/2006/main">
          <x14:cfRule type="containsText" priority="4969" operator="containsText" text="DB" id="{6B2D435E-8388-45F9-BB96-3D2A1EFB2A69}">
            <xm:f>NOT(ISERROR(SEARCH("DB",'TC1'!E9)))</xm:f>
            <x14:dxf>
              <font>
                <color rgb="FF006100"/>
              </font>
              <fill>
                <patternFill>
                  <bgColor rgb="FFC6EFCE"/>
                </patternFill>
              </fill>
            </x14:dxf>
          </x14:cfRule>
          <x14:cfRule type="containsText" priority="4970" operator="containsText" text="WEB SERVICE" id="{1682C3D6-030D-4A53-815A-41671E08B1A0}">
            <xm:f>NOT(ISERROR(SEARCH("WEB SERVICE",'TC1'!E9)))</xm:f>
            <x14:dxf>
              <font>
                <color rgb="FF9C0006"/>
              </font>
              <fill>
                <patternFill>
                  <bgColor rgb="FFFFC7CE"/>
                </patternFill>
              </fill>
            </x14:dxf>
          </x14:cfRule>
          <xm:sqref>E12:E15</xm:sqref>
        </x14:conditionalFormatting>
        <x14:conditionalFormatting xmlns:xm="http://schemas.microsoft.com/office/excel/2006/main">
          <x14:cfRule type="expression" priority="7310" id="{15F24D13-67DB-429B-AE0A-6B3EA3E8047F}">
            <xm:f>'TC1'!$B15="HANGUP"</xm:f>
            <x14:dxf>
              <font>
                <b/>
                <i val="0"/>
              </font>
            </x14:dxf>
          </x14:cfRule>
          <x14:cfRule type="expression" priority="7311" id="{011FF4F5-E58C-4A37-A9F8-5CB13402E6FD}">
            <xm:f>'TC1'!$B15="Dial"</xm:f>
            <x14:dxf>
              <font>
                <b/>
                <i val="0"/>
                <color rgb="FFFF0000"/>
              </font>
            </x14:dxf>
          </x14:cfRule>
          <xm:sqref>C16</xm:sqref>
        </x14:conditionalFormatting>
        <x14:conditionalFormatting xmlns:xm="http://schemas.microsoft.com/office/excel/2006/main">
          <x14:cfRule type="expression" priority="7313" id="{6E4B8264-3229-4352-8F24-026FF23634CD}">
            <xm:f>'TC1'!$B15="Speak"</xm:f>
            <x14:dxf>
              <font>
                <b/>
                <i val="0"/>
                <color rgb="FFFF0000"/>
              </font>
            </x14:dxf>
          </x14:cfRule>
          <xm:sqref>C16</xm:sqref>
        </x14:conditionalFormatting>
        <x14:conditionalFormatting xmlns:xm="http://schemas.microsoft.com/office/excel/2006/main">
          <x14:cfRule type="containsText" priority="7316" operator="containsText" text="DB" id="{6B2D435E-8388-45F9-BB96-3D2A1EFB2A69}">
            <xm:f>NOT(ISERROR(SEARCH("DB",'TC1'!E15)))</xm:f>
            <x14:dxf>
              <font>
                <color rgb="FF006100"/>
              </font>
              <fill>
                <patternFill>
                  <bgColor rgb="FFC6EFCE"/>
                </patternFill>
              </fill>
            </x14:dxf>
          </x14:cfRule>
          <x14:cfRule type="containsText" priority="7317" operator="containsText" text="WEB SERVICE" id="{1682C3D6-030D-4A53-815A-41671E08B1A0}">
            <xm:f>NOT(ISERROR(SEARCH("WEB SERVICE",'TC1'!E15)))</xm:f>
            <x14:dxf>
              <font>
                <color rgb="FF9C0006"/>
              </font>
              <fill>
                <patternFill>
                  <bgColor rgb="FFFFC7CE"/>
                </patternFill>
              </fill>
            </x14:dxf>
          </x14:cfRule>
          <xm:sqref>E16</xm:sqref>
        </x14:conditionalFormatting>
        <x14:conditionalFormatting xmlns:xm="http://schemas.microsoft.com/office/excel/2006/main">
          <x14:cfRule type="containsText" priority="9814" operator="containsText" text="Hear" id="{F5BE2BB7-655C-42F3-8D8A-6BD9F81CC4B8}">
            <xm:f>NOT(ISERROR(SEARCH("Hear",'TC26'!#REF!)))</xm:f>
            <x14:dxf>
              <font>
                <color theme="9" tint="-0.24994659260841701"/>
              </font>
              <fill>
                <patternFill>
                  <bgColor theme="9" tint="0.59996337778862885"/>
                </patternFill>
              </fill>
            </x14:dxf>
          </x14:cfRule>
          <xm:sqref>B39</xm:sqref>
        </x14:conditionalFormatting>
      </x14:conditionalFormattings>
    </ext>
  </extLst>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400-000000000000}">
  <sheetPr codeName="Sheet102"/>
  <dimension ref="A1:E44"/>
  <sheetViews>
    <sheetView zoomScaleNormal="100" workbookViewId="0">
      <selection sqref="A1:E44"/>
    </sheetView>
  </sheetViews>
  <sheetFormatPr defaultRowHeight="14.5" x14ac:dyDescent="0.35"/>
  <cols>
    <col min="1" max="1" width="14.453125" bestFit="1" customWidth="1"/>
    <col min="2" max="2" width="42.6328125" customWidth="1"/>
    <col min="3" max="3" width="106.1796875" customWidth="1"/>
    <col min="4" max="4" width="21.81640625" bestFit="1" customWidth="1"/>
    <col min="5" max="5" width="20.6328125" customWidth="1"/>
  </cols>
  <sheetData>
    <row r="1" spans="1:5" ht="18.5" x14ac:dyDescent="0.35">
      <c r="A1" s="192" t="s">
        <v>4</v>
      </c>
      <c r="B1" s="192"/>
      <c r="C1" s="105"/>
      <c r="D1" s="111"/>
      <c r="E1" s="97"/>
    </row>
    <row r="2" spans="1:5" x14ac:dyDescent="0.35">
      <c r="A2" s="106" t="s">
        <v>5</v>
      </c>
      <c r="B2" s="107" t="str">
        <f ca="1">MID(CELL("filename",A1),FIND("]",CELL("filename",A1))+1,LEN(CELL("filename",A1))-FIND("]",CELL("filename",A1)))</f>
        <v>TC100</v>
      </c>
      <c r="C2" s="98"/>
      <c r="D2" s="111"/>
      <c r="E2" s="97"/>
    </row>
    <row r="3" spans="1:5" x14ac:dyDescent="0.35">
      <c r="A3" s="104" t="s">
        <v>19</v>
      </c>
      <c r="B3" s="112">
        <f ca="1">VLOOKUP(B2,Table53[#All],2,FALSE)</f>
        <v>0</v>
      </c>
      <c r="C3" s="98"/>
      <c r="D3" s="111"/>
      <c r="E3" s="97"/>
    </row>
    <row r="4" spans="1:5" ht="29" x14ac:dyDescent="0.35">
      <c r="A4" s="113" t="s">
        <v>20</v>
      </c>
      <c r="B4" s="99">
        <f ca="1">VLOOKUP(B2,Table53[#All],4,FALSE)</f>
        <v>0</v>
      </c>
      <c r="C4" s="98"/>
      <c r="D4" s="111"/>
      <c r="E4" s="97"/>
    </row>
    <row r="5" spans="1:5" x14ac:dyDescent="0.35">
      <c r="A5" s="104" t="s">
        <v>6</v>
      </c>
      <c r="B5" s="77">
        <f ca="1">VLOOKUP(B2,Table53[#All],3,FALSE)</f>
        <v>0</v>
      </c>
      <c r="C5" s="98"/>
      <c r="D5" s="111"/>
      <c r="E5" s="97"/>
    </row>
    <row r="6" spans="1:5" x14ac:dyDescent="0.35">
      <c r="A6" s="97"/>
      <c r="B6" s="97"/>
      <c r="C6" s="98"/>
      <c r="D6" s="111"/>
      <c r="E6" s="97"/>
    </row>
    <row r="7" spans="1:5" ht="15.5" x14ac:dyDescent="0.35">
      <c r="A7" s="100" t="s">
        <v>7</v>
      </c>
      <c r="B7" s="101" t="s">
        <v>8</v>
      </c>
      <c r="C7" s="102" t="s">
        <v>9</v>
      </c>
      <c r="D7" s="102" t="s">
        <v>14</v>
      </c>
      <c r="E7" s="103" t="s">
        <v>10</v>
      </c>
    </row>
    <row r="8" spans="1:5" x14ac:dyDescent="0.35">
      <c r="A8" s="118">
        <v>1</v>
      </c>
      <c r="B8" s="114" t="s">
        <v>114</v>
      </c>
      <c r="C8" s="109" t="s">
        <v>125</v>
      </c>
      <c r="D8" s="128"/>
      <c r="E8" s="125" t="s">
        <v>11</v>
      </c>
    </row>
    <row r="9" spans="1:5" x14ac:dyDescent="0.35">
      <c r="A9" s="118">
        <v>2</v>
      </c>
      <c r="B9" s="114" t="s">
        <v>12</v>
      </c>
      <c r="C9" s="109" t="e">
        <f>VLOOKUP(Table257519918[[#This Row],[PEG]],Table1016[#All],2,FALSE)</f>
        <v>#N/A</v>
      </c>
      <c r="D9" s="128"/>
      <c r="E9" s="125" t="e">
        <f>VLOOKUP(Table257519918[[#This Row],[PEG]],Table1016[#All],3,FALSE)</f>
        <v>#N/A</v>
      </c>
    </row>
    <row r="10" spans="1:5" x14ac:dyDescent="0.35">
      <c r="A10" s="118">
        <v>3</v>
      </c>
      <c r="B10" s="114" t="s">
        <v>115</v>
      </c>
      <c r="C10" s="109" t="e">
        <f>VLOOKUP(Table257519918[[#This Row],[PEG]],Table1016[#All],2,FALSE)</f>
        <v>#N/A</v>
      </c>
      <c r="D10" s="128"/>
      <c r="E10" s="125" t="e">
        <f>VLOOKUP(Table257519918[[#This Row],[PEG]],Table1016[#All],3,FALSE)</f>
        <v>#N/A</v>
      </c>
    </row>
    <row r="11" spans="1:5" x14ac:dyDescent="0.35">
      <c r="A11" s="118">
        <v>4</v>
      </c>
      <c r="B11" s="114" t="s">
        <v>115</v>
      </c>
      <c r="C11" s="109" t="e">
        <f>VLOOKUP(Table257519918[[#This Row],[PEG]],Table1016[#All],2,FALSE)</f>
        <v>#N/A</v>
      </c>
      <c r="D11" s="128"/>
      <c r="E11" s="125" t="e">
        <f>VLOOKUP(Table257519918[[#This Row],[PEG]],Table1016[#All],3,FALSE)</f>
        <v>#N/A</v>
      </c>
    </row>
    <row r="12" spans="1:5" x14ac:dyDescent="0.35">
      <c r="A12" s="118">
        <v>5</v>
      </c>
      <c r="B12" s="114" t="s">
        <v>114</v>
      </c>
      <c r="C12" s="109" t="e">
        <f>VLOOKUP(Table257519918[[#This Row],[PEG]],Table1016[#All],2,FALSE)</f>
        <v>#N/A</v>
      </c>
      <c r="D12" s="128"/>
      <c r="E12" s="125" t="e">
        <f>VLOOKUP(Table257519918[[#This Row],[PEG]],Table1016[#All],3,FALSE)</f>
        <v>#N/A</v>
      </c>
    </row>
    <row r="13" spans="1:5" x14ac:dyDescent="0.35">
      <c r="A13" s="118">
        <v>6</v>
      </c>
      <c r="B13" s="114" t="s">
        <v>115</v>
      </c>
      <c r="C13" s="109" t="e">
        <f>VLOOKUP(Table257519918[[#This Row],[PEG]],Table1016[#All],2,FALSE)</f>
        <v>#N/A</v>
      </c>
      <c r="D13" s="128"/>
      <c r="E13" s="125" t="e">
        <f>VLOOKUP(Table257519918[[#This Row],[PEG]],Table1016[#All],3,FALSE)</f>
        <v>#N/A</v>
      </c>
    </row>
    <row r="14" spans="1:5" x14ac:dyDescent="0.35">
      <c r="A14" s="118">
        <v>7</v>
      </c>
      <c r="B14" s="114" t="s">
        <v>114</v>
      </c>
      <c r="C14" s="109" t="e">
        <f>VLOOKUP(Table257519918[[#This Row],[PEG]],Table1016[#All],2,FALSE)</f>
        <v>#N/A</v>
      </c>
      <c r="D14" s="128"/>
      <c r="E14" s="125" t="e">
        <f>VLOOKUP(Table257519918[[#This Row],[PEG]],Table1016[#All],3,FALSE)</f>
        <v>#N/A</v>
      </c>
    </row>
    <row r="15" spans="1:5" x14ac:dyDescent="0.35">
      <c r="A15" s="118">
        <v>8</v>
      </c>
      <c r="B15" s="114" t="s">
        <v>115</v>
      </c>
      <c r="C15" s="109" t="e">
        <f>VLOOKUP(Table257519918[[#This Row],[PEG]],Table1016[#All],2,FALSE)</f>
        <v>#N/A</v>
      </c>
      <c r="D15" s="116"/>
      <c r="E15" s="125" t="e">
        <f>VLOOKUP(Table257519918[[#This Row],[PEG]],Table1016[#All],3,FALSE)</f>
        <v>#N/A</v>
      </c>
    </row>
    <row r="16" spans="1:5" x14ac:dyDescent="0.35">
      <c r="A16" s="118">
        <v>9</v>
      </c>
      <c r="B16" s="114" t="s">
        <v>12</v>
      </c>
      <c r="C16" s="109" t="e">
        <f>VLOOKUP(Table257519918[[#This Row],[PEG]],Table1016[#All],2,FALSE)</f>
        <v>#N/A</v>
      </c>
      <c r="D16" s="116"/>
      <c r="E16" s="125" t="e">
        <f>VLOOKUP(Table257519918[[#This Row],[PEG]],Table1016[#All],3,FALSE)</f>
        <v>#N/A</v>
      </c>
    </row>
    <row r="17" spans="1:5" x14ac:dyDescent="0.35">
      <c r="A17" s="118">
        <v>10</v>
      </c>
      <c r="B17" s="114" t="s">
        <v>12</v>
      </c>
      <c r="C17" s="109" t="e">
        <f>VLOOKUP(Table257519918[[#This Row],[PEG]],Table1016[#All],2,FALSE)</f>
        <v>#N/A</v>
      </c>
      <c r="D17" s="117"/>
      <c r="E17" s="125" t="e">
        <f>VLOOKUP(Table257519918[[#This Row],[PEG]],Table1016[#All],3,FALSE)</f>
        <v>#N/A</v>
      </c>
    </row>
    <row r="18" spans="1:5" x14ac:dyDescent="0.35">
      <c r="A18" s="118">
        <v>11</v>
      </c>
      <c r="B18" s="114" t="s">
        <v>115</v>
      </c>
      <c r="C18" s="109" t="e">
        <f>VLOOKUP(Table257519918[[#This Row],[PEG]],Table1016[#All],2,FALSE)</f>
        <v>#N/A</v>
      </c>
      <c r="D18" s="117"/>
      <c r="E18" s="125" t="e">
        <f>VLOOKUP(Table257519918[[#This Row],[PEG]],Table1016[#All],3,FALSE)</f>
        <v>#N/A</v>
      </c>
    </row>
    <row r="19" spans="1:5" x14ac:dyDescent="0.35">
      <c r="A19" s="118">
        <v>12</v>
      </c>
      <c r="B19" s="114" t="s">
        <v>115</v>
      </c>
      <c r="C19" s="109" t="e">
        <f>VLOOKUP(Table257519918[[#This Row],[PEG]],Table1016[#All],2,FALSE)</f>
        <v>#N/A</v>
      </c>
      <c r="D19" s="117"/>
      <c r="E19" s="125" t="e">
        <f>VLOOKUP(Table257519918[[#This Row],[PEG]],Table1016[#All],3,FALSE)</f>
        <v>#N/A</v>
      </c>
    </row>
    <row r="20" spans="1:5" x14ac:dyDescent="0.35">
      <c r="A20" s="118">
        <v>13</v>
      </c>
      <c r="B20" s="114" t="s">
        <v>114</v>
      </c>
      <c r="C20" s="109" t="e">
        <f>VLOOKUP(Table257519918[[#This Row],[PEG]],Table1016[#All],2,FALSE)</f>
        <v>#N/A</v>
      </c>
      <c r="D20" s="117"/>
      <c r="E20" s="125" t="e">
        <f>VLOOKUP(Table257519918[[#This Row],[PEG]],Table1016[#All],3,FALSE)</f>
        <v>#N/A</v>
      </c>
    </row>
    <row r="21" spans="1:5" x14ac:dyDescent="0.35">
      <c r="A21" s="118">
        <v>14</v>
      </c>
      <c r="B21" s="114" t="s">
        <v>12</v>
      </c>
      <c r="C21" s="109" t="e">
        <f>VLOOKUP(Table257519918[[#This Row],[PEG]],Table1016[#All],2,FALSE)</f>
        <v>#N/A</v>
      </c>
      <c r="D21" s="117"/>
      <c r="E21" s="125" t="e">
        <f>VLOOKUP(Table257519918[[#This Row],[PEG]],Table1016[#All],3,FALSE)</f>
        <v>#N/A</v>
      </c>
    </row>
    <row r="22" spans="1:5" x14ac:dyDescent="0.35">
      <c r="A22" s="118">
        <v>15</v>
      </c>
      <c r="B22" s="114" t="s">
        <v>12</v>
      </c>
      <c r="C22" s="109" t="e">
        <f>VLOOKUP(Table257519918[[#This Row],[PEG]],Table1016[#All],2,FALSE)</f>
        <v>#N/A</v>
      </c>
      <c r="D22" s="117"/>
      <c r="E22" s="125" t="e">
        <f>VLOOKUP(Table257519918[[#This Row],[PEG]],Table1016[#All],3,FALSE)</f>
        <v>#N/A</v>
      </c>
    </row>
    <row r="23" spans="1:5" x14ac:dyDescent="0.35">
      <c r="A23" s="118">
        <v>16</v>
      </c>
      <c r="B23" s="114" t="s">
        <v>115</v>
      </c>
      <c r="C23" s="109" t="e">
        <f>VLOOKUP(Table257519918[[#This Row],[PEG]],Table1016[#All],2,FALSE)</f>
        <v>#N/A</v>
      </c>
      <c r="D23" s="117"/>
      <c r="E23" s="125" t="e">
        <f>VLOOKUP(Table257519918[[#This Row],[PEG]],Table1016[#All],3,FALSE)</f>
        <v>#N/A</v>
      </c>
    </row>
    <row r="24" spans="1:5" x14ac:dyDescent="0.35">
      <c r="A24" s="118">
        <v>17</v>
      </c>
      <c r="B24" s="114" t="s">
        <v>114</v>
      </c>
      <c r="C24" s="109" t="e">
        <f>VLOOKUP(Table257519918[[#This Row],[PEG]],Table1016[#All],2,FALSE)</f>
        <v>#N/A</v>
      </c>
      <c r="D24" s="117"/>
      <c r="E24" s="125" t="e">
        <f>VLOOKUP(Table257519918[[#This Row],[PEG]],Table1016[#All],3,FALSE)</f>
        <v>#N/A</v>
      </c>
    </row>
    <row r="25" spans="1:5" x14ac:dyDescent="0.35">
      <c r="A25" s="118">
        <v>18</v>
      </c>
      <c r="B25" s="114" t="s">
        <v>12</v>
      </c>
      <c r="C25" s="109" t="e">
        <f>VLOOKUP(Table257519918[[#This Row],[PEG]],Table1016[#All],2,FALSE)</f>
        <v>#N/A</v>
      </c>
      <c r="D25" s="117"/>
      <c r="E25" s="125" t="e">
        <f>VLOOKUP(Table257519918[[#This Row],[PEG]],Table1016[#All],3,FALSE)</f>
        <v>#N/A</v>
      </c>
    </row>
    <row r="26" spans="1:5" x14ac:dyDescent="0.35">
      <c r="A26" s="118">
        <v>19</v>
      </c>
      <c r="B26" s="114" t="s">
        <v>12</v>
      </c>
      <c r="C26" s="109" t="e">
        <f>VLOOKUP(Table257519918[[#This Row],[PEG]],Table1016[#All],2,FALSE)</f>
        <v>#N/A</v>
      </c>
      <c r="D26" s="117"/>
      <c r="E26" s="125" t="e">
        <f>VLOOKUP(Table257519918[[#This Row],[PEG]],Table1016[#All],3,FALSE)</f>
        <v>#N/A</v>
      </c>
    </row>
    <row r="27" spans="1:5" x14ac:dyDescent="0.35">
      <c r="A27" s="118">
        <v>20</v>
      </c>
      <c r="B27" s="114" t="s">
        <v>115</v>
      </c>
      <c r="C27" s="109" t="e">
        <f>VLOOKUP(Table257519918[[#This Row],[PEG]],Table1016[#All],2,FALSE)</f>
        <v>#N/A</v>
      </c>
      <c r="D27" s="117"/>
      <c r="E27" s="125" t="e">
        <f>VLOOKUP(Table257519918[[#This Row],[PEG]],Table1016[#All],3,FALSE)</f>
        <v>#N/A</v>
      </c>
    </row>
    <row r="28" spans="1:5" x14ac:dyDescent="0.35">
      <c r="A28" s="118">
        <v>21</v>
      </c>
      <c r="B28" s="114" t="s">
        <v>114</v>
      </c>
      <c r="C28" s="109" t="e">
        <f>VLOOKUP(Table257519918[[#This Row],[PEG]],Table1016[#All],2,FALSE)</f>
        <v>#N/A</v>
      </c>
      <c r="D28" s="117"/>
      <c r="E28" s="125" t="e">
        <f>VLOOKUP(Table257519918[[#This Row],[PEG]],Table1016[#All],3,FALSE)</f>
        <v>#N/A</v>
      </c>
    </row>
    <row r="29" spans="1:5" x14ac:dyDescent="0.35">
      <c r="A29" s="118">
        <v>22</v>
      </c>
      <c r="B29" s="114" t="s">
        <v>12</v>
      </c>
      <c r="C29" s="109" t="e">
        <f>VLOOKUP(Table257519918[[#This Row],[PEG]],Table1016[#All],2,FALSE)</f>
        <v>#N/A</v>
      </c>
      <c r="D29" s="117"/>
      <c r="E29" s="125" t="e">
        <f>VLOOKUP(Table257519918[[#This Row],[PEG]],Table1016[#All],3,FALSE)</f>
        <v>#N/A</v>
      </c>
    </row>
    <row r="30" spans="1:5" x14ac:dyDescent="0.35">
      <c r="A30" s="118">
        <v>23</v>
      </c>
      <c r="B30" s="114" t="s">
        <v>12</v>
      </c>
      <c r="C30" s="109" t="e">
        <f>VLOOKUP(Table257519918[[#This Row],[PEG]],Table1016[#All],2,FALSE)</f>
        <v>#N/A</v>
      </c>
      <c r="D30" s="117"/>
      <c r="E30" s="125" t="e">
        <f>VLOOKUP(Table257519918[[#This Row],[PEG]],Table1016[#All],3,FALSE)</f>
        <v>#N/A</v>
      </c>
    </row>
    <row r="31" spans="1:5" x14ac:dyDescent="0.35">
      <c r="A31" s="118">
        <v>24</v>
      </c>
      <c r="B31" s="114" t="s">
        <v>115</v>
      </c>
      <c r="C31" s="109" t="e">
        <f>VLOOKUP(Table257519918[[#This Row],[PEG]],Table1016[#All],2,FALSE)</f>
        <v>#N/A</v>
      </c>
      <c r="D31" s="117"/>
      <c r="E31" s="125" t="e">
        <f>VLOOKUP(Table257519918[[#This Row],[PEG]],Table1016[#All],3,FALSE)</f>
        <v>#N/A</v>
      </c>
    </row>
    <row r="32" spans="1:5" x14ac:dyDescent="0.35">
      <c r="A32" s="118">
        <v>25</v>
      </c>
      <c r="B32" s="114" t="s">
        <v>115</v>
      </c>
      <c r="C32" s="109" t="e">
        <f>VLOOKUP(Table257519918[[#This Row],[PEG]],Table1016[#All],2,FALSE)</f>
        <v>#N/A</v>
      </c>
      <c r="D32" s="117"/>
      <c r="E32" s="125" t="e">
        <f>VLOOKUP(Table257519918[[#This Row],[PEG]],Table1016[#All],3,FALSE)</f>
        <v>#N/A</v>
      </c>
    </row>
    <row r="33" spans="1:5" x14ac:dyDescent="0.35">
      <c r="A33" s="118">
        <v>26</v>
      </c>
      <c r="B33" s="114" t="s">
        <v>124</v>
      </c>
      <c r="C33" s="109" t="e">
        <f>VLOOKUP(Table257519918[[#This Row],[PEG]],Table1016[#All],2,FALSE)</f>
        <v>#N/A</v>
      </c>
      <c r="D33" s="117"/>
      <c r="E33" s="125" t="e">
        <f>VLOOKUP(Table257519918[[#This Row],[PEG]],Table1016[#All],3,FALSE)</f>
        <v>#N/A</v>
      </c>
    </row>
    <row r="34" spans="1:5" x14ac:dyDescent="0.35">
      <c r="A34" s="118">
        <v>27</v>
      </c>
      <c r="B34" s="114" t="s">
        <v>115</v>
      </c>
      <c r="C34" s="109" t="e">
        <f>VLOOKUP(Table257519918[[#This Row],[PEG]],Table1016[#All],2,FALSE)</f>
        <v>#N/A</v>
      </c>
      <c r="D34" s="117"/>
      <c r="E34" s="125" t="e">
        <f>VLOOKUP(Table257519918[[#This Row],[PEG]],Table1016[#All],3,FALSE)</f>
        <v>#N/A</v>
      </c>
    </row>
    <row r="35" spans="1:5" x14ac:dyDescent="0.35">
      <c r="A35" s="118">
        <v>28</v>
      </c>
      <c r="B35" s="114" t="s">
        <v>124</v>
      </c>
      <c r="C35" s="109" t="e">
        <f>VLOOKUP(Table257519918[[#This Row],[PEG]],Table1016[#All],2,FALSE)</f>
        <v>#N/A</v>
      </c>
      <c r="D35" s="117"/>
      <c r="E35" s="125" t="e">
        <f>VLOOKUP(Table257519918[[#This Row],[PEG]],Table1016[#All],3,FALSE)</f>
        <v>#N/A</v>
      </c>
    </row>
    <row r="36" spans="1:5" x14ac:dyDescent="0.35">
      <c r="A36" s="118">
        <v>29</v>
      </c>
      <c r="B36" s="114" t="s">
        <v>115</v>
      </c>
      <c r="C36" s="109" t="e">
        <f>VLOOKUP(Table257519918[[#This Row],[PEG]],Table1016[#All],2,FALSE)</f>
        <v>#N/A</v>
      </c>
      <c r="D36" s="117"/>
      <c r="E36" s="125" t="e">
        <f>VLOOKUP(Table257519918[[#This Row],[PEG]],Table1016[#All],3,FALSE)</f>
        <v>#N/A</v>
      </c>
    </row>
    <row r="37" spans="1:5" x14ac:dyDescent="0.35">
      <c r="A37" s="118">
        <v>30</v>
      </c>
      <c r="B37" s="114" t="s">
        <v>12</v>
      </c>
      <c r="C37" s="109" t="e">
        <f>VLOOKUP(Table257519918[[#This Row],[PEG]],Table1016[#All],2,FALSE)</f>
        <v>#N/A</v>
      </c>
      <c r="D37" s="117"/>
      <c r="E37" s="125" t="e">
        <f>VLOOKUP(Table257519918[[#This Row],[PEG]],Table1016[#All],3,FALSE)</f>
        <v>#N/A</v>
      </c>
    </row>
    <row r="38" spans="1:5" x14ac:dyDescent="0.35">
      <c r="A38" s="118">
        <v>31</v>
      </c>
      <c r="B38" s="114" t="s">
        <v>12</v>
      </c>
      <c r="C38" s="109" t="e">
        <f>VLOOKUP(Table257519918[[#This Row],[PEG]],Table1016[#All],2,FALSE)</f>
        <v>#N/A</v>
      </c>
      <c r="D38" s="117"/>
      <c r="E38" s="125" t="e">
        <f>VLOOKUP(Table257519918[[#This Row],[PEG]],Table1016[#All],3,FALSE)</f>
        <v>#N/A</v>
      </c>
    </row>
    <row r="39" spans="1:5" x14ac:dyDescent="0.35">
      <c r="A39" s="118">
        <v>32</v>
      </c>
      <c r="B39" s="114" t="s">
        <v>12</v>
      </c>
      <c r="C39" s="109" t="e">
        <f>VLOOKUP(Table257519918[[#This Row],[PEG]],Table1016[#All],2,FALSE)</f>
        <v>#N/A</v>
      </c>
      <c r="D39" s="117"/>
      <c r="E39" s="125" t="e">
        <f>VLOOKUP(Table257519918[[#This Row],[PEG]],Table1016[#All],3,FALSE)</f>
        <v>#N/A</v>
      </c>
    </row>
    <row r="40" spans="1:5" x14ac:dyDescent="0.35">
      <c r="A40" s="118">
        <v>33</v>
      </c>
      <c r="B40" s="114" t="s">
        <v>12</v>
      </c>
      <c r="C40" s="109" t="e">
        <f>VLOOKUP(Table257519918[[#This Row],[PEG]],Table1016[#All],2,FALSE)</f>
        <v>#N/A</v>
      </c>
      <c r="D40" s="117"/>
      <c r="E40" s="125" t="e">
        <f>VLOOKUP(Table257519918[[#This Row],[PEG]],Table1016[#All],3,FALSE)</f>
        <v>#N/A</v>
      </c>
    </row>
    <row r="41" spans="1:5" x14ac:dyDescent="0.35">
      <c r="A41" s="118">
        <v>34</v>
      </c>
      <c r="B41" s="114" t="s">
        <v>115</v>
      </c>
      <c r="C41" s="109" t="e">
        <f>VLOOKUP(Table257519918[[#This Row],[PEG]],Table1016[#All],2,FALSE)</f>
        <v>#N/A</v>
      </c>
      <c r="D41" s="117"/>
      <c r="E41" s="125" t="e">
        <f>VLOOKUP(Table257519918[[#This Row],[PEG]],Table1016[#All],3,FALSE)</f>
        <v>#N/A</v>
      </c>
    </row>
    <row r="42" spans="1:5" x14ac:dyDescent="0.35">
      <c r="A42" s="118">
        <v>35</v>
      </c>
      <c r="B42" s="114" t="s">
        <v>12</v>
      </c>
      <c r="C42" s="109" t="e">
        <f>VLOOKUP(Table257519918[[#This Row],[PEG]],Table1016[#All],2,FALSE)</f>
        <v>#N/A</v>
      </c>
      <c r="D42" s="115"/>
      <c r="E42" s="125" t="e">
        <f>VLOOKUP(Table257519918[[#This Row],[PEG]],Table1016[#All],3,FALSE)</f>
        <v>#N/A</v>
      </c>
    </row>
    <row r="43" spans="1:5" x14ac:dyDescent="0.35">
      <c r="A43" s="118">
        <v>36</v>
      </c>
      <c r="B43" s="114" t="s">
        <v>115</v>
      </c>
      <c r="C43" s="109" t="e">
        <f>VLOOKUP(Table257519918[[#This Row],[PEG]],Table1016[#All],2,FALSE)</f>
        <v>#N/A</v>
      </c>
      <c r="D43" s="115"/>
      <c r="E43" s="125" t="e">
        <f>VLOOKUP(Table257519918[[#This Row],[PEG]],Table1016[#All],3,FALSE)</f>
        <v>#N/A</v>
      </c>
    </row>
    <row r="44" spans="1:5" x14ac:dyDescent="0.35">
      <c r="A44" s="118">
        <v>37</v>
      </c>
      <c r="B44" s="114" t="s">
        <v>13</v>
      </c>
      <c r="C44" s="18" t="s">
        <v>13</v>
      </c>
      <c r="D44" s="115"/>
      <c r="E44" s="32"/>
    </row>
  </sheetData>
  <mergeCells count="1">
    <mergeCell ref="A1:B1"/>
  </mergeCells>
  <conditionalFormatting sqref="B30">
    <cfRule type="containsText" dxfId="2793" priority="4" operator="containsText" text="Hear">
      <formula>NOT(ISERROR(SEARCH("Hear",B30)))</formula>
    </cfRule>
  </conditionalFormatting>
  <conditionalFormatting sqref="B43:B44">
    <cfRule type="containsText" dxfId="2792" priority="14" operator="containsText" text="Hear">
      <formula>NOT(ISERROR(SEARCH("Hear",B43)))</formula>
    </cfRule>
  </conditionalFormatting>
  <conditionalFormatting sqref="E44">
    <cfRule type="containsText" dxfId="2791" priority="12" operator="containsText" text="WEB SERVICE">
      <formula>NOT(ISERROR(SEARCH("WEB SERVICE",E44)))</formula>
    </cfRule>
    <cfRule type="containsText" dxfId="2790" priority="13" operator="containsText" text="DB">
      <formula>NOT(ISERROR(SEARCH("DB",E44)))</formula>
    </cfRule>
  </conditionalFormatting>
  <conditionalFormatting sqref="C44">
    <cfRule type="expression" dxfId="2789" priority="15">
      <formula>$B44="Dial"</formula>
    </cfRule>
    <cfRule type="expression" dxfId="2788" priority="17">
      <formula>$B44="HANGUP"</formula>
    </cfRule>
  </conditionalFormatting>
  <conditionalFormatting sqref="C44">
    <cfRule type="expression" dxfId="2787" priority="16">
      <formula>$B44="Speak"</formula>
    </cfRule>
  </conditionalFormatting>
  <conditionalFormatting sqref="B8:B18">
    <cfRule type="containsText" dxfId="2786" priority="1" operator="containsText" text="Hear">
      <formula>NOT(ISERROR(SEARCH("Hear",B8)))</formula>
    </cfRule>
  </conditionalFormatting>
  <conditionalFormatting sqref="B36:B38 B40:B41">
    <cfRule type="containsText" dxfId="2785" priority="3" operator="containsText" text="Hear">
      <formula>NOT(ISERROR(SEARCH("Hear",B36)))</formula>
    </cfRule>
  </conditionalFormatting>
  <conditionalFormatting sqref="B19:B29 B31:B35 B42">
    <cfRule type="containsText" dxfId="2784" priority="5" operator="containsText" text="Hear">
      <formula>NOT(ISERROR(SEARCH("Hear",B19)))</formula>
    </cfRule>
  </conditionalFormatting>
  <hyperlinks>
    <hyperlink ref="A1" location="'Test Case Overview'!A1" display="Return to Test Case Overview" xr:uid="{0EFA7AE0-63D3-4C4C-9686-E31A8EE78F96}"/>
  </hyperlinks>
  <pageMargins left="0.7" right="0.7" top="0.75" bottom="0.75" header="0.3" footer="0.3"/>
  <pageSetup orientation="portrait" verticalDpi="0" r:id="rId1"/>
  <tableParts count="1">
    <tablePart r:id="rId2"/>
  </tableParts>
  <extLst>
    <ext xmlns:x14="http://schemas.microsoft.com/office/spreadsheetml/2009/9/main" uri="{78C0D931-6437-407d-A8EE-F0AAD7539E65}">
      <x14:conditionalFormattings>
        <x14:conditionalFormatting xmlns:xm="http://schemas.microsoft.com/office/excel/2006/main">
          <x14:cfRule type="expression" priority="8" id="{46212538-6F3B-4E7F-B6A0-3CDEB2BB62DD}">
            <xm:f>'TC1'!$B8="HANGUP"</xm:f>
            <x14:dxf>
              <font>
                <b/>
                <i val="0"/>
              </font>
            </x14:dxf>
          </x14:cfRule>
          <x14:cfRule type="expression" priority="9" id="{8EAE95ED-5847-48D0-9705-F9BE363CED88}">
            <xm:f>'TC1'!$B8="Dial"</xm:f>
            <x14:dxf>
              <font>
                <b/>
                <i val="0"/>
                <color rgb="FFFF0000"/>
              </font>
            </x14:dxf>
          </x14:cfRule>
          <xm:sqref>C8</xm:sqref>
        </x14:conditionalFormatting>
        <x14:conditionalFormatting xmlns:xm="http://schemas.microsoft.com/office/excel/2006/main">
          <x14:cfRule type="expression" priority="10" id="{A2D0F7A6-EA16-47B4-A5C9-623752122975}">
            <xm:f>'TC1'!$B8="Speak"</xm:f>
            <x14:dxf>
              <font>
                <b/>
                <i val="0"/>
                <color rgb="FFFF0000"/>
              </font>
            </x14:dxf>
          </x14:cfRule>
          <xm:sqref>C8</xm:sqref>
        </x14:conditionalFormatting>
        <x14:conditionalFormatting xmlns:xm="http://schemas.microsoft.com/office/excel/2006/main">
          <x14:cfRule type="containsText" priority="2" operator="containsText" text="Hear" id="{6D4AF874-14D9-4E16-BEF7-8224657C4800}">
            <xm:f>NOT(ISERROR(SEARCH("Hear",'TC3'!B34)))</xm:f>
            <x14:dxf>
              <font>
                <color theme="9" tint="-0.24994659260841701"/>
              </font>
              <fill>
                <patternFill>
                  <bgColor theme="9" tint="0.59996337778862885"/>
                </patternFill>
              </fill>
            </x14:dxf>
          </x14:cfRule>
          <xm:sqref>B41</xm:sqref>
        </x14:conditionalFormatting>
        <x14:conditionalFormatting xmlns:xm="http://schemas.microsoft.com/office/excel/2006/main">
          <x14:cfRule type="expression" priority="2263" id="{46212538-6F3B-4E7F-B6A0-3CDEB2BB62DD}">
            <xm:f>'TC1'!$B16="HANGUP"</xm:f>
            <x14:dxf>
              <font>
                <b/>
                <i val="0"/>
              </font>
            </x14:dxf>
          </x14:cfRule>
          <x14:cfRule type="expression" priority="2264" id="{8EAE95ED-5847-48D0-9705-F9BE363CED88}">
            <xm:f>'TC1'!$B16="Dial"</xm:f>
            <x14:dxf>
              <font>
                <b/>
                <i val="0"/>
                <color rgb="FFFF0000"/>
              </font>
            </x14:dxf>
          </x14:cfRule>
          <xm:sqref>C34:C43</xm:sqref>
        </x14:conditionalFormatting>
        <x14:conditionalFormatting xmlns:xm="http://schemas.microsoft.com/office/excel/2006/main">
          <x14:cfRule type="expression" priority="2265" id="{46212538-6F3B-4E7F-B6A0-3CDEB2BB62DD}">
            <xm:f>'TC1'!#REF!="HANGUP"</xm:f>
            <x14:dxf>
              <font>
                <b/>
                <i val="0"/>
              </font>
            </x14:dxf>
          </x14:cfRule>
          <x14:cfRule type="expression" priority="2266" id="{8EAE95ED-5847-48D0-9705-F9BE363CED88}">
            <xm:f>'TC1'!#REF!="Dial"</xm:f>
            <x14:dxf>
              <font>
                <b/>
                <i val="0"/>
                <color rgb="FFFF0000"/>
              </font>
            </x14:dxf>
          </x14:cfRule>
          <xm:sqref>C17:C33</xm:sqref>
        </x14:conditionalFormatting>
        <x14:conditionalFormatting xmlns:xm="http://schemas.microsoft.com/office/excel/2006/main">
          <x14:cfRule type="expression" priority="2270" id="{A2D0F7A6-EA16-47B4-A5C9-623752122975}">
            <xm:f>'TC1'!$B16="Speak"</xm:f>
            <x14:dxf>
              <font>
                <b/>
                <i val="0"/>
                <color rgb="FFFF0000"/>
              </font>
            </x14:dxf>
          </x14:cfRule>
          <xm:sqref>C34:C43</xm:sqref>
        </x14:conditionalFormatting>
        <x14:conditionalFormatting xmlns:xm="http://schemas.microsoft.com/office/excel/2006/main">
          <x14:cfRule type="expression" priority="2271" id="{A2D0F7A6-EA16-47B4-A5C9-623752122975}">
            <xm:f>'TC1'!#REF!="Speak"</xm:f>
            <x14:dxf>
              <font>
                <b/>
                <i val="0"/>
                <color rgb="FFFF0000"/>
              </font>
            </x14:dxf>
          </x14:cfRule>
          <xm:sqref>C17:C33</xm:sqref>
        </x14:conditionalFormatting>
        <x14:conditionalFormatting xmlns:xm="http://schemas.microsoft.com/office/excel/2006/main">
          <x14:cfRule type="containsText" priority="2275" operator="containsText" text="DB" id="{C5C8345E-8678-416C-BB42-8D18B5D9D5D1}">
            <xm:f>NOT(ISERROR(SEARCH("DB",'TC1'!E16)))</xm:f>
            <x14:dxf>
              <font>
                <color rgb="FF006100"/>
              </font>
              <fill>
                <patternFill>
                  <bgColor rgb="FFC6EFCE"/>
                </patternFill>
              </fill>
            </x14:dxf>
          </x14:cfRule>
          <x14:cfRule type="containsText" priority="2276" operator="containsText" text="WEB SERVICE" id="{61E4253B-9408-4EB3-B39B-6D52B411A0BA}">
            <xm:f>NOT(ISERROR(SEARCH("WEB SERVICE",'TC1'!E16)))</xm:f>
            <x14:dxf>
              <font>
                <color rgb="FF9C0006"/>
              </font>
              <fill>
                <patternFill>
                  <bgColor rgb="FFFFC7CE"/>
                </patternFill>
              </fill>
            </x14:dxf>
          </x14:cfRule>
          <xm:sqref>E34:E43</xm:sqref>
        </x14:conditionalFormatting>
        <x14:conditionalFormatting xmlns:xm="http://schemas.microsoft.com/office/excel/2006/main">
          <x14:cfRule type="containsText" priority="2277" operator="containsText" text="DB" id="{C5C8345E-8678-416C-BB42-8D18B5D9D5D1}">
            <xm:f>NOT(ISERROR(SEARCH("DB",'TC1'!#REF!)))</xm:f>
            <x14:dxf>
              <font>
                <color rgb="FF006100"/>
              </font>
              <fill>
                <patternFill>
                  <bgColor rgb="FFC6EFCE"/>
                </patternFill>
              </fill>
            </x14:dxf>
          </x14:cfRule>
          <x14:cfRule type="containsText" priority="2278" operator="containsText" text="WEB SERVICE" id="{61E4253B-9408-4EB3-B39B-6D52B411A0BA}">
            <xm:f>NOT(ISERROR(SEARCH("WEB SERVICE",'TC1'!#REF!)))</xm:f>
            <x14:dxf>
              <font>
                <color rgb="FF9C0006"/>
              </font>
              <fill>
                <patternFill>
                  <bgColor rgb="FFFFC7CE"/>
                </patternFill>
              </fill>
            </x14:dxf>
          </x14:cfRule>
          <xm:sqref>E17:E33</xm:sqref>
        </x14:conditionalFormatting>
        <x14:conditionalFormatting xmlns:xm="http://schemas.microsoft.com/office/excel/2006/main">
          <x14:cfRule type="expression" priority="4975" id="{46212538-6F3B-4E7F-B6A0-3CDEB2BB62DD}">
            <xm:f>'TC1'!$B9="HANGUP"</xm:f>
            <x14:dxf>
              <font>
                <b/>
                <i val="0"/>
              </font>
            </x14:dxf>
          </x14:cfRule>
          <x14:cfRule type="expression" priority="4976" id="{8EAE95ED-5847-48D0-9705-F9BE363CED88}">
            <xm:f>'TC1'!$B9="Dial"</xm:f>
            <x14:dxf>
              <font>
                <b/>
                <i val="0"/>
                <color rgb="FFFF0000"/>
              </font>
            </x14:dxf>
          </x14:cfRule>
          <xm:sqref>C12:C15</xm:sqref>
        </x14:conditionalFormatting>
        <x14:conditionalFormatting xmlns:xm="http://schemas.microsoft.com/office/excel/2006/main">
          <x14:cfRule type="expression" priority="4977" id="{46212538-6F3B-4E7F-B6A0-3CDEB2BB62DD}">
            <xm:f>'TC1'!#REF!="HANGUP"</xm:f>
            <x14:dxf>
              <font>
                <b/>
                <i val="0"/>
              </font>
            </x14:dxf>
          </x14:cfRule>
          <x14:cfRule type="expression" priority="4978" id="{8EAE95ED-5847-48D0-9705-F9BE363CED88}">
            <xm:f>'TC1'!#REF!="Dial"</xm:f>
            <x14:dxf>
              <font>
                <b/>
                <i val="0"/>
                <color rgb="FFFF0000"/>
              </font>
            </x14:dxf>
          </x14:cfRule>
          <xm:sqref>C9:C11</xm:sqref>
        </x14:conditionalFormatting>
        <x14:conditionalFormatting xmlns:xm="http://schemas.microsoft.com/office/excel/2006/main">
          <x14:cfRule type="expression" priority="4982" id="{A2D0F7A6-EA16-47B4-A5C9-623752122975}">
            <xm:f>'TC1'!$B9="Speak"</xm:f>
            <x14:dxf>
              <font>
                <b/>
                <i val="0"/>
                <color rgb="FFFF0000"/>
              </font>
            </x14:dxf>
          </x14:cfRule>
          <xm:sqref>C12:C15</xm:sqref>
        </x14:conditionalFormatting>
        <x14:conditionalFormatting xmlns:xm="http://schemas.microsoft.com/office/excel/2006/main">
          <x14:cfRule type="expression" priority="4983" id="{A2D0F7A6-EA16-47B4-A5C9-623752122975}">
            <xm:f>'TC1'!#REF!="Speak"</xm:f>
            <x14:dxf>
              <font>
                <b/>
                <i val="0"/>
                <color rgb="FFFF0000"/>
              </font>
            </x14:dxf>
          </x14:cfRule>
          <xm:sqref>C9:C11</xm:sqref>
        </x14:conditionalFormatting>
        <x14:conditionalFormatting xmlns:xm="http://schemas.microsoft.com/office/excel/2006/main">
          <x14:cfRule type="containsText" priority="4985" operator="containsText" text="DB" id="{C5C8345E-8678-416C-BB42-8D18B5D9D5D1}">
            <xm:f>NOT(ISERROR(SEARCH("DB",'TC1'!#REF!)))</xm:f>
            <x14:dxf>
              <font>
                <color rgb="FF006100"/>
              </font>
              <fill>
                <patternFill>
                  <bgColor rgb="FFC6EFCE"/>
                </patternFill>
              </fill>
            </x14:dxf>
          </x14:cfRule>
          <x14:cfRule type="containsText" priority="4986" operator="containsText" text="WEB SERVICE" id="{61E4253B-9408-4EB3-B39B-6D52B411A0BA}">
            <xm:f>NOT(ISERROR(SEARCH("WEB SERVICE",'TC1'!#REF!)))</xm:f>
            <x14:dxf>
              <font>
                <color rgb="FF9C0006"/>
              </font>
              <fill>
                <patternFill>
                  <bgColor rgb="FFFFC7CE"/>
                </patternFill>
              </fill>
            </x14:dxf>
          </x14:cfRule>
          <xm:sqref>E9:E11</xm:sqref>
        </x14:conditionalFormatting>
        <x14:conditionalFormatting xmlns:xm="http://schemas.microsoft.com/office/excel/2006/main">
          <x14:cfRule type="containsText" priority="4987" operator="containsText" text="DB" id="{C5C8345E-8678-416C-BB42-8D18B5D9D5D1}">
            <xm:f>NOT(ISERROR(SEARCH("DB",'TC1'!E9)))</xm:f>
            <x14:dxf>
              <font>
                <color rgb="FF006100"/>
              </font>
              <fill>
                <patternFill>
                  <bgColor rgb="FFC6EFCE"/>
                </patternFill>
              </fill>
            </x14:dxf>
          </x14:cfRule>
          <x14:cfRule type="containsText" priority="4988" operator="containsText" text="WEB SERVICE" id="{61E4253B-9408-4EB3-B39B-6D52B411A0BA}">
            <xm:f>NOT(ISERROR(SEARCH("WEB SERVICE",'TC1'!E9)))</xm:f>
            <x14:dxf>
              <font>
                <color rgb="FF9C0006"/>
              </font>
              <fill>
                <patternFill>
                  <bgColor rgb="FFFFC7CE"/>
                </patternFill>
              </fill>
            </x14:dxf>
          </x14:cfRule>
          <xm:sqref>E12:E15</xm:sqref>
        </x14:conditionalFormatting>
        <x14:conditionalFormatting xmlns:xm="http://schemas.microsoft.com/office/excel/2006/main">
          <x14:cfRule type="expression" priority="7325" id="{46212538-6F3B-4E7F-B6A0-3CDEB2BB62DD}">
            <xm:f>'TC1'!$B15="HANGUP"</xm:f>
            <x14:dxf>
              <font>
                <b/>
                <i val="0"/>
              </font>
            </x14:dxf>
          </x14:cfRule>
          <x14:cfRule type="expression" priority="7326" id="{8EAE95ED-5847-48D0-9705-F9BE363CED88}">
            <xm:f>'TC1'!$B15="Dial"</xm:f>
            <x14:dxf>
              <font>
                <b/>
                <i val="0"/>
                <color rgb="FFFF0000"/>
              </font>
            </x14:dxf>
          </x14:cfRule>
          <xm:sqref>C16</xm:sqref>
        </x14:conditionalFormatting>
        <x14:conditionalFormatting xmlns:xm="http://schemas.microsoft.com/office/excel/2006/main">
          <x14:cfRule type="expression" priority="7328" id="{A2D0F7A6-EA16-47B4-A5C9-623752122975}">
            <xm:f>'TC1'!$B15="Speak"</xm:f>
            <x14:dxf>
              <font>
                <b/>
                <i val="0"/>
                <color rgb="FFFF0000"/>
              </font>
            </x14:dxf>
          </x14:cfRule>
          <xm:sqref>C16</xm:sqref>
        </x14:conditionalFormatting>
        <x14:conditionalFormatting xmlns:xm="http://schemas.microsoft.com/office/excel/2006/main">
          <x14:cfRule type="containsText" priority="7331" operator="containsText" text="DB" id="{C5C8345E-8678-416C-BB42-8D18B5D9D5D1}">
            <xm:f>NOT(ISERROR(SEARCH("DB",'TC1'!E15)))</xm:f>
            <x14:dxf>
              <font>
                <color rgb="FF006100"/>
              </font>
              <fill>
                <patternFill>
                  <bgColor rgb="FFC6EFCE"/>
                </patternFill>
              </fill>
            </x14:dxf>
          </x14:cfRule>
          <x14:cfRule type="containsText" priority="7332" operator="containsText" text="WEB SERVICE" id="{61E4253B-9408-4EB3-B39B-6D52B411A0BA}">
            <xm:f>NOT(ISERROR(SEARCH("WEB SERVICE",'TC1'!E15)))</xm:f>
            <x14:dxf>
              <font>
                <color rgb="FF9C0006"/>
              </font>
              <fill>
                <patternFill>
                  <bgColor rgb="FFFFC7CE"/>
                </patternFill>
              </fill>
            </x14:dxf>
          </x14:cfRule>
          <xm:sqref>E16</xm:sqref>
        </x14:conditionalFormatting>
        <x14:conditionalFormatting xmlns:xm="http://schemas.microsoft.com/office/excel/2006/main">
          <x14:cfRule type="containsText" priority="9834" operator="containsText" text="Hear" id="{5791F1B1-AAEC-43BE-A89A-EE58E4553CEA}">
            <xm:f>NOT(ISERROR(SEARCH("Hear",'TC26'!#REF!)))</xm:f>
            <x14:dxf>
              <font>
                <color theme="9" tint="-0.24994659260841701"/>
              </font>
              <fill>
                <patternFill>
                  <bgColor theme="9" tint="0.59996337778862885"/>
                </patternFill>
              </fill>
            </x14:dxf>
          </x14:cfRule>
          <xm:sqref>B39</xm:sqref>
        </x14:conditionalFormatting>
      </x14:conditionalFormattings>
    </ext>
  </extLst>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500-000000000000}">
  <sheetPr codeName="Sheet103"/>
  <dimension ref="A1:E44"/>
  <sheetViews>
    <sheetView zoomScaleNormal="100" workbookViewId="0">
      <selection sqref="A1:E44"/>
    </sheetView>
  </sheetViews>
  <sheetFormatPr defaultRowHeight="14.5" x14ac:dyDescent="0.35"/>
  <cols>
    <col min="1" max="1" width="14.453125" bestFit="1" customWidth="1"/>
    <col min="2" max="2" width="42.6328125" customWidth="1"/>
    <col min="3" max="3" width="106.1796875" customWidth="1"/>
    <col min="4" max="4" width="21.81640625" bestFit="1" customWidth="1"/>
    <col min="5" max="5" width="20.6328125" customWidth="1"/>
  </cols>
  <sheetData>
    <row r="1" spans="1:5" ht="18.5" x14ac:dyDescent="0.35">
      <c r="A1" s="192" t="s">
        <v>4</v>
      </c>
      <c r="B1" s="192"/>
      <c r="C1" s="105"/>
      <c r="D1" s="111"/>
      <c r="E1" s="97"/>
    </row>
    <row r="2" spans="1:5" x14ac:dyDescent="0.35">
      <c r="A2" s="106" t="s">
        <v>5</v>
      </c>
      <c r="B2" s="107" t="str">
        <f ca="1">MID(CELL("filename",A1),FIND("]",CELL("filename",A1))+1,LEN(CELL("filename",A1))-FIND("]",CELL("filename",A1)))</f>
        <v>TC101</v>
      </c>
      <c r="C2" s="98"/>
      <c r="D2" s="111"/>
      <c r="E2" s="97"/>
    </row>
    <row r="3" spans="1:5" x14ac:dyDescent="0.35">
      <c r="A3" s="104" t="s">
        <v>19</v>
      </c>
      <c r="B3" s="112">
        <f ca="1">VLOOKUP(B2,Table53[#All],2,FALSE)</f>
        <v>0</v>
      </c>
      <c r="C3" s="98"/>
      <c r="D3" s="111"/>
      <c r="E3" s="97"/>
    </row>
    <row r="4" spans="1:5" ht="29" x14ac:dyDescent="0.35">
      <c r="A4" s="113" t="s">
        <v>20</v>
      </c>
      <c r="B4" s="99">
        <f ca="1">VLOOKUP(B2,Table53[#All],4,FALSE)</f>
        <v>0</v>
      </c>
      <c r="C4" s="98"/>
      <c r="D4" s="111"/>
      <c r="E4" s="97"/>
    </row>
    <row r="5" spans="1:5" x14ac:dyDescent="0.35">
      <c r="A5" s="104" t="s">
        <v>6</v>
      </c>
      <c r="B5" s="77">
        <f ca="1">VLOOKUP(B2,Table53[#All],3,FALSE)</f>
        <v>0</v>
      </c>
      <c r="C5" s="98"/>
      <c r="D5" s="111"/>
      <c r="E5" s="97"/>
    </row>
    <row r="6" spans="1:5" x14ac:dyDescent="0.35">
      <c r="A6" s="97"/>
      <c r="B6" s="97"/>
      <c r="C6" s="98"/>
      <c r="D6" s="111"/>
      <c r="E6" s="97"/>
    </row>
    <row r="7" spans="1:5" ht="15.5" x14ac:dyDescent="0.35">
      <c r="A7" s="100" t="s">
        <v>7</v>
      </c>
      <c r="B7" s="101" t="s">
        <v>8</v>
      </c>
      <c r="C7" s="102" t="s">
        <v>9</v>
      </c>
      <c r="D7" s="102" t="s">
        <v>14</v>
      </c>
      <c r="E7" s="103" t="s">
        <v>10</v>
      </c>
    </row>
    <row r="8" spans="1:5" x14ac:dyDescent="0.35">
      <c r="A8" s="118">
        <v>1</v>
      </c>
      <c r="B8" s="114" t="s">
        <v>114</v>
      </c>
      <c r="C8" s="109" t="s">
        <v>125</v>
      </c>
      <c r="D8" s="128"/>
      <c r="E8" s="125" t="s">
        <v>11</v>
      </c>
    </row>
    <row r="9" spans="1:5" x14ac:dyDescent="0.35">
      <c r="A9" s="118">
        <v>2</v>
      </c>
      <c r="B9" s="114" t="s">
        <v>12</v>
      </c>
      <c r="C9" s="109" t="e">
        <f>VLOOKUP(Table2575199127[[#This Row],[PEG]],Table1016[#All],2,FALSE)</f>
        <v>#N/A</v>
      </c>
      <c r="D9" s="128"/>
      <c r="E9" s="125" t="e">
        <f>VLOOKUP(Table2575199127[[#This Row],[PEG]],Table1016[#All],3,FALSE)</f>
        <v>#N/A</v>
      </c>
    </row>
    <row r="10" spans="1:5" x14ac:dyDescent="0.35">
      <c r="A10" s="118">
        <v>3</v>
      </c>
      <c r="B10" s="114" t="s">
        <v>115</v>
      </c>
      <c r="C10" s="109" t="e">
        <f>VLOOKUP(Table2575199127[[#This Row],[PEG]],Table1016[#All],2,FALSE)</f>
        <v>#N/A</v>
      </c>
      <c r="D10" s="128"/>
      <c r="E10" s="125" t="e">
        <f>VLOOKUP(Table2575199127[[#This Row],[PEG]],Table1016[#All],3,FALSE)</f>
        <v>#N/A</v>
      </c>
    </row>
    <row r="11" spans="1:5" x14ac:dyDescent="0.35">
      <c r="A11" s="118">
        <v>4</v>
      </c>
      <c r="B11" s="114" t="s">
        <v>115</v>
      </c>
      <c r="C11" s="109" t="e">
        <f>VLOOKUP(Table2575199127[[#This Row],[PEG]],Table1016[#All],2,FALSE)</f>
        <v>#N/A</v>
      </c>
      <c r="D11" s="128"/>
      <c r="E11" s="125" t="e">
        <f>VLOOKUP(Table2575199127[[#This Row],[PEG]],Table1016[#All],3,FALSE)</f>
        <v>#N/A</v>
      </c>
    </row>
    <row r="12" spans="1:5" x14ac:dyDescent="0.35">
      <c r="A12" s="118">
        <v>5</v>
      </c>
      <c r="B12" s="114" t="s">
        <v>114</v>
      </c>
      <c r="C12" s="109" t="e">
        <f>VLOOKUP(Table2575199127[[#This Row],[PEG]],Table1016[#All],2,FALSE)</f>
        <v>#N/A</v>
      </c>
      <c r="D12" s="128"/>
      <c r="E12" s="125" t="e">
        <f>VLOOKUP(Table2575199127[[#This Row],[PEG]],Table1016[#All],3,FALSE)</f>
        <v>#N/A</v>
      </c>
    </row>
    <row r="13" spans="1:5" x14ac:dyDescent="0.35">
      <c r="A13" s="118">
        <v>6</v>
      </c>
      <c r="B13" s="114" t="s">
        <v>115</v>
      </c>
      <c r="C13" s="109" t="e">
        <f>VLOOKUP(Table2575199127[[#This Row],[PEG]],Table1016[#All],2,FALSE)</f>
        <v>#N/A</v>
      </c>
      <c r="D13" s="128"/>
      <c r="E13" s="125" t="e">
        <f>VLOOKUP(Table2575199127[[#This Row],[PEG]],Table1016[#All],3,FALSE)</f>
        <v>#N/A</v>
      </c>
    </row>
    <row r="14" spans="1:5" x14ac:dyDescent="0.35">
      <c r="A14" s="118">
        <v>7</v>
      </c>
      <c r="B14" s="114" t="s">
        <v>114</v>
      </c>
      <c r="C14" s="109" t="e">
        <f>VLOOKUP(Table2575199127[[#This Row],[PEG]],Table1016[#All],2,FALSE)</f>
        <v>#N/A</v>
      </c>
      <c r="D14" s="128"/>
      <c r="E14" s="125" t="e">
        <f>VLOOKUP(Table2575199127[[#This Row],[PEG]],Table1016[#All],3,FALSE)</f>
        <v>#N/A</v>
      </c>
    </row>
    <row r="15" spans="1:5" x14ac:dyDescent="0.35">
      <c r="A15" s="118">
        <v>8</v>
      </c>
      <c r="B15" s="114" t="s">
        <v>115</v>
      </c>
      <c r="C15" s="109" t="e">
        <f>VLOOKUP(Table2575199127[[#This Row],[PEG]],Table1016[#All],2,FALSE)</f>
        <v>#N/A</v>
      </c>
      <c r="D15" s="116"/>
      <c r="E15" s="125" t="e">
        <f>VLOOKUP(Table2575199127[[#This Row],[PEG]],Table1016[#All],3,FALSE)</f>
        <v>#N/A</v>
      </c>
    </row>
    <row r="16" spans="1:5" x14ac:dyDescent="0.35">
      <c r="A16" s="118">
        <v>9</v>
      </c>
      <c r="B16" s="114" t="s">
        <v>12</v>
      </c>
      <c r="C16" s="109" t="e">
        <f>VLOOKUP(Table2575199127[[#This Row],[PEG]],Table1016[#All],2,FALSE)</f>
        <v>#N/A</v>
      </c>
      <c r="D16" s="116"/>
      <c r="E16" s="125" t="e">
        <f>VLOOKUP(Table2575199127[[#This Row],[PEG]],Table1016[#All],3,FALSE)</f>
        <v>#N/A</v>
      </c>
    </row>
    <row r="17" spans="1:5" x14ac:dyDescent="0.35">
      <c r="A17" s="118">
        <v>10</v>
      </c>
      <c r="B17" s="114" t="s">
        <v>12</v>
      </c>
      <c r="C17" s="109" t="e">
        <f>VLOOKUP(Table2575199127[[#This Row],[PEG]],Table1016[#All],2,FALSE)</f>
        <v>#N/A</v>
      </c>
      <c r="D17" s="117"/>
      <c r="E17" s="125" t="e">
        <f>VLOOKUP(Table2575199127[[#This Row],[PEG]],Table1016[#All],3,FALSE)</f>
        <v>#N/A</v>
      </c>
    </row>
    <row r="18" spans="1:5" x14ac:dyDescent="0.35">
      <c r="A18" s="118">
        <v>11</v>
      </c>
      <c r="B18" s="114" t="s">
        <v>115</v>
      </c>
      <c r="C18" s="109" t="e">
        <f>VLOOKUP(Table2575199127[[#This Row],[PEG]],Table1016[#All],2,FALSE)</f>
        <v>#N/A</v>
      </c>
      <c r="D18" s="117"/>
      <c r="E18" s="125" t="e">
        <f>VLOOKUP(Table2575199127[[#This Row],[PEG]],Table1016[#All],3,FALSE)</f>
        <v>#N/A</v>
      </c>
    </row>
    <row r="19" spans="1:5" x14ac:dyDescent="0.35">
      <c r="A19" s="118">
        <v>12</v>
      </c>
      <c r="B19" s="114" t="s">
        <v>115</v>
      </c>
      <c r="C19" s="109" t="e">
        <f>VLOOKUP(Table2575199127[[#This Row],[PEG]],Table1016[#All],2,FALSE)</f>
        <v>#N/A</v>
      </c>
      <c r="D19" s="117"/>
      <c r="E19" s="125" t="e">
        <f>VLOOKUP(Table2575199127[[#This Row],[PEG]],Table1016[#All],3,FALSE)</f>
        <v>#N/A</v>
      </c>
    </row>
    <row r="20" spans="1:5" x14ac:dyDescent="0.35">
      <c r="A20" s="118">
        <v>13</v>
      </c>
      <c r="B20" s="114" t="s">
        <v>114</v>
      </c>
      <c r="C20" s="109" t="e">
        <f>VLOOKUP(Table2575199127[[#This Row],[PEG]],Table1016[#All],2,FALSE)</f>
        <v>#N/A</v>
      </c>
      <c r="D20" s="117"/>
      <c r="E20" s="125" t="e">
        <f>VLOOKUP(Table2575199127[[#This Row],[PEG]],Table1016[#All],3,FALSE)</f>
        <v>#N/A</v>
      </c>
    </row>
    <row r="21" spans="1:5" x14ac:dyDescent="0.35">
      <c r="A21" s="118">
        <v>14</v>
      </c>
      <c r="B21" s="114" t="s">
        <v>12</v>
      </c>
      <c r="C21" s="109" t="e">
        <f>VLOOKUP(Table2575199127[[#This Row],[PEG]],Table1016[#All],2,FALSE)</f>
        <v>#N/A</v>
      </c>
      <c r="D21" s="117"/>
      <c r="E21" s="125" t="e">
        <f>VLOOKUP(Table2575199127[[#This Row],[PEG]],Table1016[#All],3,FALSE)</f>
        <v>#N/A</v>
      </c>
    </row>
    <row r="22" spans="1:5" x14ac:dyDescent="0.35">
      <c r="A22" s="118">
        <v>15</v>
      </c>
      <c r="B22" s="114" t="s">
        <v>12</v>
      </c>
      <c r="C22" s="109" t="e">
        <f>VLOOKUP(Table2575199127[[#This Row],[PEG]],Table1016[#All],2,FALSE)</f>
        <v>#N/A</v>
      </c>
      <c r="D22" s="117"/>
      <c r="E22" s="125" t="e">
        <f>VLOOKUP(Table2575199127[[#This Row],[PEG]],Table1016[#All],3,FALSE)</f>
        <v>#N/A</v>
      </c>
    </row>
    <row r="23" spans="1:5" x14ac:dyDescent="0.35">
      <c r="A23" s="118">
        <v>16</v>
      </c>
      <c r="B23" s="114" t="s">
        <v>115</v>
      </c>
      <c r="C23" s="109" t="e">
        <f>VLOOKUP(Table2575199127[[#This Row],[PEG]],Table1016[#All],2,FALSE)</f>
        <v>#N/A</v>
      </c>
      <c r="D23" s="117"/>
      <c r="E23" s="125" t="e">
        <f>VLOOKUP(Table2575199127[[#This Row],[PEG]],Table1016[#All],3,FALSE)</f>
        <v>#N/A</v>
      </c>
    </row>
    <row r="24" spans="1:5" x14ac:dyDescent="0.35">
      <c r="A24" s="118">
        <v>17</v>
      </c>
      <c r="B24" s="114" t="s">
        <v>114</v>
      </c>
      <c r="C24" s="109" t="e">
        <f>VLOOKUP(Table2575199127[[#This Row],[PEG]],Table1016[#All],2,FALSE)</f>
        <v>#N/A</v>
      </c>
      <c r="D24" s="117"/>
      <c r="E24" s="125" t="e">
        <f>VLOOKUP(Table2575199127[[#This Row],[PEG]],Table1016[#All],3,FALSE)</f>
        <v>#N/A</v>
      </c>
    </row>
    <row r="25" spans="1:5" x14ac:dyDescent="0.35">
      <c r="A25" s="118">
        <v>18</v>
      </c>
      <c r="B25" s="114" t="s">
        <v>12</v>
      </c>
      <c r="C25" s="109" t="e">
        <f>VLOOKUP(Table2575199127[[#This Row],[PEG]],Table1016[#All],2,FALSE)</f>
        <v>#N/A</v>
      </c>
      <c r="D25" s="117"/>
      <c r="E25" s="125" t="e">
        <f>VLOOKUP(Table2575199127[[#This Row],[PEG]],Table1016[#All],3,FALSE)</f>
        <v>#N/A</v>
      </c>
    </row>
    <row r="26" spans="1:5" x14ac:dyDescent="0.35">
      <c r="A26" s="118">
        <v>19</v>
      </c>
      <c r="B26" s="114" t="s">
        <v>12</v>
      </c>
      <c r="C26" s="109" t="e">
        <f>VLOOKUP(Table2575199127[[#This Row],[PEG]],Table1016[#All],2,FALSE)</f>
        <v>#N/A</v>
      </c>
      <c r="D26" s="117"/>
      <c r="E26" s="125" t="e">
        <f>VLOOKUP(Table2575199127[[#This Row],[PEG]],Table1016[#All],3,FALSE)</f>
        <v>#N/A</v>
      </c>
    </row>
    <row r="27" spans="1:5" x14ac:dyDescent="0.35">
      <c r="A27" s="118">
        <v>20</v>
      </c>
      <c r="B27" s="114" t="s">
        <v>115</v>
      </c>
      <c r="C27" s="109" t="e">
        <f>VLOOKUP(Table2575199127[[#This Row],[PEG]],Table1016[#All],2,FALSE)</f>
        <v>#N/A</v>
      </c>
      <c r="D27" s="117"/>
      <c r="E27" s="125" t="e">
        <f>VLOOKUP(Table2575199127[[#This Row],[PEG]],Table1016[#All],3,FALSE)</f>
        <v>#N/A</v>
      </c>
    </row>
    <row r="28" spans="1:5" x14ac:dyDescent="0.35">
      <c r="A28" s="118">
        <v>21</v>
      </c>
      <c r="B28" s="114" t="s">
        <v>114</v>
      </c>
      <c r="C28" s="109" t="e">
        <f>VLOOKUP(Table2575199127[[#This Row],[PEG]],Table1016[#All],2,FALSE)</f>
        <v>#N/A</v>
      </c>
      <c r="D28" s="117"/>
      <c r="E28" s="125" t="e">
        <f>VLOOKUP(Table2575199127[[#This Row],[PEG]],Table1016[#All],3,FALSE)</f>
        <v>#N/A</v>
      </c>
    </row>
    <row r="29" spans="1:5" x14ac:dyDescent="0.35">
      <c r="A29" s="118">
        <v>22</v>
      </c>
      <c r="B29" s="114" t="s">
        <v>12</v>
      </c>
      <c r="C29" s="109" t="e">
        <f>VLOOKUP(Table2575199127[[#This Row],[PEG]],Table1016[#All],2,FALSE)</f>
        <v>#N/A</v>
      </c>
      <c r="D29" s="117"/>
      <c r="E29" s="125" t="e">
        <f>VLOOKUP(Table2575199127[[#This Row],[PEG]],Table1016[#All],3,FALSE)</f>
        <v>#N/A</v>
      </c>
    </row>
    <row r="30" spans="1:5" x14ac:dyDescent="0.35">
      <c r="A30" s="118">
        <v>23</v>
      </c>
      <c r="B30" s="114" t="s">
        <v>12</v>
      </c>
      <c r="C30" s="109" t="e">
        <f>VLOOKUP(Table2575199127[[#This Row],[PEG]],Table1016[#All],2,FALSE)</f>
        <v>#N/A</v>
      </c>
      <c r="D30" s="117"/>
      <c r="E30" s="125" t="e">
        <f>VLOOKUP(Table2575199127[[#This Row],[PEG]],Table1016[#All],3,FALSE)</f>
        <v>#N/A</v>
      </c>
    </row>
    <row r="31" spans="1:5" x14ac:dyDescent="0.35">
      <c r="A31" s="118">
        <v>24</v>
      </c>
      <c r="B31" s="114" t="s">
        <v>115</v>
      </c>
      <c r="C31" s="109" t="e">
        <f>VLOOKUP(Table2575199127[[#This Row],[PEG]],Table1016[#All],2,FALSE)</f>
        <v>#N/A</v>
      </c>
      <c r="D31" s="117"/>
      <c r="E31" s="125" t="e">
        <f>VLOOKUP(Table2575199127[[#This Row],[PEG]],Table1016[#All],3,FALSE)</f>
        <v>#N/A</v>
      </c>
    </row>
    <row r="32" spans="1:5" x14ac:dyDescent="0.35">
      <c r="A32" s="118">
        <v>25</v>
      </c>
      <c r="B32" s="114" t="s">
        <v>115</v>
      </c>
      <c r="C32" s="109" t="e">
        <f>VLOOKUP(Table2575199127[[#This Row],[PEG]],Table1016[#All],2,FALSE)</f>
        <v>#N/A</v>
      </c>
      <c r="D32" s="117"/>
      <c r="E32" s="125" t="e">
        <f>VLOOKUP(Table2575199127[[#This Row],[PEG]],Table1016[#All],3,FALSE)</f>
        <v>#N/A</v>
      </c>
    </row>
    <row r="33" spans="1:5" x14ac:dyDescent="0.35">
      <c r="A33" s="118">
        <v>26</v>
      </c>
      <c r="B33" s="114" t="s">
        <v>124</v>
      </c>
      <c r="C33" s="109" t="e">
        <f>VLOOKUP(Table2575199127[[#This Row],[PEG]],Table1016[#All],2,FALSE)</f>
        <v>#N/A</v>
      </c>
      <c r="D33" s="117"/>
      <c r="E33" s="125" t="e">
        <f>VLOOKUP(Table2575199127[[#This Row],[PEG]],Table1016[#All],3,FALSE)</f>
        <v>#N/A</v>
      </c>
    </row>
    <row r="34" spans="1:5" x14ac:dyDescent="0.35">
      <c r="A34" s="118">
        <v>27</v>
      </c>
      <c r="B34" s="114" t="s">
        <v>115</v>
      </c>
      <c r="C34" s="109" t="e">
        <f>VLOOKUP(Table2575199127[[#This Row],[PEG]],Table1016[#All],2,FALSE)</f>
        <v>#N/A</v>
      </c>
      <c r="D34" s="117"/>
      <c r="E34" s="125" t="e">
        <f>VLOOKUP(Table2575199127[[#This Row],[PEG]],Table1016[#All],3,FALSE)</f>
        <v>#N/A</v>
      </c>
    </row>
    <row r="35" spans="1:5" x14ac:dyDescent="0.35">
      <c r="A35" s="118">
        <v>28</v>
      </c>
      <c r="B35" s="114" t="s">
        <v>124</v>
      </c>
      <c r="C35" s="109" t="e">
        <f>VLOOKUP(Table2575199127[[#This Row],[PEG]],Table1016[#All],2,FALSE)</f>
        <v>#N/A</v>
      </c>
      <c r="D35" s="117"/>
      <c r="E35" s="125" t="e">
        <f>VLOOKUP(Table2575199127[[#This Row],[PEG]],Table1016[#All],3,FALSE)</f>
        <v>#N/A</v>
      </c>
    </row>
    <row r="36" spans="1:5" x14ac:dyDescent="0.35">
      <c r="A36" s="118">
        <v>29</v>
      </c>
      <c r="B36" s="114" t="s">
        <v>115</v>
      </c>
      <c r="C36" s="109" t="e">
        <f>VLOOKUP(Table2575199127[[#This Row],[PEG]],Table1016[#All],2,FALSE)</f>
        <v>#N/A</v>
      </c>
      <c r="D36" s="117"/>
      <c r="E36" s="125" t="e">
        <f>VLOOKUP(Table2575199127[[#This Row],[PEG]],Table1016[#All],3,FALSE)</f>
        <v>#N/A</v>
      </c>
    </row>
    <row r="37" spans="1:5" x14ac:dyDescent="0.35">
      <c r="A37" s="118">
        <v>30</v>
      </c>
      <c r="B37" s="114" t="s">
        <v>12</v>
      </c>
      <c r="C37" s="109" t="e">
        <f>VLOOKUP(Table2575199127[[#This Row],[PEG]],Table1016[#All],2,FALSE)</f>
        <v>#N/A</v>
      </c>
      <c r="D37" s="117"/>
      <c r="E37" s="125" t="e">
        <f>VLOOKUP(Table2575199127[[#This Row],[PEG]],Table1016[#All],3,FALSE)</f>
        <v>#N/A</v>
      </c>
    </row>
    <row r="38" spans="1:5" x14ac:dyDescent="0.35">
      <c r="A38" s="118">
        <v>31</v>
      </c>
      <c r="B38" s="114" t="s">
        <v>12</v>
      </c>
      <c r="C38" s="109" t="e">
        <f>VLOOKUP(Table2575199127[[#This Row],[PEG]],Table1016[#All],2,FALSE)</f>
        <v>#N/A</v>
      </c>
      <c r="D38" s="117"/>
      <c r="E38" s="125" t="e">
        <f>VLOOKUP(Table2575199127[[#This Row],[PEG]],Table1016[#All],3,FALSE)</f>
        <v>#N/A</v>
      </c>
    </row>
    <row r="39" spans="1:5" x14ac:dyDescent="0.35">
      <c r="A39" s="118">
        <v>32</v>
      </c>
      <c r="B39" s="114" t="s">
        <v>12</v>
      </c>
      <c r="C39" s="109" t="e">
        <f>VLOOKUP(Table2575199127[[#This Row],[PEG]],Table1016[#All],2,FALSE)</f>
        <v>#N/A</v>
      </c>
      <c r="D39" s="117"/>
      <c r="E39" s="125" t="e">
        <f>VLOOKUP(Table2575199127[[#This Row],[PEG]],Table1016[#All],3,FALSE)</f>
        <v>#N/A</v>
      </c>
    </row>
    <row r="40" spans="1:5" x14ac:dyDescent="0.35">
      <c r="A40" s="118">
        <v>33</v>
      </c>
      <c r="B40" s="114" t="s">
        <v>12</v>
      </c>
      <c r="C40" s="109" t="e">
        <f>VLOOKUP(Table2575199127[[#This Row],[PEG]],Table1016[#All],2,FALSE)</f>
        <v>#N/A</v>
      </c>
      <c r="D40" s="117"/>
      <c r="E40" s="125" t="e">
        <f>VLOOKUP(Table2575199127[[#This Row],[PEG]],Table1016[#All],3,FALSE)</f>
        <v>#N/A</v>
      </c>
    </row>
    <row r="41" spans="1:5" x14ac:dyDescent="0.35">
      <c r="A41" s="118">
        <v>34</v>
      </c>
      <c r="B41" s="114" t="s">
        <v>115</v>
      </c>
      <c r="C41" s="109" t="e">
        <f>VLOOKUP(Table2575199127[[#This Row],[PEG]],Table1016[#All],2,FALSE)</f>
        <v>#N/A</v>
      </c>
      <c r="D41" s="117"/>
      <c r="E41" s="125" t="e">
        <f>VLOOKUP(Table2575199127[[#This Row],[PEG]],Table1016[#All],3,FALSE)</f>
        <v>#N/A</v>
      </c>
    </row>
    <row r="42" spans="1:5" x14ac:dyDescent="0.35">
      <c r="A42" s="118">
        <v>35</v>
      </c>
      <c r="B42" s="114" t="s">
        <v>12</v>
      </c>
      <c r="C42" s="109" t="e">
        <f>VLOOKUP(Table2575199127[[#This Row],[PEG]],Table1016[#All],2,FALSE)</f>
        <v>#N/A</v>
      </c>
      <c r="D42" s="115"/>
      <c r="E42" s="125" t="e">
        <f>VLOOKUP(Table2575199127[[#This Row],[PEG]],Table1016[#All],3,FALSE)</f>
        <v>#N/A</v>
      </c>
    </row>
    <row r="43" spans="1:5" x14ac:dyDescent="0.35">
      <c r="A43" s="118">
        <v>36</v>
      </c>
      <c r="B43" s="114" t="s">
        <v>115</v>
      </c>
      <c r="C43" s="109" t="e">
        <f>VLOOKUP(Table2575199127[[#This Row],[PEG]],Table1016[#All],2,FALSE)</f>
        <v>#N/A</v>
      </c>
      <c r="D43" s="115"/>
      <c r="E43" s="125" t="e">
        <f>VLOOKUP(Table2575199127[[#This Row],[PEG]],Table1016[#All],3,FALSE)</f>
        <v>#N/A</v>
      </c>
    </row>
    <row r="44" spans="1:5" x14ac:dyDescent="0.35">
      <c r="A44" s="118">
        <v>37</v>
      </c>
      <c r="B44" s="114" t="s">
        <v>13</v>
      </c>
      <c r="C44" s="18" t="s">
        <v>13</v>
      </c>
      <c r="D44" s="115"/>
      <c r="E44" s="32"/>
    </row>
  </sheetData>
  <mergeCells count="1">
    <mergeCell ref="A1:B1"/>
  </mergeCells>
  <conditionalFormatting sqref="B30">
    <cfRule type="containsText" dxfId="2753" priority="4" operator="containsText" text="Hear">
      <formula>NOT(ISERROR(SEARCH("Hear",B30)))</formula>
    </cfRule>
  </conditionalFormatting>
  <conditionalFormatting sqref="B43:B44">
    <cfRule type="containsText" dxfId="2752" priority="14" operator="containsText" text="Hear">
      <formula>NOT(ISERROR(SEARCH("Hear",B43)))</formula>
    </cfRule>
  </conditionalFormatting>
  <conditionalFormatting sqref="E44">
    <cfRule type="containsText" dxfId="2751" priority="12" operator="containsText" text="WEB SERVICE">
      <formula>NOT(ISERROR(SEARCH("WEB SERVICE",E44)))</formula>
    </cfRule>
    <cfRule type="containsText" dxfId="2750" priority="13" operator="containsText" text="DB">
      <formula>NOT(ISERROR(SEARCH("DB",E44)))</formula>
    </cfRule>
  </conditionalFormatting>
  <conditionalFormatting sqref="C44">
    <cfRule type="expression" dxfId="2749" priority="15">
      <formula>$B44="Dial"</formula>
    </cfRule>
    <cfRule type="expression" dxfId="2748" priority="17">
      <formula>$B44="HANGUP"</formula>
    </cfRule>
  </conditionalFormatting>
  <conditionalFormatting sqref="C44">
    <cfRule type="expression" dxfId="2747" priority="16">
      <formula>$B44="Speak"</formula>
    </cfRule>
  </conditionalFormatting>
  <conditionalFormatting sqref="B8:B18">
    <cfRule type="containsText" dxfId="2746" priority="1" operator="containsText" text="Hear">
      <formula>NOT(ISERROR(SEARCH("Hear",B8)))</formula>
    </cfRule>
  </conditionalFormatting>
  <conditionalFormatting sqref="B36:B38 B40:B41">
    <cfRule type="containsText" dxfId="2745" priority="3" operator="containsText" text="Hear">
      <formula>NOT(ISERROR(SEARCH("Hear",B36)))</formula>
    </cfRule>
  </conditionalFormatting>
  <conditionalFormatting sqref="B19:B29 B31:B35 B42">
    <cfRule type="containsText" dxfId="2744" priority="5" operator="containsText" text="Hear">
      <formula>NOT(ISERROR(SEARCH("Hear",B19)))</formula>
    </cfRule>
  </conditionalFormatting>
  <hyperlinks>
    <hyperlink ref="A1" location="'Test Case Overview'!A1" display="Return to Test Case Overview" xr:uid="{6C54ECD9-34B5-406B-81C0-0B28ADC196A6}"/>
  </hyperlinks>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expression" priority="8" id="{33CDEBA0-6998-409C-B5AF-B2DF3A2072DB}">
            <xm:f>'TC1'!$B8="HANGUP"</xm:f>
            <x14:dxf>
              <font>
                <b/>
                <i val="0"/>
              </font>
            </x14:dxf>
          </x14:cfRule>
          <x14:cfRule type="expression" priority="9" id="{C59D6765-F832-4D22-8892-7B79CEDF9010}">
            <xm:f>'TC1'!$B8="Dial"</xm:f>
            <x14:dxf>
              <font>
                <b/>
                <i val="0"/>
                <color rgb="FFFF0000"/>
              </font>
            </x14:dxf>
          </x14:cfRule>
          <xm:sqref>C8</xm:sqref>
        </x14:conditionalFormatting>
        <x14:conditionalFormatting xmlns:xm="http://schemas.microsoft.com/office/excel/2006/main">
          <x14:cfRule type="expression" priority="10" id="{E95734D5-6814-4A8F-A7B7-77109A426466}">
            <xm:f>'TC1'!$B8="Speak"</xm:f>
            <x14:dxf>
              <font>
                <b/>
                <i val="0"/>
                <color rgb="FFFF0000"/>
              </font>
            </x14:dxf>
          </x14:cfRule>
          <xm:sqref>C8</xm:sqref>
        </x14:conditionalFormatting>
        <x14:conditionalFormatting xmlns:xm="http://schemas.microsoft.com/office/excel/2006/main">
          <x14:cfRule type="containsText" priority="2" operator="containsText" text="Hear" id="{E813F795-F9E7-4690-86EC-9DAA2C89BE9E}">
            <xm:f>NOT(ISERROR(SEARCH("Hear",'TC3'!B34)))</xm:f>
            <x14:dxf>
              <font>
                <color theme="9" tint="-0.24994659260841701"/>
              </font>
              <fill>
                <patternFill>
                  <bgColor theme="9" tint="0.59996337778862885"/>
                </patternFill>
              </fill>
            </x14:dxf>
          </x14:cfRule>
          <xm:sqref>B41</xm:sqref>
        </x14:conditionalFormatting>
        <x14:conditionalFormatting xmlns:xm="http://schemas.microsoft.com/office/excel/2006/main">
          <x14:cfRule type="expression" priority="2283" id="{33CDEBA0-6998-409C-B5AF-B2DF3A2072DB}">
            <xm:f>'TC1'!$B16="HANGUP"</xm:f>
            <x14:dxf>
              <font>
                <b/>
                <i val="0"/>
              </font>
            </x14:dxf>
          </x14:cfRule>
          <x14:cfRule type="expression" priority="2284" id="{C59D6765-F832-4D22-8892-7B79CEDF9010}">
            <xm:f>'TC1'!$B16="Dial"</xm:f>
            <x14:dxf>
              <font>
                <b/>
                <i val="0"/>
                <color rgb="FFFF0000"/>
              </font>
            </x14:dxf>
          </x14:cfRule>
          <xm:sqref>C34:C43</xm:sqref>
        </x14:conditionalFormatting>
        <x14:conditionalFormatting xmlns:xm="http://schemas.microsoft.com/office/excel/2006/main">
          <x14:cfRule type="expression" priority="2285" id="{33CDEBA0-6998-409C-B5AF-B2DF3A2072DB}">
            <xm:f>'TC1'!#REF!="HANGUP"</xm:f>
            <x14:dxf>
              <font>
                <b/>
                <i val="0"/>
              </font>
            </x14:dxf>
          </x14:cfRule>
          <x14:cfRule type="expression" priority="2286" id="{C59D6765-F832-4D22-8892-7B79CEDF9010}">
            <xm:f>'TC1'!#REF!="Dial"</xm:f>
            <x14:dxf>
              <font>
                <b/>
                <i val="0"/>
                <color rgb="FFFF0000"/>
              </font>
            </x14:dxf>
          </x14:cfRule>
          <xm:sqref>C17:C33</xm:sqref>
        </x14:conditionalFormatting>
        <x14:conditionalFormatting xmlns:xm="http://schemas.microsoft.com/office/excel/2006/main">
          <x14:cfRule type="expression" priority="2290" id="{E95734D5-6814-4A8F-A7B7-77109A426466}">
            <xm:f>'TC1'!$B16="Speak"</xm:f>
            <x14:dxf>
              <font>
                <b/>
                <i val="0"/>
                <color rgb="FFFF0000"/>
              </font>
            </x14:dxf>
          </x14:cfRule>
          <xm:sqref>C34:C43</xm:sqref>
        </x14:conditionalFormatting>
        <x14:conditionalFormatting xmlns:xm="http://schemas.microsoft.com/office/excel/2006/main">
          <x14:cfRule type="expression" priority="2291" id="{E95734D5-6814-4A8F-A7B7-77109A426466}">
            <xm:f>'TC1'!#REF!="Speak"</xm:f>
            <x14:dxf>
              <font>
                <b/>
                <i val="0"/>
                <color rgb="FFFF0000"/>
              </font>
            </x14:dxf>
          </x14:cfRule>
          <xm:sqref>C17:C33</xm:sqref>
        </x14:conditionalFormatting>
        <x14:conditionalFormatting xmlns:xm="http://schemas.microsoft.com/office/excel/2006/main">
          <x14:cfRule type="containsText" priority="2295" operator="containsText" text="DB" id="{45E1257E-658C-4BD2-A417-E98E2F8F5A85}">
            <xm:f>NOT(ISERROR(SEARCH("DB",'TC1'!E16)))</xm:f>
            <x14:dxf>
              <font>
                <color rgb="FF006100"/>
              </font>
              <fill>
                <patternFill>
                  <bgColor rgb="FFC6EFCE"/>
                </patternFill>
              </fill>
            </x14:dxf>
          </x14:cfRule>
          <x14:cfRule type="containsText" priority="2296" operator="containsText" text="WEB SERVICE" id="{2F9BB99D-C97B-484B-925C-B1A5C3C0C0B2}">
            <xm:f>NOT(ISERROR(SEARCH("WEB SERVICE",'TC1'!E16)))</xm:f>
            <x14:dxf>
              <font>
                <color rgb="FF9C0006"/>
              </font>
              <fill>
                <patternFill>
                  <bgColor rgb="FFFFC7CE"/>
                </patternFill>
              </fill>
            </x14:dxf>
          </x14:cfRule>
          <xm:sqref>E34:E43</xm:sqref>
        </x14:conditionalFormatting>
        <x14:conditionalFormatting xmlns:xm="http://schemas.microsoft.com/office/excel/2006/main">
          <x14:cfRule type="containsText" priority="2297" operator="containsText" text="DB" id="{45E1257E-658C-4BD2-A417-E98E2F8F5A85}">
            <xm:f>NOT(ISERROR(SEARCH("DB",'TC1'!#REF!)))</xm:f>
            <x14:dxf>
              <font>
                <color rgb="FF006100"/>
              </font>
              <fill>
                <patternFill>
                  <bgColor rgb="FFC6EFCE"/>
                </patternFill>
              </fill>
            </x14:dxf>
          </x14:cfRule>
          <x14:cfRule type="containsText" priority="2298" operator="containsText" text="WEB SERVICE" id="{2F9BB99D-C97B-484B-925C-B1A5C3C0C0B2}">
            <xm:f>NOT(ISERROR(SEARCH("WEB SERVICE",'TC1'!#REF!)))</xm:f>
            <x14:dxf>
              <font>
                <color rgb="FF9C0006"/>
              </font>
              <fill>
                <patternFill>
                  <bgColor rgb="FFFFC7CE"/>
                </patternFill>
              </fill>
            </x14:dxf>
          </x14:cfRule>
          <xm:sqref>E17:E33</xm:sqref>
        </x14:conditionalFormatting>
        <x14:conditionalFormatting xmlns:xm="http://schemas.microsoft.com/office/excel/2006/main">
          <x14:cfRule type="expression" priority="4993" id="{33CDEBA0-6998-409C-B5AF-B2DF3A2072DB}">
            <xm:f>'TC1'!$B9="HANGUP"</xm:f>
            <x14:dxf>
              <font>
                <b/>
                <i val="0"/>
              </font>
            </x14:dxf>
          </x14:cfRule>
          <x14:cfRule type="expression" priority="4994" id="{C59D6765-F832-4D22-8892-7B79CEDF9010}">
            <xm:f>'TC1'!$B9="Dial"</xm:f>
            <x14:dxf>
              <font>
                <b/>
                <i val="0"/>
                <color rgb="FFFF0000"/>
              </font>
            </x14:dxf>
          </x14:cfRule>
          <xm:sqref>C12:C15</xm:sqref>
        </x14:conditionalFormatting>
        <x14:conditionalFormatting xmlns:xm="http://schemas.microsoft.com/office/excel/2006/main">
          <x14:cfRule type="expression" priority="4995" id="{33CDEBA0-6998-409C-B5AF-B2DF3A2072DB}">
            <xm:f>'TC1'!#REF!="HANGUP"</xm:f>
            <x14:dxf>
              <font>
                <b/>
                <i val="0"/>
              </font>
            </x14:dxf>
          </x14:cfRule>
          <x14:cfRule type="expression" priority="4996" id="{C59D6765-F832-4D22-8892-7B79CEDF9010}">
            <xm:f>'TC1'!#REF!="Dial"</xm:f>
            <x14:dxf>
              <font>
                <b/>
                <i val="0"/>
                <color rgb="FFFF0000"/>
              </font>
            </x14:dxf>
          </x14:cfRule>
          <xm:sqref>C9:C11</xm:sqref>
        </x14:conditionalFormatting>
        <x14:conditionalFormatting xmlns:xm="http://schemas.microsoft.com/office/excel/2006/main">
          <x14:cfRule type="expression" priority="5000" id="{E95734D5-6814-4A8F-A7B7-77109A426466}">
            <xm:f>'TC1'!$B9="Speak"</xm:f>
            <x14:dxf>
              <font>
                <b/>
                <i val="0"/>
                <color rgb="FFFF0000"/>
              </font>
            </x14:dxf>
          </x14:cfRule>
          <xm:sqref>C12:C15</xm:sqref>
        </x14:conditionalFormatting>
        <x14:conditionalFormatting xmlns:xm="http://schemas.microsoft.com/office/excel/2006/main">
          <x14:cfRule type="expression" priority="5001" id="{E95734D5-6814-4A8F-A7B7-77109A426466}">
            <xm:f>'TC1'!#REF!="Speak"</xm:f>
            <x14:dxf>
              <font>
                <b/>
                <i val="0"/>
                <color rgb="FFFF0000"/>
              </font>
            </x14:dxf>
          </x14:cfRule>
          <xm:sqref>C9:C11</xm:sqref>
        </x14:conditionalFormatting>
        <x14:conditionalFormatting xmlns:xm="http://schemas.microsoft.com/office/excel/2006/main">
          <x14:cfRule type="containsText" priority="5003" operator="containsText" text="DB" id="{45E1257E-658C-4BD2-A417-E98E2F8F5A85}">
            <xm:f>NOT(ISERROR(SEARCH("DB",'TC1'!#REF!)))</xm:f>
            <x14:dxf>
              <font>
                <color rgb="FF006100"/>
              </font>
              <fill>
                <patternFill>
                  <bgColor rgb="FFC6EFCE"/>
                </patternFill>
              </fill>
            </x14:dxf>
          </x14:cfRule>
          <x14:cfRule type="containsText" priority="5004" operator="containsText" text="WEB SERVICE" id="{2F9BB99D-C97B-484B-925C-B1A5C3C0C0B2}">
            <xm:f>NOT(ISERROR(SEARCH("WEB SERVICE",'TC1'!#REF!)))</xm:f>
            <x14:dxf>
              <font>
                <color rgb="FF9C0006"/>
              </font>
              <fill>
                <patternFill>
                  <bgColor rgb="FFFFC7CE"/>
                </patternFill>
              </fill>
            </x14:dxf>
          </x14:cfRule>
          <xm:sqref>E9:E11</xm:sqref>
        </x14:conditionalFormatting>
        <x14:conditionalFormatting xmlns:xm="http://schemas.microsoft.com/office/excel/2006/main">
          <x14:cfRule type="containsText" priority="5005" operator="containsText" text="DB" id="{45E1257E-658C-4BD2-A417-E98E2F8F5A85}">
            <xm:f>NOT(ISERROR(SEARCH("DB",'TC1'!E9)))</xm:f>
            <x14:dxf>
              <font>
                <color rgb="FF006100"/>
              </font>
              <fill>
                <patternFill>
                  <bgColor rgb="FFC6EFCE"/>
                </patternFill>
              </fill>
            </x14:dxf>
          </x14:cfRule>
          <x14:cfRule type="containsText" priority="5006" operator="containsText" text="WEB SERVICE" id="{2F9BB99D-C97B-484B-925C-B1A5C3C0C0B2}">
            <xm:f>NOT(ISERROR(SEARCH("WEB SERVICE",'TC1'!E9)))</xm:f>
            <x14:dxf>
              <font>
                <color rgb="FF9C0006"/>
              </font>
              <fill>
                <patternFill>
                  <bgColor rgb="FFFFC7CE"/>
                </patternFill>
              </fill>
            </x14:dxf>
          </x14:cfRule>
          <xm:sqref>E12:E15</xm:sqref>
        </x14:conditionalFormatting>
        <x14:conditionalFormatting xmlns:xm="http://schemas.microsoft.com/office/excel/2006/main">
          <x14:cfRule type="expression" priority="7340" id="{33CDEBA0-6998-409C-B5AF-B2DF3A2072DB}">
            <xm:f>'TC1'!$B15="HANGUP"</xm:f>
            <x14:dxf>
              <font>
                <b/>
                <i val="0"/>
              </font>
            </x14:dxf>
          </x14:cfRule>
          <x14:cfRule type="expression" priority="7341" id="{C59D6765-F832-4D22-8892-7B79CEDF9010}">
            <xm:f>'TC1'!$B15="Dial"</xm:f>
            <x14:dxf>
              <font>
                <b/>
                <i val="0"/>
                <color rgb="FFFF0000"/>
              </font>
            </x14:dxf>
          </x14:cfRule>
          <xm:sqref>C16</xm:sqref>
        </x14:conditionalFormatting>
        <x14:conditionalFormatting xmlns:xm="http://schemas.microsoft.com/office/excel/2006/main">
          <x14:cfRule type="expression" priority="7343" id="{E95734D5-6814-4A8F-A7B7-77109A426466}">
            <xm:f>'TC1'!$B15="Speak"</xm:f>
            <x14:dxf>
              <font>
                <b/>
                <i val="0"/>
                <color rgb="FFFF0000"/>
              </font>
            </x14:dxf>
          </x14:cfRule>
          <xm:sqref>C16</xm:sqref>
        </x14:conditionalFormatting>
        <x14:conditionalFormatting xmlns:xm="http://schemas.microsoft.com/office/excel/2006/main">
          <x14:cfRule type="containsText" priority="7346" operator="containsText" text="DB" id="{45E1257E-658C-4BD2-A417-E98E2F8F5A85}">
            <xm:f>NOT(ISERROR(SEARCH("DB",'TC1'!E15)))</xm:f>
            <x14:dxf>
              <font>
                <color rgb="FF006100"/>
              </font>
              <fill>
                <patternFill>
                  <bgColor rgb="FFC6EFCE"/>
                </patternFill>
              </fill>
            </x14:dxf>
          </x14:cfRule>
          <x14:cfRule type="containsText" priority="7347" operator="containsText" text="WEB SERVICE" id="{2F9BB99D-C97B-484B-925C-B1A5C3C0C0B2}">
            <xm:f>NOT(ISERROR(SEARCH("WEB SERVICE",'TC1'!E15)))</xm:f>
            <x14:dxf>
              <font>
                <color rgb="FF9C0006"/>
              </font>
              <fill>
                <patternFill>
                  <bgColor rgb="FFFFC7CE"/>
                </patternFill>
              </fill>
            </x14:dxf>
          </x14:cfRule>
          <xm:sqref>E16</xm:sqref>
        </x14:conditionalFormatting>
        <x14:conditionalFormatting xmlns:xm="http://schemas.microsoft.com/office/excel/2006/main">
          <x14:cfRule type="containsText" priority="9854" operator="containsText" text="Hear" id="{953E7DEF-D8CB-4DAE-BD08-97C61CED5CB5}">
            <xm:f>NOT(ISERROR(SEARCH("Hear",'TC26'!#REF!)))</xm:f>
            <x14:dxf>
              <font>
                <color theme="9" tint="-0.24994659260841701"/>
              </font>
              <fill>
                <patternFill>
                  <bgColor theme="9" tint="0.59996337778862885"/>
                </patternFill>
              </fill>
            </x14:dxf>
          </x14:cfRule>
          <xm:sqref>B39</xm:sqref>
        </x14:conditionalFormatting>
      </x14:conditionalFormattings>
    </ext>
  </extLst>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600-000000000000}">
  <sheetPr codeName="Sheet104"/>
  <dimension ref="A1:E44"/>
  <sheetViews>
    <sheetView zoomScaleNormal="100" workbookViewId="0">
      <selection sqref="A1:E44"/>
    </sheetView>
  </sheetViews>
  <sheetFormatPr defaultRowHeight="14.5" x14ac:dyDescent="0.35"/>
  <cols>
    <col min="1" max="1" width="14.453125" bestFit="1" customWidth="1"/>
    <col min="2" max="2" width="42.6328125" customWidth="1"/>
    <col min="3" max="3" width="106.1796875" customWidth="1"/>
    <col min="4" max="4" width="21.81640625" bestFit="1" customWidth="1"/>
    <col min="5" max="5" width="20.6328125" customWidth="1"/>
  </cols>
  <sheetData>
    <row r="1" spans="1:5" ht="18.5" x14ac:dyDescent="0.35">
      <c r="A1" s="192" t="s">
        <v>4</v>
      </c>
      <c r="B1" s="192"/>
      <c r="C1" s="105"/>
      <c r="D1" s="111"/>
      <c r="E1" s="97"/>
    </row>
    <row r="2" spans="1:5" x14ac:dyDescent="0.35">
      <c r="A2" s="106" t="s">
        <v>5</v>
      </c>
      <c r="B2" s="107" t="str">
        <f ca="1">MID(CELL("filename",A1),FIND("]",CELL("filename",A1))+1,LEN(CELL("filename",A1))-FIND("]",CELL("filename",A1)))</f>
        <v>TC102</v>
      </c>
      <c r="C2" s="98"/>
      <c r="D2" s="111"/>
      <c r="E2" s="97"/>
    </row>
    <row r="3" spans="1:5" x14ac:dyDescent="0.35">
      <c r="A3" s="104" t="s">
        <v>19</v>
      </c>
      <c r="B3" s="112">
        <f ca="1">VLOOKUP(B2,Table53[#All],2,FALSE)</f>
        <v>0</v>
      </c>
      <c r="C3" s="98"/>
      <c r="D3" s="111"/>
      <c r="E3" s="97"/>
    </row>
    <row r="4" spans="1:5" ht="29" x14ac:dyDescent="0.35">
      <c r="A4" s="113" t="s">
        <v>20</v>
      </c>
      <c r="B4" s="99">
        <f ca="1">VLOOKUP(B2,Table53[#All],4,FALSE)</f>
        <v>0</v>
      </c>
      <c r="C4" s="98"/>
      <c r="D4" s="111"/>
      <c r="E4" s="97"/>
    </row>
    <row r="5" spans="1:5" x14ac:dyDescent="0.35">
      <c r="A5" s="104" t="s">
        <v>6</v>
      </c>
      <c r="B5" s="77">
        <f ca="1">VLOOKUP(B2,Table53[#All],3,FALSE)</f>
        <v>0</v>
      </c>
      <c r="C5" s="98"/>
      <c r="D5" s="111"/>
      <c r="E5" s="97"/>
    </row>
    <row r="6" spans="1:5" x14ac:dyDescent="0.35">
      <c r="A6" s="97"/>
      <c r="B6" s="97"/>
      <c r="C6" s="98"/>
      <c r="D6" s="111"/>
      <c r="E6" s="97"/>
    </row>
    <row r="7" spans="1:5" ht="15.5" x14ac:dyDescent="0.35">
      <c r="A7" s="100" t="s">
        <v>7</v>
      </c>
      <c r="B7" s="101" t="s">
        <v>8</v>
      </c>
      <c r="C7" s="102" t="s">
        <v>9</v>
      </c>
      <c r="D7" s="102" t="s">
        <v>14</v>
      </c>
      <c r="E7" s="103" t="s">
        <v>10</v>
      </c>
    </row>
    <row r="8" spans="1:5" x14ac:dyDescent="0.35">
      <c r="A8" s="118">
        <v>1</v>
      </c>
      <c r="B8" s="114" t="s">
        <v>114</v>
      </c>
      <c r="C8" s="109" t="s">
        <v>125</v>
      </c>
      <c r="D8" s="128"/>
      <c r="E8" s="125" t="s">
        <v>11</v>
      </c>
    </row>
    <row r="9" spans="1:5" x14ac:dyDescent="0.35">
      <c r="A9" s="118">
        <v>2</v>
      </c>
      <c r="B9" s="114" t="s">
        <v>12</v>
      </c>
      <c r="C9" s="109" t="e">
        <f>VLOOKUP(Table2575199129[[#This Row],[PEG]],Table1016[#All],2,FALSE)</f>
        <v>#N/A</v>
      </c>
      <c r="D9" s="128"/>
      <c r="E9" s="125" t="e">
        <f>VLOOKUP(Table2575199129[[#This Row],[PEG]],Table1016[#All],3,FALSE)</f>
        <v>#N/A</v>
      </c>
    </row>
    <row r="10" spans="1:5" x14ac:dyDescent="0.35">
      <c r="A10" s="118">
        <v>3</v>
      </c>
      <c r="B10" s="114" t="s">
        <v>115</v>
      </c>
      <c r="C10" s="109" t="e">
        <f>VLOOKUP(Table2575199129[[#This Row],[PEG]],Table1016[#All],2,FALSE)</f>
        <v>#N/A</v>
      </c>
      <c r="D10" s="128"/>
      <c r="E10" s="125" t="e">
        <f>VLOOKUP(Table2575199129[[#This Row],[PEG]],Table1016[#All],3,FALSE)</f>
        <v>#N/A</v>
      </c>
    </row>
    <row r="11" spans="1:5" x14ac:dyDescent="0.35">
      <c r="A11" s="118">
        <v>4</v>
      </c>
      <c r="B11" s="114" t="s">
        <v>115</v>
      </c>
      <c r="C11" s="109" t="e">
        <f>VLOOKUP(Table2575199129[[#This Row],[PEG]],Table1016[#All],2,FALSE)</f>
        <v>#N/A</v>
      </c>
      <c r="D11" s="128"/>
      <c r="E11" s="125" t="e">
        <f>VLOOKUP(Table2575199129[[#This Row],[PEG]],Table1016[#All],3,FALSE)</f>
        <v>#N/A</v>
      </c>
    </row>
    <row r="12" spans="1:5" x14ac:dyDescent="0.35">
      <c r="A12" s="118">
        <v>5</v>
      </c>
      <c r="B12" s="114" t="s">
        <v>114</v>
      </c>
      <c r="C12" s="109" t="e">
        <f>VLOOKUP(Table2575199129[[#This Row],[PEG]],Table1016[#All],2,FALSE)</f>
        <v>#N/A</v>
      </c>
      <c r="D12" s="128"/>
      <c r="E12" s="125" t="e">
        <f>VLOOKUP(Table2575199129[[#This Row],[PEG]],Table1016[#All],3,FALSE)</f>
        <v>#N/A</v>
      </c>
    </row>
    <row r="13" spans="1:5" x14ac:dyDescent="0.35">
      <c r="A13" s="118">
        <v>6</v>
      </c>
      <c r="B13" s="114" t="s">
        <v>115</v>
      </c>
      <c r="C13" s="109" t="e">
        <f>VLOOKUP(Table2575199129[[#This Row],[PEG]],Table1016[#All],2,FALSE)</f>
        <v>#N/A</v>
      </c>
      <c r="D13" s="128"/>
      <c r="E13" s="125" t="e">
        <f>VLOOKUP(Table2575199129[[#This Row],[PEG]],Table1016[#All],3,FALSE)</f>
        <v>#N/A</v>
      </c>
    </row>
    <row r="14" spans="1:5" x14ac:dyDescent="0.35">
      <c r="A14" s="118">
        <v>7</v>
      </c>
      <c r="B14" s="114" t="s">
        <v>114</v>
      </c>
      <c r="C14" s="109" t="e">
        <f>VLOOKUP(Table2575199129[[#This Row],[PEG]],Table1016[#All],2,FALSE)</f>
        <v>#N/A</v>
      </c>
      <c r="D14" s="128"/>
      <c r="E14" s="125" t="e">
        <f>VLOOKUP(Table2575199129[[#This Row],[PEG]],Table1016[#All],3,FALSE)</f>
        <v>#N/A</v>
      </c>
    </row>
    <row r="15" spans="1:5" x14ac:dyDescent="0.35">
      <c r="A15" s="118">
        <v>8</v>
      </c>
      <c r="B15" s="114" t="s">
        <v>115</v>
      </c>
      <c r="C15" s="109" t="e">
        <f>VLOOKUP(Table2575199129[[#This Row],[PEG]],Table1016[#All],2,FALSE)</f>
        <v>#N/A</v>
      </c>
      <c r="D15" s="116"/>
      <c r="E15" s="125" t="e">
        <f>VLOOKUP(Table2575199129[[#This Row],[PEG]],Table1016[#All],3,FALSE)</f>
        <v>#N/A</v>
      </c>
    </row>
    <row r="16" spans="1:5" x14ac:dyDescent="0.35">
      <c r="A16" s="118">
        <v>9</v>
      </c>
      <c r="B16" s="114" t="s">
        <v>12</v>
      </c>
      <c r="C16" s="109" t="e">
        <f>VLOOKUP(Table2575199129[[#This Row],[PEG]],Table1016[#All],2,FALSE)</f>
        <v>#N/A</v>
      </c>
      <c r="D16" s="116"/>
      <c r="E16" s="125" t="e">
        <f>VLOOKUP(Table2575199129[[#This Row],[PEG]],Table1016[#All],3,FALSE)</f>
        <v>#N/A</v>
      </c>
    </row>
    <row r="17" spans="1:5" x14ac:dyDescent="0.35">
      <c r="A17" s="118">
        <v>10</v>
      </c>
      <c r="B17" s="114" t="s">
        <v>12</v>
      </c>
      <c r="C17" s="109" t="e">
        <f>VLOOKUP(Table2575199129[[#This Row],[PEG]],Table1016[#All],2,FALSE)</f>
        <v>#N/A</v>
      </c>
      <c r="D17" s="117"/>
      <c r="E17" s="125" t="e">
        <f>VLOOKUP(Table2575199129[[#This Row],[PEG]],Table1016[#All],3,FALSE)</f>
        <v>#N/A</v>
      </c>
    </row>
    <row r="18" spans="1:5" x14ac:dyDescent="0.35">
      <c r="A18" s="118">
        <v>11</v>
      </c>
      <c r="B18" s="114" t="s">
        <v>115</v>
      </c>
      <c r="C18" s="109" t="e">
        <f>VLOOKUP(Table2575199129[[#This Row],[PEG]],Table1016[#All],2,FALSE)</f>
        <v>#N/A</v>
      </c>
      <c r="D18" s="117"/>
      <c r="E18" s="125" t="e">
        <f>VLOOKUP(Table2575199129[[#This Row],[PEG]],Table1016[#All],3,FALSE)</f>
        <v>#N/A</v>
      </c>
    </row>
    <row r="19" spans="1:5" x14ac:dyDescent="0.35">
      <c r="A19" s="118">
        <v>12</v>
      </c>
      <c r="B19" s="114" t="s">
        <v>115</v>
      </c>
      <c r="C19" s="109" t="e">
        <f>VLOOKUP(Table2575199129[[#This Row],[PEG]],Table1016[#All],2,FALSE)</f>
        <v>#N/A</v>
      </c>
      <c r="D19" s="117"/>
      <c r="E19" s="125" t="e">
        <f>VLOOKUP(Table2575199129[[#This Row],[PEG]],Table1016[#All],3,FALSE)</f>
        <v>#N/A</v>
      </c>
    </row>
    <row r="20" spans="1:5" x14ac:dyDescent="0.35">
      <c r="A20" s="118">
        <v>13</v>
      </c>
      <c r="B20" s="114" t="s">
        <v>114</v>
      </c>
      <c r="C20" s="109" t="e">
        <f>VLOOKUP(Table2575199129[[#This Row],[PEG]],Table1016[#All],2,FALSE)</f>
        <v>#N/A</v>
      </c>
      <c r="D20" s="117"/>
      <c r="E20" s="125" t="e">
        <f>VLOOKUP(Table2575199129[[#This Row],[PEG]],Table1016[#All],3,FALSE)</f>
        <v>#N/A</v>
      </c>
    </row>
    <row r="21" spans="1:5" x14ac:dyDescent="0.35">
      <c r="A21" s="118">
        <v>14</v>
      </c>
      <c r="B21" s="114" t="s">
        <v>12</v>
      </c>
      <c r="C21" s="109" t="e">
        <f>VLOOKUP(Table2575199129[[#This Row],[PEG]],Table1016[#All],2,FALSE)</f>
        <v>#N/A</v>
      </c>
      <c r="D21" s="117"/>
      <c r="E21" s="125" t="e">
        <f>VLOOKUP(Table2575199129[[#This Row],[PEG]],Table1016[#All],3,FALSE)</f>
        <v>#N/A</v>
      </c>
    </row>
    <row r="22" spans="1:5" x14ac:dyDescent="0.35">
      <c r="A22" s="118">
        <v>15</v>
      </c>
      <c r="B22" s="114" t="s">
        <v>12</v>
      </c>
      <c r="C22" s="109" t="e">
        <f>VLOOKUP(Table2575199129[[#This Row],[PEG]],Table1016[#All],2,FALSE)</f>
        <v>#N/A</v>
      </c>
      <c r="D22" s="117"/>
      <c r="E22" s="125" t="e">
        <f>VLOOKUP(Table2575199129[[#This Row],[PEG]],Table1016[#All],3,FALSE)</f>
        <v>#N/A</v>
      </c>
    </row>
    <row r="23" spans="1:5" x14ac:dyDescent="0.35">
      <c r="A23" s="118">
        <v>16</v>
      </c>
      <c r="B23" s="114" t="s">
        <v>115</v>
      </c>
      <c r="C23" s="109" t="e">
        <f>VLOOKUP(Table2575199129[[#This Row],[PEG]],Table1016[#All],2,FALSE)</f>
        <v>#N/A</v>
      </c>
      <c r="D23" s="117"/>
      <c r="E23" s="125" t="e">
        <f>VLOOKUP(Table2575199129[[#This Row],[PEG]],Table1016[#All],3,FALSE)</f>
        <v>#N/A</v>
      </c>
    </row>
    <row r="24" spans="1:5" x14ac:dyDescent="0.35">
      <c r="A24" s="118">
        <v>17</v>
      </c>
      <c r="B24" s="114" t="s">
        <v>114</v>
      </c>
      <c r="C24" s="109" t="e">
        <f>VLOOKUP(Table2575199129[[#This Row],[PEG]],Table1016[#All],2,FALSE)</f>
        <v>#N/A</v>
      </c>
      <c r="D24" s="117"/>
      <c r="E24" s="125" t="e">
        <f>VLOOKUP(Table2575199129[[#This Row],[PEG]],Table1016[#All],3,FALSE)</f>
        <v>#N/A</v>
      </c>
    </row>
    <row r="25" spans="1:5" x14ac:dyDescent="0.35">
      <c r="A25" s="118">
        <v>18</v>
      </c>
      <c r="B25" s="114" t="s">
        <v>12</v>
      </c>
      <c r="C25" s="109" t="e">
        <f>VLOOKUP(Table2575199129[[#This Row],[PEG]],Table1016[#All],2,FALSE)</f>
        <v>#N/A</v>
      </c>
      <c r="D25" s="117"/>
      <c r="E25" s="125" t="e">
        <f>VLOOKUP(Table2575199129[[#This Row],[PEG]],Table1016[#All],3,FALSE)</f>
        <v>#N/A</v>
      </c>
    </row>
    <row r="26" spans="1:5" x14ac:dyDescent="0.35">
      <c r="A26" s="118">
        <v>19</v>
      </c>
      <c r="B26" s="114" t="s">
        <v>12</v>
      </c>
      <c r="C26" s="109" t="e">
        <f>VLOOKUP(Table2575199129[[#This Row],[PEG]],Table1016[#All],2,FALSE)</f>
        <v>#N/A</v>
      </c>
      <c r="D26" s="117"/>
      <c r="E26" s="125" t="e">
        <f>VLOOKUP(Table2575199129[[#This Row],[PEG]],Table1016[#All],3,FALSE)</f>
        <v>#N/A</v>
      </c>
    </row>
    <row r="27" spans="1:5" x14ac:dyDescent="0.35">
      <c r="A27" s="118">
        <v>20</v>
      </c>
      <c r="B27" s="114" t="s">
        <v>115</v>
      </c>
      <c r="C27" s="109" t="e">
        <f>VLOOKUP(Table2575199129[[#This Row],[PEG]],Table1016[#All],2,FALSE)</f>
        <v>#N/A</v>
      </c>
      <c r="D27" s="117"/>
      <c r="E27" s="125" t="e">
        <f>VLOOKUP(Table2575199129[[#This Row],[PEG]],Table1016[#All],3,FALSE)</f>
        <v>#N/A</v>
      </c>
    </row>
    <row r="28" spans="1:5" x14ac:dyDescent="0.35">
      <c r="A28" s="118">
        <v>21</v>
      </c>
      <c r="B28" s="114" t="s">
        <v>114</v>
      </c>
      <c r="C28" s="109" t="e">
        <f>VLOOKUP(Table2575199129[[#This Row],[PEG]],Table1016[#All],2,FALSE)</f>
        <v>#N/A</v>
      </c>
      <c r="D28" s="117"/>
      <c r="E28" s="125" t="e">
        <f>VLOOKUP(Table2575199129[[#This Row],[PEG]],Table1016[#All],3,FALSE)</f>
        <v>#N/A</v>
      </c>
    </row>
    <row r="29" spans="1:5" x14ac:dyDescent="0.35">
      <c r="A29" s="118">
        <v>22</v>
      </c>
      <c r="B29" s="114" t="s">
        <v>12</v>
      </c>
      <c r="C29" s="109" t="e">
        <f>VLOOKUP(Table2575199129[[#This Row],[PEG]],Table1016[#All],2,FALSE)</f>
        <v>#N/A</v>
      </c>
      <c r="D29" s="117"/>
      <c r="E29" s="125" t="e">
        <f>VLOOKUP(Table2575199129[[#This Row],[PEG]],Table1016[#All],3,FALSE)</f>
        <v>#N/A</v>
      </c>
    </row>
    <row r="30" spans="1:5" x14ac:dyDescent="0.35">
      <c r="A30" s="118">
        <v>23</v>
      </c>
      <c r="B30" s="114" t="s">
        <v>12</v>
      </c>
      <c r="C30" s="109" t="e">
        <f>VLOOKUP(Table2575199129[[#This Row],[PEG]],Table1016[#All],2,FALSE)</f>
        <v>#N/A</v>
      </c>
      <c r="D30" s="117"/>
      <c r="E30" s="125" t="e">
        <f>VLOOKUP(Table2575199129[[#This Row],[PEG]],Table1016[#All],3,FALSE)</f>
        <v>#N/A</v>
      </c>
    </row>
    <row r="31" spans="1:5" x14ac:dyDescent="0.35">
      <c r="A31" s="118">
        <v>24</v>
      </c>
      <c r="B31" s="114" t="s">
        <v>115</v>
      </c>
      <c r="C31" s="109" t="e">
        <f>VLOOKUP(Table2575199129[[#This Row],[PEG]],Table1016[#All],2,FALSE)</f>
        <v>#N/A</v>
      </c>
      <c r="D31" s="117"/>
      <c r="E31" s="125" t="e">
        <f>VLOOKUP(Table2575199129[[#This Row],[PEG]],Table1016[#All],3,FALSE)</f>
        <v>#N/A</v>
      </c>
    </row>
    <row r="32" spans="1:5" x14ac:dyDescent="0.35">
      <c r="A32" s="118">
        <v>25</v>
      </c>
      <c r="B32" s="114" t="s">
        <v>115</v>
      </c>
      <c r="C32" s="109" t="e">
        <f>VLOOKUP(Table2575199129[[#This Row],[PEG]],Table1016[#All],2,FALSE)</f>
        <v>#N/A</v>
      </c>
      <c r="D32" s="117"/>
      <c r="E32" s="125" t="e">
        <f>VLOOKUP(Table2575199129[[#This Row],[PEG]],Table1016[#All],3,FALSE)</f>
        <v>#N/A</v>
      </c>
    </row>
    <row r="33" spans="1:5" x14ac:dyDescent="0.35">
      <c r="A33" s="118">
        <v>26</v>
      </c>
      <c r="B33" s="114" t="s">
        <v>124</v>
      </c>
      <c r="C33" s="109" t="e">
        <f>VLOOKUP(Table2575199129[[#This Row],[PEG]],Table1016[#All],2,FALSE)</f>
        <v>#N/A</v>
      </c>
      <c r="D33" s="117"/>
      <c r="E33" s="125" t="e">
        <f>VLOOKUP(Table2575199129[[#This Row],[PEG]],Table1016[#All],3,FALSE)</f>
        <v>#N/A</v>
      </c>
    </row>
    <row r="34" spans="1:5" x14ac:dyDescent="0.35">
      <c r="A34" s="118">
        <v>27</v>
      </c>
      <c r="B34" s="114" t="s">
        <v>115</v>
      </c>
      <c r="C34" s="109" t="e">
        <f>VLOOKUP(Table2575199129[[#This Row],[PEG]],Table1016[#All],2,FALSE)</f>
        <v>#N/A</v>
      </c>
      <c r="D34" s="117"/>
      <c r="E34" s="125" t="e">
        <f>VLOOKUP(Table2575199129[[#This Row],[PEG]],Table1016[#All],3,FALSE)</f>
        <v>#N/A</v>
      </c>
    </row>
    <row r="35" spans="1:5" x14ac:dyDescent="0.35">
      <c r="A35" s="118">
        <v>28</v>
      </c>
      <c r="B35" s="114" t="s">
        <v>124</v>
      </c>
      <c r="C35" s="109" t="e">
        <f>VLOOKUP(Table2575199129[[#This Row],[PEG]],Table1016[#All],2,FALSE)</f>
        <v>#N/A</v>
      </c>
      <c r="D35" s="117"/>
      <c r="E35" s="125" t="e">
        <f>VLOOKUP(Table2575199129[[#This Row],[PEG]],Table1016[#All],3,FALSE)</f>
        <v>#N/A</v>
      </c>
    </row>
    <row r="36" spans="1:5" x14ac:dyDescent="0.35">
      <c r="A36" s="118">
        <v>29</v>
      </c>
      <c r="B36" s="114" t="s">
        <v>115</v>
      </c>
      <c r="C36" s="109" t="e">
        <f>VLOOKUP(Table2575199129[[#This Row],[PEG]],Table1016[#All],2,FALSE)</f>
        <v>#N/A</v>
      </c>
      <c r="D36" s="117"/>
      <c r="E36" s="125" t="e">
        <f>VLOOKUP(Table2575199129[[#This Row],[PEG]],Table1016[#All],3,FALSE)</f>
        <v>#N/A</v>
      </c>
    </row>
    <row r="37" spans="1:5" x14ac:dyDescent="0.35">
      <c r="A37" s="118">
        <v>30</v>
      </c>
      <c r="B37" s="114" t="s">
        <v>12</v>
      </c>
      <c r="C37" s="109" t="e">
        <f>VLOOKUP(Table2575199129[[#This Row],[PEG]],Table1016[#All],2,FALSE)</f>
        <v>#N/A</v>
      </c>
      <c r="D37" s="117"/>
      <c r="E37" s="125" t="e">
        <f>VLOOKUP(Table2575199129[[#This Row],[PEG]],Table1016[#All],3,FALSE)</f>
        <v>#N/A</v>
      </c>
    </row>
    <row r="38" spans="1:5" x14ac:dyDescent="0.35">
      <c r="A38" s="118">
        <v>31</v>
      </c>
      <c r="B38" s="114" t="s">
        <v>12</v>
      </c>
      <c r="C38" s="109" t="e">
        <f>VLOOKUP(Table2575199129[[#This Row],[PEG]],Table1016[#All],2,FALSE)</f>
        <v>#N/A</v>
      </c>
      <c r="D38" s="117"/>
      <c r="E38" s="125" t="e">
        <f>VLOOKUP(Table2575199129[[#This Row],[PEG]],Table1016[#All],3,FALSE)</f>
        <v>#N/A</v>
      </c>
    </row>
    <row r="39" spans="1:5" x14ac:dyDescent="0.35">
      <c r="A39" s="118">
        <v>32</v>
      </c>
      <c r="B39" s="114" t="s">
        <v>12</v>
      </c>
      <c r="C39" s="109" t="e">
        <f>VLOOKUP(Table2575199129[[#This Row],[PEG]],Table1016[#All],2,FALSE)</f>
        <v>#N/A</v>
      </c>
      <c r="D39" s="117"/>
      <c r="E39" s="125" t="e">
        <f>VLOOKUP(Table2575199129[[#This Row],[PEG]],Table1016[#All],3,FALSE)</f>
        <v>#N/A</v>
      </c>
    </row>
    <row r="40" spans="1:5" x14ac:dyDescent="0.35">
      <c r="A40" s="118">
        <v>33</v>
      </c>
      <c r="B40" s="114" t="s">
        <v>12</v>
      </c>
      <c r="C40" s="109" t="e">
        <f>VLOOKUP(Table2575199129[[#This Row],[PEG]],Table1016[#All],2,FALSE)</f>
        <v>#N/A</v>
      </c>
      <c r="D40" s="117"/>
      <c r="E40" s="125" t="e">
        <f>VLOOKUP(Table2575199129[[#This Row],[PEG]],Table1016[#All],3,FALSE)</f>
        <v>#N/A</v>
      </c>
    </row>
    <row r="41" spans="1:5" x14ac:dyDescent="0.35">
      <c r="A41" s="118">
        <v>34</v>
      </c>
      <c r="B41" s="114" t="s">
        <v>115</v>
      </c>
      <c r="C41" s="109" t="e">
        <f>VLOOKUP(Table2575199129[[#This Row],[PEG]],Table1016[#All],2,FALSE)</f>
        <v>#N/A</v>
      </c>
      <c r="D41" s="117"/>
      <c r="E41" s="125" t="e">
        <f>VLOOKUP(Table2575199129[[#This Row],[PEG]],Table1016[#All],3,FALSE)</f>
        <v>#N/A</v>
      </c>
    </row>
    <row r="42" spans="1:5" x14ac:dyDescent="0.35">
      <c r="A42" s="118">
        <v>35</v>
      </c>
      <c r="B42" s="114" t="s">
        <v>12</v>
      </c>
      <c r="C42" s="109" t="e">
        <f>VLOOKUP(Table2575199129[[#This Row],[PEG]],Table1016[#All],2,FALSE)</f>
        <v>#N/A</v>
      </c>
      <c r="D42" s="115"/>
      <c r="E42" s="125" t="e">
        <f>VLOOKUP(Table2575199129[[#This Row],[PEG]],Table1016[#All],3,FALSE)</f>
        <v>#N/A</v>
      </c>
    </row>
    <row r="43" spans="1:5" x14ac:dyDescent="0.35">
      <c r="A43" s="118">
        <v>36</v>
      </c>
      <c r="B43" s="114" t="s">
        <v>115</v>
      </c>
      <c r="C43" s="109" t="e">
        <f>VLOOKUP(Table2575199129[[#This Row],[PEG]],Table1016[#All],2,FALSE)</f>
        <v>#N/A</v>
      </c>
      <c r="D43" s="115"/>
      <c r="E43" s="125" t="e">
        <f>VLOOKUP(Table2575199129[[#This Row],[PEG]],Table1016[#All],3,FALSE)</f>
        <v>#N/A</v>
      </c>
    </row>
    <row r="44" spans="1:5" x14ac:dyDescent="0.35">
      <c r="A44" s="118">
        <v>37</v>
      </c>
      <c r="B44" s="114" t="s">
        <v>13</v>
      </c>
      <c r="C44" s="18" t="s">
        <v>13</v>
      </c>
      <c r="D44" s="115"/>
      <c r="E44" s="32"/>
    </row>
  </sheetData>
  <mergeCells count="1">
    <mergeCell ref="A1:B1"/>
  </mergeCells>
  <conditionalFormatting sqref="B8:B18">
    <cfRule type="containsText" dxfId="2713" priority="1" operator="containsText" text="Hear">
      <formula>NOT(ISERROR(SEARCH("Hear",B8)))</formula>
    </cfRule>
  </conditionalFormatting>
  <conditionalFormatting sqref="B30">
    <cfRule type="containsText" dxfId="2712" priority="4" operator="containsText" text="Hear">
      <formula>NOT(ISERROR(SEARCH("Hear",B30)))</formula>
    </cfRule>
  </conditionalFormatting>
  <conditionalFormatting sqref="B43:B44">
    <cfRule type="containsText" dxfId="2711" priority="14" operator="containsText" text="Hear">
      <formula>NOT(ISERROR(SEARCH("Hear",B43)))</formula>
    </cfRule>
  </conditionalFormatting>
  <conditionalFormatting sqref="E44">
    <cfRule type="containsText" dxfId="2710" priority="12" operator="containsText" text="WEB SERVICE">
      <formula>NOT(ISERROR(SEARCH("WEB SERVICE",E44)))</formula>
    </cfRule>
    <cfRule type="containsText" dxfId="2709" priority="13" operator="containsText" text="DB">
      <formula>NOT(ISERROR(SEARCH("DB",E44)))</formula>
    </cfRule>
  </conditionalFormatting>
  <conditionalFormatting sqref="C44">
    <cfRule type="expression" dxfId="2708" priority="15">
      <formula>$B44="Dial"</formula>
    </cfRule>
    <cfRule type="expression" dxfId="2707" priority="17">
      <formula>$B44="HANGUP"</formula>
    </cfRule>
  </conditionalFormatting>
  <conditionalFormatting sqref="C44">
    <cfRule type="expression" dxfId="2706" priority="16">
      <formula>$B44="Speak"</formula>
    </cfRule>
  </conditionalFormatting>
  <conditionalFormatting sqref="B36:B38 B40:B41">
    <cfRule type="containsText" dxfId="2705" priority="3" operator="containsText" text="Hear">
      <formula>NOT(ISERROR(SEARCH("Hear",B36)))</formula>
    </cfRule>
  </conditionalFormatting>
  <conditionalFormatting sqref="B19:B29 B31:B35 B42">
    <cfRule type="containsText" dxfId="2704" priority="5" operator="containsText" text="Hear">
      <formula>NOT(ISERROR(SEARCH("Hear",B19)))</formula>
    </cfRule>
  </conditionalFormatting>
  <hyperlinks>
    <hyperlink ref="A1" location="'Test Case Overview'!A1" display="Return to Test Case Overview" xr:uid="{6870F727-1912-492D-90D9-9945A75BB38A}"/>
  </hyperlinks>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expression" priority="2" id="{7070C7D1-CDD0-4993-A641-85E03136AE18}">
            <xm:f>'TC1'!$B8="Dial"</xm:f>
            <x14:dxf>
              <font>
                <b/>
                <i val="0"/>
                <color rgb="FFFF0000"/>
              </font>
            </x14:dxf>
          </x14:cfRule>
          <x14:cfRule type="expression" priority="18" id="{60E05739-7136-43B4-8F1A-30557E95F685}">
            <xm:f>'TC1'!$B8="HANGUP"</xm:f>
            <x14:dxf>
              <font>
                <b/>
                <i val="0"/>
              </font>
            </x14:dxf>
          </x14:cfRule>
          <xm:sqref>C8</xm:sqref>
        </x14:conditionalFormatting>
        <x14:conditionalFormatting xmlns:xm="http://schemas.microsoft.com/office/excel/2006/main">
          <x14:cfRule type="expression" priority="19" id="{1E9DFDEC-7BF7-4B03-B559-D1892083FAF6}">
            <xm:f>'TC1'!$B8="Speak"</xm:f>
            <x14:dxf>
              <font>
                <b/>
                <i val="0"/>
                <color rgb="FFFF0000"/>
              </font>
            </x14:dxf>
          </x14:cfRule>
          <xm:sqref>C8</xm:sqref>
        </x14:conditionalFormatting>
        <x14:conditionalFormatting xmlns:xm="http://schemas.microsoft.com/office/excel/2006/main">
          <x14:cfRule type="containsText" priority="22" operator="containsText" text="Hear" id="{D3CD0DA2-AAE4-46A4-ADE8-CED3ACBFE0C3}">
            <xm:f>NOT(ISERROR(SEARCH("Hear",'TC3'!B34)))</xm:f>
            <x14:dxf>
              <font>
                <color theme="9" tint="-0.24994659260841701"/>
              </font>
              <fill>
                <patternFill>
                  <bgColor theme="9" tint="0.59996337778862885"/>
                </patternFill>
              </fill>
            </x14:dxf>
          </x14:cfRule>
          <xm:sqref>B41</xm:sqref>
        </x14:conditionalFormatting>
        <x14:conditionalFormatting xmlns:xm="http://schemas.microsoft.com/office/excel/2006/main">
          <x14:cfRule type="expression" priority="2303" id="{7070C7D1-CDD0-4993-A641-85E03136AE18}">
            <xm:f>'TC1'!$B16="Dial"</xm:f>
            <x14:dxf>
              <font>
                <b/>
                <i val="0"/>
                <color rgb="FFFF0000"/>
              </font>
            </x14:dxf>
          </x14:cfRule>
          <x14:cfRule type="expression" priority="2304" id="{60E05739-7136-43B4-8F1A-30557E95F685}">
            <xm:f>'TC1'!$B16="HANGUP"</xm:f>
            <x14:dxf>
              <font>
                <b/>
                <i val="0"/>
              </font>
            </x14:dxf>
          </x14:cfRule>
          <xm:sqref>C34:C43</xm:sqref>
        </x14:conditionalFormatting>
        <x14:conditionalFormatting xmlns:xm="http://schemas.microsoft.com/office/excel/2006/main">
          <x14:cfRule type="expression" priority="2305" id="{7070C7D1-CDD0-4993-A641-85E03136AE18}">
            <xm:f>'TC1'!#REF!="Dial"</xm:f>
            <x14:dxf>
              <font>
                <b/>
                <i val="0"/>
                <color rgb="FFFF0000"/>
              </font>
            </x14:dxf>
          </x14:cfRule>
          <x14:cfRule type="expression" priority="2306" id="{60E05739-7136-43B4-8F1A-30557E95F685}">
            <xm:f>'TC1'!#REF!="HANGUP"</xm:f>
            <x14:dxf>
              <font>
                <b/>
                <i val="0"/>
              </font>
            </x14:dxf>
          </x14:cfRule>
          <xm:sqref>C17:C33</xm:sqref>
        </x14:conditionalFormatting>
        <x14:conditionalFormatting xmlns:xm="http://schemas.microsoft.com/office/excel/2006/main">
          <x14:cfRule type="expression" priority="2310" id="{1E9DFDEC-7BF7-4B03-B559-D1892083FAF6}">
            <xm:f>'TC1'!$B16="Speak"</xm:f>
            <x14:dxf>
              <font>
                <b/>
                <i val="0"/>
                <color rgb="FFFF0000"/>
              </font>
            </x14:dxf>
          </x14:cfRule>
          <xm:sqref>C34:C43</xm:sqref>
        </x14:conditionalFormatting>
        <x14:conditionalFormatting xmlns:xm="http://schemas.microsoft.com/office/excel/2006/main">
          <x14:cfRule type="expression" priority="2311" id="{1E9DFDEC-7BF7-4B03-B559-D1892083FAF6}">
            <xm:f>'TC1'!#REF!="Speak"</xm:f>
            <x14:dxf>
              <font>
                <b/>
                <i val="0"/>
                <color rgb="FFFF0000"/>
              </font>
            </x14:dxf>
          </x14:cfRule>
          <xm:sqref>C17:C33</xm:sqref>
        </x14:conditionalFormatting>
        <x14:conditionalFormatting xmlns:xm="http://schemas.microsoft.com/office/excel/2006/main">
          <x14:cfRule type="containsText" priority="2315" operator="containsText" text="DB" id="{E368BBFC-A6B9-45C1-BF7D-87C5324180B7}">
            <xm:f>NOT(ISERROR(SEARCH("DB",'TC1'!E16)))</xm:f>
            <x14:dxf>
              <font>
                <color rgb="FF006100"/>
              </font>
              <fill>
                <patternFill>
                  <bgColor rgb="FFC6EFCE"/>
                </patternFill>
              </fill>
            </x14:dxf>
          </x14:cfRule>
          <x14:cfRule type="containsText" priority="2316" operator="containsText" text="WEB SERVICE" id="{01A1980F-B126-43CD-A55E-B3B731EBF64B}">
            <xm:f>NOT(ISERROR(SEARCH("WEB SERVICE",'TC1'!E16)))</xm:f>
            <x14:dxf>
              <font>
                <color rgb="FF9C0006"/>
              </font>
              <fill>
                <patternFill>
                  <bgColor rgb="FFFFC7CE"/>
                </patternFill>
              </fill>
            </x14:dxf>
          </x14:cfRule>
          <xm:sqref>E34:E43</xm:sqref>
        </x14:conditionalFormatting>
        <x14:conditionalFormatting xmlns:xm="http://schemas.microsoft.com/office/excel/2006/main">
          <x14:cfRule type="containsText" priority="2317" operator="containsText" text="DB" id="{E368BBFC-A6B9-45C1-BF7D-87C5324180B7}">
            <xm:f>NOT(ISERROR(SEARCH("DB",'TC1'!#REF!)))</xm:f>
            <x14:dxf>
              <font>
                <color rgb="FF006100"/>
              </font>
              <fill>
                <patternFill>
                  <bgColor rgb="FFC6EFCE"/>
                </patternFill>
              </fill>
            </x14:dxf>
          </x14:cfRule>
          <x14:cfRule type="containsText" priority="2318" operator="containsText" text="WEB SERVICE" id="{01A1980F-B126-43CD-A55E-B3B731EBF64B}">
            <xm:f>NOT(ISERROR(SEARCH("WEB SERVICE",'TC1'!#REF!)))</xm:f>
            <x14:dxf>
              <font>
                <color rgb="FF9C0006"/>
              </font>
              <fill>
                <patternFill>
                  <bgColor rgb="FFFFC7CE"/>
                </patternFill>
              </fill>
            </x14:dxf>
          </x14:cfRule>
          <xm:sqref>E17:E33</xm:sqref>
        </x14:conditionalFormatting>
        <x14:conditionalFormatting xmlns:xm="http://schemas.microsoft.com/office/excel/2006/main">
          <x14:cfRule type="expression" priority="5011" id="{7070C7D1-CDD0-4993-A641-85E03136AE18}">
            <xm:f>'TC1'!$B9="Dial"</xm:f>
            <x14:dxf>
              <font>
                <b/>
                <i val="0"/>
                <color rgb="FFFF0000"/>
              </font>
            </x14:dxf>
          </x14:cfRule>
          <x14:cfRule type="expression" priority="5012" id="{60E05739-7136-43B4-8F1A-30557E95F685}">
            <xm:f>'TC1'!$B9="HANGUP"</xm:f>
            <x14:dxf>
              <font>
                <b/>
                <i val="0"/>
              </font>
            </x14:dxf>
          </x14:cfRule>
          <xm:sqref>C12:C15</xm:sqref>
        </x14:conditionalFormatting>
        <x14:conditionalFormatting xmlns:xm="http://schemas.microsoft.com/office/excel/2006/main">
          <x14:cfRule type="expression" priority="5013" id="{7070C7D1-CDD0-4993-A641-85E03136AE18}">
            <xm:f>'TC1'!#REF!="Dial"</xm:f>
            <x14:dxf>
              <font>
                <b/>
                <i val="0"/>
                <color rgb="FFFF0000"/>
              </font>
            </x14:dxf>
          </x14:cfRule>
          <x14:cfRule type="expression" priority="5014" id="{60E05739-7136-43B4-8F1A-30557E95F685}">
            <xm:f>'TC1'!#REF!="HANGUP"</xm:f>
            <x14:dxf>
              <font>
                <b/>
                <i val="0"/>
              </font>
            </x14:dxf>
          </x14:cfRule>
          <xm:sqref>C9:C11</xm:sqref>
        </x14:conditionalFormatting>
        <x14:conditionalFormatting xmlns:xm="http://schemas.microsoft.com/office/excel/2006/main">
          <x14:cfRule type="expression" priority="5018" id="{1E9DFDEC-7BF7-4B03-B559-D1892083FAF6}">
            <xm:f>'TC1'!$B9="Speak"</xm:f>
            <x14:dxf>
              <font>
                <b/>
                <i val="0"/>
                <color rgb="FFFF0000"/>
              </font>
            </x14:dxf>
          </x14:cfRule>
          <xm:sqref>C12:C15</xm:sqref>
        </x14:conditionalFormatting>
        <x14:conditionalFormatting xmlns:xm="http://schemas.microsoft.com/office/excel/2006/main">
          <x14:cfRule type="expression" priority="5019" id="{1E9DFDEC-7BF7-4B03-B559-D1892083FAF6}">
            <xm:f>'TC1'!#REF!="Speak"</xm:f>
            <x14:dxf>
              <font>
                <b/>
                <i val="0"/>
                <color rgb="FFFF0000"/>
              </font>
            </x14:dxf>
          </x14:cfRule>
          <xm:sqref>C9:C11</xm:sqref>
        </x14:conditionalFormatting>
        <x14:conditionalFormatting xmlns:xm="http://schemas.microsoft.com/office/excel/2006/main">
          <x14:cfRule type="containsText" priority="5021" operator="containsText" text="DB" id="{E368BBFC-A6B9-45C1-BF7D-87C5324180B7}">
            <xm:f>NOT(ISERROR(SEARCH("DB",'TC1'!#REF!)))</xm:f>
            <x14:dxf>
              <font>
                <color rgb="FF006100"/>
              </font>
              <fill>
                <patternFill>
                  <bgColor rgb="FFC6EFCE"/>
                </patternFill>
              </fill>
            </x14:dxf>
          </x14:cfRule>
          <x14:cfRule type="containsText" priority="5022" operator="containsText" text="WEB SERVICE" id="{01A1980F-B126-43CD-A55E-B3B731EBF64B}">
            <xm:f>NOT(ISERROR(SEARCH("WEB SERVICE",'TC1'!#REF!)))</xm:f>
            <x14:dxf>
              <font>
                <color rgb="FF9C0006"/>
              </font>
              <fill>
                <patternFill>
                  <bgColor rgb="FFFFC7CE"/>
                </patternFill>
              </fill>
            </x14:dxf>
          </x14:cfRule>
          <xm:sqref>E9:E11</xm:sqref>
        </x14:conditionalFormatting>
        <x14:conditionalFormatting xmlns:xm="http://schemas.microsoft.com/office/excel/2006/main">
          <x14:cfRule type="containsText" priority="5023" operator="containsText" text="DB" id="{E368BBFC-A6B9-45C1-BF7D-87C5324180B7}">
            <xm:f>NOT(ISERROR(SEARCH("DB",'TC1'!E9)))</xm:f>
            <x14:dxf>
              <font>
                <color rgb="FF006100"/>
              </font>
              <fill>
                <patternFill>
                  <bgColor rgb="FFC6EFCE"/>
                </patternFill>
              </fill>
            </x14:dxf>
          </x14:cfRule>
          <x14:cfRule type="containsText" priority="5024" operator="containsText" text="WEB SERVICE" id="{01A1980F-B126-43CD-A55E-B3B731EBF64B}">
            <xm:f>NOT(ISERROR(SEARCH("WEB SERVICE",'TC1'!E9)))</xm:f>
            <x14:dxf>
              <font>
                <color rgb="FF9C0006"/>
              </font>
              <fill>
                <patternFill>
                  <bgColor rgb="FFFFC7CE"/>
                </patternFill>
              </fill>
            </x14:dxf>
          </x14:cfRule>
          <xm:sqref>E12:E15</xm:sqref>
        </x14:conditionalFormatting>
        <x14:conditionalFormatting xmlns:xm="http://schemas.microsoft.com/office/excel/2006/main">
          <x14:cfRule type="expression" priority="7355" id="{7070C7D1-CDD0-4993-A641-85E03136AE18}">
            <xm:f>'TC1'!$B15="Dial"</xm:f>
            <x14:dxf>
              <font>
                <b/>
                <i val="0"/>
                <color rgb="FFFF0000"/>
              </font>
            </x14:dxf>
          </x14:cfRule>
          <x14:cfRule type="expression" priority="7356" id="{60E05739-7136-43B4-8F1A-30557E95F685}">
            <xm:f>'TC1'!$B15="HANGUP"</xm:f>
            <x14:dxf>
              <font>
                <b/>
                <i val="0"/>
              </font>
            </x14:dxf>
          </x14:cfRule>
          <xm:sqref>C16</xm:sqref>
        </x14:conditionalFormatting>
        <x14:conditionalFormatting xmlns:xm="http://schemas.microsoft.com/office/excel/2006/main">
          <x14:cfRule type="expression" priority="7358" id="{1E9DFDEC-7BF7-4B03-B559-D1892083FAF6}">
            <xm:f>'TC1'!$B15="Speak"</xm:f>
            <x14:dxf>
              <font>
                <b/>
                <i val="0"/>
                <color rgb="FFFF0000"/>
              </font>
            </x14:dxf>
          </x14:cfRule>
          <xm:sqref>C16</xm:sqref>
        </x14:conditionalFormatting>
        <x14:conditionalFormatting xmlns:xm="http://schemas.microsoft.com/office/excel/2006/main">
          <x14:cfRule type="containsText" priority="7361" operator="containsText" text="DB" id="{E368BBFC-A6B9-45C1-BF7D-87C5324180B7}">
            <xm:f>NOT(ISERROR(SEARCH("DB",'TC1'!E15)))</xm:f>
            <x14:dxf>
              <font>
                <color rgb="FF006100"/>
              </font>
              <fill>
                <patternFill>
                  <bgColor rgb="FFC6EFCE"/>
                </patternFill>
              </fill>
            </x14:dxf>
          </x14:cfRule>
          <x14:cfRule type="containsText" priority="7362" operator="containsText" text="WEB SERVICE" id="{01A1980F-B126-43CD-A55E-B3B731EBF64B}">
            <xm:f>NOT(ISERROR(SEARCH("WEB SERVICE",'TC1'!E15)))</xm:f>
            <x14:dxf>
              <font>
                <color rgb="FF9C0006"/>
              </font>
              <fill>
                <patternFill>
                  <bgColor rgb="FFFFC7CE"/>
                </patternFill>
              </fill>
            </x14:dxf>
          </x14:cfRule>
          <xm:sqref>E16</xm:sqref>
        </x14:conditionalFormatting>
        <x14:conditionalFormatting xmlns:xm="http://schemas.microsoft.com/office/excel/2006/main">
          <x14:cfRule type="containsText" priority="9874" operator="containsText" text="Hear" id="{3A20C82C-D8DB-4538-BF6B-F65A01D94B91}">
            <xm:f>NOT(ISERROR(SEARCH("Hear",'TC26'!#REF!)))</xm:f>
            <x14:dxf>
              <font>
                <color theme="9" tint="-0.24994659260841701"/>
              </font>
              <fill>
                <patternFill>
                  <bgColor theme="9" tint="0.59996337778862885"/>
                </patternFill>
              </fill>
            </x14:dxf>
          </x14:cfRule>
          <xm:sqref>B39</xm:sqref>
        </x14:conditionalFormatting>
      </x14:conditionalFormattings>
    </ext>
  </extLst>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700-000000000000}">
  <sheetPr codeName="Sheet105"/>
  <dimension ref="A1:E44"/>
  <sheetViews>
    <sheetView zoomScaleNormal="100" workbookViewId="0">
      <selection sqref="A1:E44"/>
    </sheetView>
  </sheetViews>
  <sheetFormatPr defaultRowHeight="14.5" x14ac:dyDescent="0.35"/>
  <cols>
    <col min="1" max="1" width="14.453125" bestFit="1" customWidth="1"/>
    <col min="2" max="2" width="42.6328125" customWidth="1"/>
    <col min="3" max="3" width="106.1796875" customWidth="1"/>
    <col min="4" max="4" width="21.81640625" bestFit="1" customWidth="1"/>
    <col min="5" max="5" width="20.6328125" customWidth="1"/>
  </cols>
  <sheetData>
    <row r="1" spans="1:5" ht="18.5" x14ac:dyDescent="0.35">
      <c r="A1" s="192" t="s">
        <v>4</v>
      </c>
      <c r="B1" s="192"/>
      <c r="C1" s="105"/>
      <c r="D1" s="111"/>
      <c r="E1" s="97"/>
    </row>
    <row r="2" spans="1:5" x14ac:dyDescent="0.35">
      <c r="A2" s="106" t="s">
        <v>5</v>
      </c>
      <c r="B2" s="107" t="str">
        <f ca="1">MID(CELL("filename",A1),FIND("]",CELL("filename",A1))+1,LEN(CELL("filename",A1))-FIND("]",CELL("filename",A1)))</f>
        <v>TC103</v>
      </c>
      <c r="C2" s="98"/>
      <c r="D2" s="111"/>
      <c r="E2" s="97"/>
    </row>
    <row r="3" spans="1:5" x14ac:dyDescent="0.35">
      <c r="A3" s="104" t="s">
        <v>19</v>
      </c>
      <c r="B3" s="112">
        <f ca="1">VLOOKUP(B2,Table53[#All],2,FALSE)</f>
        <v>0</v>
      </c>
      <c r="C3" s="98"/>
      <c r="D3" s="111"/>
      <c r="E3" s="97"/>
    </row>
    <row r="4" spans="1:5" ht="29" x14ac:dyDescent="0.35">
      <c r="A4" s="113" t="s">
        <v>20</v>
      </c>
      <c r="B4" s="99">
        <f ca="1">VLOOKUP(B2,Table53[#All],4,FALSE)</f>
        <v>0</v>
      </c>
      <c r="C4" s="98"/>
      <c r="D4" s="111"/>
      <c r="E4" s="97"/>
    </row>
    <row r="5" spans="1:5" x14ac:dyDescent="0.35">
      <c r="A5" s="104" t="s">
        <v>6</v>
      </c>
      <c r="B5" s="77">
        <f ca="1">VLOOKUP(B2,Table53[#All],3,FALSE)</f>
        <v>0</v>
      </c>
      <c r="C5" s="98"/>
      <c r="D5" s="111"/>
      <c r="E5" s="97"/>
    </row>
    <row r="6" spans="1:5" x14ac:dyDescent="0.35">
      <c r="A6" s="97"/>
      <c r="B6" s="97"/>
      <c r="C6" s="98"/>
      <c r="D6" s="111"/>
      <c r="E6" s="97"/>
    </row>
    <row r="7" spans="1:5" ht="15.5" x14ac:dyDescent="0.35">
      <c r="A7" s="100" t="s">
        <v>7</v>
      </c>
      <c r="B7" s="101" t="s">
        <v>8</v>
      </c>
      <c r="C7" s="102" t="s">
        <v>9</v>
      </c>
      <c r="D7" s="102" t="s">
        <v>14</v>
      </c>
      <c r="E7" s="103" t="s">
        <v>10</v>
      </c>
    </row>
    <row r="8" spans="1:5" x14ac:dyDescent="0.35">
      <c r="A8" s="118">
        <v>1</v>
      </c>
      <c r="B8" s="114" t="s">
        <v>114</v>
      </c>
      <c r="C8" s="109" t="s">
        <v>125</v>
      </c>
      <c r="D8" s="128"/>
      <c r="E8" s="125" t="s">
        <v>11</v>
      </c>
    </row>
    <row r="9" spans="1:5" x14ac:dyDescent="0.35">
      <c r="A9" s="118">
        <v>2</v>
      </c>
      <c r="B9" s="114" t="s">
        <v>12</v>
      </c>
      <c r="C9" s="109" t="e">
        <f>VLOOKUP(Table2575199131[[#This Row],[PEG]],Table1016[#All],2,FALSE)</f>
        <v>#N/A</v>
      </c>
      <c r="D9" s="128"/>
      <c r="E9" s="125" t="e">
        <f>VLOOKUP(Table2575199131[[#This Row],[PEG]],Table1016[#All],3,FALSE)</f>
        <v>#N/A</v>
      </c>
    </row>
    <row r="10" spans="1:5" x14ac:dyDescent="0.35">
      <c r="A10" s="118">
        <v>3</v>
      </c>
      <c r="B10" s="114" t="s">
        <v>115</v>
      </c>
      <c r="C10" s="109" t="e">
        <f>VLOOKUP(Table2575199131[[#This Row],[PEG]],Table1016[#All],2,FALSE)</f>
        <v>#N/A</v>
      </c>
      <c r="D10" s="128"/>
      <c r="E10" s="125" t="e">
        <f>VLOOKUP(Table2575199131[[#This Row],[PEG]],Table1016[#All],3,FALSE)</f>
        <v>#N/A</v>
      </c>
    </row>
    <row r="11" spans="1:5" x14ac:dyDescent="0.35">
      <c r="A11" s="118">
        <v>4</v>
      </c>
      <c r="B11" s="114" t="s">
        <v>115</v>
      </c>
      <c r="C11" s="109" t="e">
        <f>VLOOKUP(Table2575199131[[#This Row],[PEG]],Table1016[#All],2,FALSE)</f>
        <v>#N/A</v>
      </c>
      <c r="D11" s="128"/>
      <c r="E11" s="125" t="e">
        <f>VLOOKUP(Table2575199131[[#This Row],[PEG]],Table1016[#All],3,FALSE)</f>
        <v>#N/A</v>
      </c>
    </row>
    <row r="12" spans="1:5" x14ac:dyDescent="0.35">
      <c r="A12" s="118">
        <v>5</v>
      </c>
      <c r="B12" s="114" t="s">
        <v>114</v>
      </c>
      <c r="C12" s="109" t="e">
        <f>VLOOKUP(Table2575199131[[#This Row],[PEG]],Table1016[#All],2,FALSE)</f>
        <v>#N/A</v>
      </c>
      <c r="D12" s="128"/>
      <c r="E12" s="125" t="e">
        <f>VLOOKUP(Table2575199131[[#This Row],[PEG]],Table1016[#All],3,FALSE)</f>
        <v>#N/A</v>
      </c>
    </row>
    <row r="13" spans="1:5" x14ac:dyDescent="0.35">
      <c r="A13" s="118">
        <v>6</v>
      </c>
      <c r="B13" s="114" t="s">
        <v>115</v>
      </c>
      <c r="C13" s="109" t="e">
        <f>VLOOKUP(Table2575199131[[#This Row],[PEG]],Table1016[#All],2,FALSE)</f>
        <v>#N/A</v>
      </c>
      <c r="D13" s="128"/>
      <c r="E13" s="125" t="e">
        <f>VLOOKUP(Table2575199131[[#This Row],[PEG]],Table1016[#All],3,FALSE)</f>
        <v>#N/A</v>
      </c>
    </row>
    <row r="14" spans="1:5" x14ac:dyDescent="0.35">
      <c r="A14" s="118">
        <v>7</v>
      </c>
      <c r="B14" s="114" t="s">
        <v>114</v>
      </c>
      <c r="C14" s="109" t="e">
        <f>VLOOKUP(Table2575199131[[#This Row],[PEG]],Table1016[#All],2,FALSE)</f>
        <v>#N/A</v>
      </c>
      <c r="D14" s="128"/>
      <c r="E14" s="125" t="e">
        <f>VLOOKUP(Table2575199131[[#This Row],[PEG]],Table1016[#All],3,FALSE)</f>
        <v>#N/A</v>
      </c>
    </row>
    <row r="15" spans="1:5" x14ac:dyDescent="0.35">
      <c r="A15" s="118">
        <v>8</v>
      </c>
      <c r="B15" s="114" t="s">
        <v>115</v>
      </c>
      <c r="C15" s="109" t="e">
        <f>VLOOKUP(Table2575199131[[#This Row],[PEG]],Table1016[#All],2,FALSE)</f>
        <v>#N/A</v>
      </c>
      <c r="D15" s="116"/>
      <c r="E15" s="125" t="e">
        <f>VLOOKUP(Table2575199131[[#This Row],[PEG]],Table1016[#All],3,FALSE)</f>
        <v>#N/A</v>
      </c>
    </row>
    <row r="16" spans="1:5" x14ac:dyDescent="0.35">
      <c r="A16" s="118">
        <v>9</v>
      </c>
      <c r="B16" s="114" t="s">
        <v>12</v>
      </c>
      <c r="C16" s="109" t="e">
        <f>VLOOKUP(Table2575199131[[#This Row],[PEG]],Table1016[#All],2,FALSE)</f>
        <v>#N/A</v>
      </c>
      <c r="D16" s="116"/>
      <c r="E16" s="125" t="e">
        <f>VLOOKUP(Table2575199131[[#This Row],[PEG]],Table1016[#All],3,FALSE)</f>
        <v>#N/A</v>
      </c>
    </row>
    <row r="17" spans="1:5" x14ac:dyDescent="0.35">
      <c r="A17" s="118">
        <v>10</v>
      </c>
      <c r="B17" s="114" t="s">
        <v>12</v>
      </c>
      <c r="C17" s="109" t="e">
        <f>VLOOKUP(Table2575199131[[#This Row],[PEG]],Table1016[#All],2,FALSE)</f>
        <v>#N/A</v>
      </c>
      <c r="D17" s="117"/>
      <c r="E17" s="125" t="e">
        <f>VLOOKUP(Table2575199131[[#This Row],[PEG]],Table1016[#All],3,FALSE)</f>
        <v>#N/A</v>
      </c>
    </row>
    <row r="18" spans="1:5" x14ac:dyDescent="0.35">
      <c r="A18" s="118">
        <v>11</v>
      </c>
      <c r="B18" s="114" t="s">
        <v>115</v>
      </c>
      <c r="C18" s="109" t="e">
        <f>VLOOKUP(Table2575199131[[#This Row],[PEG]],Table1016[#All],2,FALSE)</f>
        <v>#N/A</v>
      </c>
      <c r="D18" s="117"/>
      <c r="E18" s="125" t="e">
        <f>VLOOKUP(Table2575199131[[#This Row],[PEG]],Table1016[#All],3,FALSE)</f>
        <v>#N/A</v>
      </c>
    </row>
    <row r="19" spans="1:5" x14ac:dyDescent="0.35">
      <c r="A19" s="118">
        <v>12</v>
      </c>
      <c r="B19" s="114" t="s">
        <v>115</v>
      </c>
      <c r="C19" s="109" t="e">
        <f>VLOOKUP(Table2575199131[[#This Row],[PEG]],Table1016[#All],2,FALSE)</f>
        <v>#N/A</v>
      </c>
      <c r="D19" s="117"/>
      <c r="E19" s="125" t="e">
        <f>VLOOKUP(Table2575199131[[#This Row],[PEG]],Table1016[#All],3,FALSE)</f>
        <v>#N/A</v>
      </c>
    </row>
    <row r="20" spans="1:5" x14ac:dyDescent="0.35">
      <c r="A20" s="118">
        <v>13</v>
      </c>
      <c r="B20" s="114" t="s">
        <v>114</v>
      </c>
      <c r="C20" s="109" t="e">
        <f>VLOOKUP(Table2575199131[[#This Row],[PEG]],Table1016[#All],2,FALSE)</f>
        <v>#N/A</v>
      </c>
      <c r="D20" s="117"/>
      <c r="E20" s="125" t="e">
        <f>VLOOKUP(Table2575199131[[#This Row],[PEG]],Table1016[#All],3,FALSE)</f>
        <v>#N/A</v>
      </c>
    </row>
    <row r="21" spans="1:5" x14ac:dyDescent="0.35">
      <c r="A21" s="118">
        <v>14</v>
      </c>
      <c r="B21" s="114" t="s">
        <v>12</v>
      </c>
      <c r="C21" s="109" t="e">
        <f>VLOOKUP(Table2575199131[[#This Row],[PEG]],Table1016[#All],2,FALSE)</f>
        <v>#N/A</v>
      </c>
      <c r="D21" s="117"/>
      <c r="E21" s="125" t="e">
        <f>VLOOKUP(Table2575199131[[#This Row],[PEG]],Table1016[#All],3,FALSE)</f>
        <v>#N/A</v>
      </c>
    </row>
    <row r="22" spans="1:5" x14ac:dyDescent="0.35">
      <c r="A22" s="118">
        <v>15</v>
      </c>
      <c r="B22" s="114" t="s">
        <v>12</v>
      </c>
      <c r="C22" s="109" t="e">
        <f>VLOOKUP(Table2575199131[[#This Row],[PEG]],Table1016[#All],2,FALSE)</f>
        <v>#N/A</v>
      </c>
      <c r="D22" s="117"/>
      <c r="E22" s="125" t="e">
        <f>VLOOKUP(Table2575199131[[#This Row],[PEG]],Table1016[#All],3,FALSE)</f>
        <v>#N/A</v>
      </c>
    </row>
    <row r="23" spans="1:5" x14ac:dyDescent="0.35">
      <c r="A23" s="118">
        <v>16</v>
      </c>
      <c r="B23" s="114" t="s">
        <v>115</v>
      </c>
      <c r="C23" s="109" t="e">
        <f>VLOOKUP(Table2575199131[[#This Row],[PEG]],Table1016[#All],2,FALSE)</f>
        <v>#N/A</v>
      </c>
      <c r="D23" s="117"/>
      <c r="E23" s="125" t="e">
        <f>VLOOKUP(Table2575199131[[#This Row],[PEG]],Table1016[#All],3,FALSE)</f>
        <v>#N/A</v>
      </c>
    </row>
    <row r="24" spans="1:5" x14ac:dyDescent="0.35">
      <c r="A24" s="118">
        <v>17</v>
      </c>
      <c r="B24" s="114" t="s">
        <v>114</v>
      </c>
      <c r="C24" s="109" t="e">
        <f>VLOOKUP(Table2575199131[[#This Row],[PEG]],Table1016[#All],2,FALSE)</f>
        <v>#N/A</v>
      </c>
      <c r="D24" s="117"/>
      <c r="E24" s="125" t="e">
        <f>VLOOKUP(Table2575199131[[#This Row],[PEG]],Table1016[#All],3,FALSE)</f>
        <v>#N/A</v>
      </c>
    </row>
    <row r="25" spans="1:5" x14ac:dyDescent="0.35">
      <c r="A25" s="118">
        <v>18</v>
      </c>
      <c r="B25" s="114" t="s">
        <v>12</v>
      </c>
      <c r="C25" s="109" t="e">
        <f>VLOOKUP(Table2575199131[[#This Row],[PEG]],Table1016[#All],2,FALSE)</f>
        <v>#N/A</v>
      </c>
      <c r="D25" s="117"/>
      <c r="E25" s="125" t="e">
        <f>VLOOKUP(Table2575199131[[#This Row],[PEG]],Table1016[#All],3,FALSE)</f>
        <v>#N/A</v>
      </c>
    </row>
    <row r="26" spans="1:5" x14ac:dyDescent="0.35">
      <c r="A26" s="118">
        <v>19</v>
      </c>
      <c r="B26" s="114" t="s">
        <v>12</v>
      </c>
      <c r="C26" s="109" t="e">
        <f>VLOOKUP(Table2575199131[[#This Row],[PEG]],Table1016[#All],2,FALSE)</f>
        <v>#N/A</v>
      </c>
      <c r="D26" s="117"/>
      <c r="E26" s="125" t="e">
        <f>VLOOKUP(Table2575199131[[#This Row],[PEG]],Table1016[#All],3,FALSE)</f>
        <v>#N/A</v>
      </c>
    </row>
    <row r="27" spans="1:5" x14ac:dyDescent="0.35">
      <c r="A27" s="118">
        <v>20</v>
      </c>
      <c r="B27" s="114" t="s">
        <v>115</v>
      </c>
      <c r="C27" s="109" t="e">
        <f>VLOOKUP(Table2575199131[[#This Row],[PEG]],Table1016[#All],2,FALSE)</f>
        <v>#N/A</v>
      </c>
      <c r="D27" s="117"/>
      <c r="E27" s="125" t="e">
        <f>VLOOKUP(Table2575199131[[#This Row],[PEG]],Table1016[#All],3,FALSE)</f>
        <v>#N/A</v>
      </c>
    </row>
    <row r="28" spans="1:5" x14ac:dyDescent="0.35">
      <c r="A28" s="118">
        <v>21</v>
      </c>
      <c r="B28" s="114" t="s">
        <v>114</v>
      </c>
      <c r="C28" s="109" t="e">
        <f>VLOOKUP(Table2575199131[[#This Row],[PEG]],Table1016[#All],2,FALSE)</f>
        <v>#N/A</v>
      </c>
      <c r="D28" s="117"/>
      <c r="E28" s="125" t="e">
        <f>VLOOKUP(Table2575199131[[#This Row],[PEG]],Table1016[#All],3,FALSE)</f>
        <v>#N/A</v>
      </c>
    </row>
    <row r="29" spans="1:5" x14ac:dyDescent="0.35">
      <c r="A29" s="118">
        <v>22</v>
      </c>
      <c r="B29" s="114" t="s">
        <v>12</v>
      </c>
      <c r="C29" s="109" t="e">
        <f>VLOOKUP(Table2575199131[[#This Row],[PEG]],Table1016[#All],2,FALSE)</f>
        <v>#N/A</v>
      </c>
      <c r="D29" s="117"/>
      <c r="E29" s="125" t="e">
        <f>VLOOKUP(Table2575199131[[#This Row],[PEG]],Table1016[#All],3,FALSE)</f>
        <v>#N/A</v>
      </c>
    </row>
    <row r="30" spans="1:5" x14ac:dyDescent="0.35">
      <c r="A30" s="118">
        <v>23</v>
      </c>
      <c r="B30" s="114" t="s">
        <v>12</v>
      </c>
      <c r="C30" s="109" t="e">
        <f>VLOOKUP(Table2575199131[[#This Row],[PEG]],Table1016[#All],2,FALSE)</f>
        <v>#N/A</v>
      </c>
      <c r="D30" s="117"/>
      <c r="E30" s="125" t="e">
        <f>VLOOKUP(Table2575199131[[#This Row],[PEG]],Table1016[#All],3,FALSE)</f>
        <v>#N/A</v>
      </c>
    </row>
    <row r="31" spans="1:5" x14ac:dyDescent="0.35">
      <c r="A31" s="118">
        <v>24</v>
      </c>
      <c r="B31" s="114" t="s">
        <v>115</v>
      </c>
      <c r="C31" s="109" t="e">
        <f>VLOOKUP(Table2575199131[[#This Row],[PEG]],Table1016[#All],2,FALSE)</f>
        <v>#N/A</v>
      </c>
      <c r="D31" s="117"/>
      <c r="E31" s="125" t="e">
        <f>VLOOKUP(Table2575199131[[#This Row],[PEG]],Table1016[#All],3,FALSE)</f>
        <v>#N/A</v>
      </c>
    </row>
    <row r="32" spans="1:5" x14ac:dyDescent="0.35">
      <c r="A32" s="118">
        <v>25</v>
      </c>
      <c r="B32" s="114" t="s">
        <v>115</v>
      </c>
      <c r="C32" s="109" t="e">
        <f>VLOOKUP(Table2575199131[[#This Row],[PEG]],Table1016[#All],2,FALSE)</f>
        <v>#N/A</v>
      </c>
      <c r="D32" s="117"/>
      <c r="E32" s="125" t="e">
        <f>VLOOKUP(Table2575199131[[#This Row],[PEG]],Table1016[#All],3,FALSE)</f>
        <v>#N/A</v>
      </c>
    </row>
    <row r="33" spans="1:5" x14ac:dyDescent="0.35">
      <c r="A33" s="118">
        <v>26</v>
      </c>
      <c r="B33" s="114" t="s">
        <v>124</v>
      </c>
      <c r="C33" s="109" t="e">
        <f>VLOOKUP(Table2575199131[[#This Row],[PEG]],Table1016[#All],2,FALSE)</f>
        <v>#N/A</v>
      </c>
      <c r="D33" s="117"/>
      <c r="E33" s="125" t="e">
        <f>VLOOKUP(Table2575199131[[#This Row],[PEG]],Table1016[#All],3,FALSE)</f>
        <v>#N/A</v>
      </c>
    </row>
    <row r="34" spans="1:5" x14ac:dyDescent="0.35">
      <c r="A34" s="118">
        <v>27</v>
      </c>
      <c r="B34" s="114" t="s">
        <v>115</v>
      </c>
      <c r="C34" s="109" t="e">
        <f>VLOOKUP(Table2575199131[[#This Row],[PEG]],Table1016[#All],2,FALSE)</f>
        <v>#N/A</v>
      </c>
      <c r="D34" s="117"/>
      <c r="E34" s="125" t="e">
        <f>VLOOKUP(Table2575199131[[#This Row],[PEG]],Table1016[#All],3,FALSE)</f>
        <v>#N/A</v>
      </c>
    </row>
    <row r="35" spans="1:5" x14ac:dyDescent="0.35">
      <c r="A35" s="118">
        <v>28</v>
      </c>
      <c r="B35" s="114" t="s">
        <v>124</v>
      </c>
      <c r="C35" s="109" t="e">
        <f>VLOOKUP(Table2575199131[[#This Row],[PEG]],Table1016[#All],2,FALSE)</f>
        <v>#N/A</v>
      </c>
      <c r="D35" s="117"/>
      <c r="E35" s="125" t="e">
        <f>VLOOKUP(Table2575199131[[#This Row],[PEG]],Table1016[#All],3,FALSE)</f>
        <v>#N/A</v>
      </c>
    </row>
    <row r="36" spans="1:5" x14ac:dyDescent="0.35">
      <c r="A36" s="118">
        <v>29</v>
      </c>
      <c r="B36" s="114" t="s">
        <v>115</v>
      </c>
      <c r="C36" s="109" t="e">
        <f>VLOOKUP(Table2575199131[[#This Row],[PEG]],Table1016[#All],2,FALSE)</f>
        <v>#N/A</v>
      </c>
      <c r="D36" s="117"/>
      <c r="E36" s="125" t="e">
        <f>VLOOKUP(Table2575199131[[#This Row],[PEG]],Table1016[#All],3,FALSE)</f>
        <v>#N/A</v>
      </c>
    </row>
    <row r="37" spans="1:5" x14ac:dyDescent="0.35">
      <c r="A37" s="118">
        <v>30</v>
      </c>
      <c r="B37" s="114" t="s">
        <v>12</v>
      </c>
      <c r="C37" s="109" t="e">
        <f>VLOOKUP(Table2575199131[[#This Row],[PEG]],Table1016[#All],2,FALSE)</f>
        <v>#N/A</v>
      </c>
      <c r="D37" s="117"/>
      <c r="E37" s="125" t="e">
        <f>VLOOKUP(Table2575199131[[#This Row],[PEG]],Table1016[#All],3,FALSE)</f>
        <v>#N/A</v>
      </c>
    </row>
    <row r="38" spans="1:5" x14ac:dyDescent="0.35">
      <c r="A38" s="118">
        <v>31</v>
      </c>
      <c r="B38" s="114" t="s">
        <v>12</v>
      </c>
      <c r="C38" s="109" t="e">
        <f>VLOOKUP(Table2575199131[[#This Row],[PEG]],Table1016[#All],2,FALSE)</f>
        <v>#N/A</v>
      </c>
      <c r="D38" s="117"/>
      <c r="E38" s="125" t="e">
        <f>VLOOKUP(Table2575199131[[#This Row],[PEG]],Table1016[#All],3,FALSE)</f>
        <v>#N/A</v>
      </c>
    </row>
    <row r="39" spans="1:5" x14ac:dyDescent="0.35">
      <c r="A39" s="118">
        <v>32</v>
      </c>
      <c r="B39" s="114" t="s">
        <v>12</v>
      </c>
      <c r="C39" s="109" t="e">
        <f>VLOOKUP(Table2575199131[[#This Row],[PEG]],Table1016[#All],2,FALSE)</f>
        <v>#N/A</v>
      </c>
      <c r="D39" s="117"/>
      <c r="E39" s="125" t="e">
        <f>VLOOKUP(Table2575199131[[#This Row],[PEG]],Table1016[#All],3,FALSE)</f>
        <v>#N/A</v>
      </c>
    </row>
    <row r="40" spans="1:5" x14ac:dyDescent="0.35">
      <c r="A40" s="118">
        <v>33</v>
      </c>
      <c r="B40" s="114" t="s">
        <v>12</v>
      </c>
      <c r="C40" s="109" t="e">
        <f>VLOOKUP(Table2575199131[[#This Row],[PEG]],Table1016[#All],2,FALSE)</f>
        <v>#N/A</v>
      </c>
      <c r="D40" s="117"/>
      <c r="E40" s="125" t="e">
        <f>VLOOKUP(Table2575199131[[#This Row],[PEG]],Table1016[#All],3,FALSE)</f>
        <v>#N/A</v>
      </c>
    </row>
    <row r="41" spans="1:5" x14ac:dyDescent="0.35">
      <c r="A41" s="118">
        <v>34</v>
      </c>
      <c r="B41" s="114" t="s">
        <v>115</v>
      </c>
      <c r="C41" s="109" t="e">
        <f>VLOOKUP(Table2575199131[[#This Row],[PEG]],Table1016[#All],2,FALSE)</f>
        <v>#N/A</v>
      </c>
      <c r="D41" s="117"/>
      <c r="E41" s="125" t="e">
        <f>VLOOKUP(Table2575199131[[#This Row],[PEG]],Table1016[#All],3,FALSE)</f>
        <v>#N/A</v>
      </c>
    </row>
    <row r="42" spans="1:5" x14ac:dyDescent="0.35">
      <c r="A42" s="118">
        <v>35</v>
      </c>
      <c r="B42" s="114" t="s">
        <v>12</v>
      </c>
      <c r="C42" s="109" t="e">
        <f>VLOOKUP(Table2575199131[[#This Row],[PEG]],Table1016[#All],2,FALSE)</f>
        <v>#N/A</v>
      </c>
      <c r="D42" s="115"/>
      <c r="E42" s="125" t="e">
        <f>VLOOKUP(Table2575199131[[#This Row],[PEG]],Table1016[#All],3,FALSE)</f>
        <v>#N/A</v>
      </c>
    </row>
    <row r="43" spans="1:5" x14ac:dyDescent="0.35">
      <c r="A43" s="118">
        <v>36</v>
      </c>
      <c r="B43" s="114" t="s">
        <v>115</v>
      </c>
      <c r="C43" s="109" t="e">
        <f>VLOOKUP(Table2575199131[[#This Row],[PEG]],Table1016[#All],2,FALSE)</f>
        <v>#N/A</v>
      </c>
      <c r="D43" s="115"/>
      <c r="E43" s="125" t="e">
        <f>VLOOKUP(Table2575199131[[#This Row],[PEG]],Table1016[#All],3,FALSE)</f>
        <v>#N/A</v>
      </c>
    </row>
    <row r="44" spans="1:5" x14ac:dyDescent="0.35">
      <c r="A44" s="118">
        <v>37</v>
      </c>
      <c r="B44" s="114" t="s">
        <v>13</v>
      </c>
      <c r="C44" s="18" t="s">
        <v>13</v>
      </c>
      <c r="D44" s="115"/>
      <c r="E44" s="32"/>
    </row>
  </sheetData>
  <mergeCells count="1">
    <mergeCell ref="A1:B1"/>
  </mergeCells>
  <conditionalFormatting sqref="B8:B18">
    <cfRule type="containsText" dxfId="2673" priority="1" operator="containsText" text="Hear">
      <formula>NOT(ISERROR(SEARCH("Hear",B8)))</formula>
    </cfRule>
  </conditionalFormatting>
  <conditionalFormatting sqref="B30">
    <cfRule type="containsText" dxfId="2672" priority="4" operator="containsText" text="Hear">
      <formula>NOT(ISERROR(SEARCH("Hear",B30)))</formula>
    </cfRule>
  </conditionalFormatting>
  <conditionalFormatting sqref="B43:B44">
    <cfRule type="containsText" dxfId="2671" priority="14" operator="containsText" text="Hear">
      <formula>NOT(ISERROR(SEARCH("Hear",B43)))</formula>
    </cfRule>
  </conditionalFormatting>
  <conditionalFormatting sqref="E44">
    <cfRule type="containsText" dxfId="2670" priority="12" operator="containsText" text="WEB SERVICE">
      <formula>NOT(ISERROR(SEARCH("WEB SERVICE",E44)))</formula>
    </cfRule>
    <cfRule type="containsText" dxfId="2669" priority="13" operator="containsText" text="DB">
      <formula>NOT(ISERROR(SEARCH("DB",E44)))</formula>
    </cfRule>
  </conditionalFormatting>
  <conditionalFormatting sqref="C44">
    <cfRule type="expression" dxfId="2668" priority="15">
      <formula>$B44="Dial"</formula>
    </cfRule>
    <cfRule type="expression" dxfId="2667" priority="17">
      <formula>$B44="HANGUP"</formula>
    </cfRule>
  </conditionalFormatting>
  <conditionalFormatting sqref="C44">
    <cfRule type="expression" dxfId="2666" priority="16">
      <formula>$B44="Speak"</formula>
    </cfRule>
  </conditionalFormatting>
  <conditionalFormatting sqref="B36:B38 B40:B41">
    <cfRule type="containsText" dxfId="2665" priority="3" operator="containsText" text="Hear">
      <formula>NOT(ISERROR(SEARCH("Hear",B36)))</formula>
    </cfRule>
  </conditionalFormatting>
  <conditionalFormatting sqref="B19:B29 B31:B35 B42">
    <cfRule type="containsText" dxfId="2664" priority="5" operator="containsText" text="Hear">
      <formula>NOT(ISERROR(SEARCH("Hear",B19)))</formula>
    </cfRule>
  </conditionalFormatting>
  <hyperlinks>
    <hyperlink ref="A1" location="'Test Case Overview'!A1" display="Return to Test Case Overview" xr:uid="{B0A180A1-8BB9-42E3-928C-A480A5C25E94}"/>
  </hyperlinks>
  <pageMargins left="0.7" right="0.7" top="0.75" bottom="0.75" header="0.3" footer="0.3"/>
  <pageSetup orientation="portrait" verticalDpi="0" r:id="rId1"/>
  <tableParts count="1">
    <tablePart r:id="rId2"/>
  </tableParts>
  <extLst>
    <ext xmlns:x14="http://schemas.microsoft.com/office/spreadsheetml/2009/9/main" uri="{78C0D931-6437-407d-A8EE-F0AAD7539E65}">
      <x14:conditionalFormattings>
        <x14:conditionalFormatting xmlns:xm="http://schemas.microsoft.com/office/excel/2006/main">
          <x14:cfRule type="expression" priority="2" id="{3AC12AF2-9980-4FD5-8217-75D48B276896}">
            <xm:f>'TC1'!$B8="Dial"</xm:f>
            <x14:dxf>
              <font>
                <b/>
                <i val="0"/>
                <color rgb="FFFF0000"/>
              </font>
            </x14:dxf>
          </x14:cfRule>
          <x14:cfRule type="expression" priority="18" id="{8B0B6508-B587-4A06-927C-E726E3E1D2AC}">
            <xm:f>'TC1'!$B8="HANGUP"</xm:f>
            <x14:dxf>
              <font>
                <b/>
                <i val="0"/>
              </font>
            </x14:dxf>
          </x14:cfRule>
          <xm:sqref>C8</xm:sqref>
        </x14:conditionalFormatting>
        <x14:conditionalFormatting xmlns:xm="http://schemas.microsoft.com/office/excel/2006/main">
          <x14:cfRule type="expression" priority="19" id="{18972901-F48F-47FF-AFE8-46CC36EE5200}">
            <xm:f>'TC1'!$B8="Speak"</xm:f>
            <x14:dxf>
              <font>
                <b/>
                <i val="0"/>
                <color rgb="FFFF0000"/>
              </font>
            </x14:dxf>
          </x14:cfRule>
          <xm:sqref>C8</xm:sqref>
        </x14:conditionalFormatting>
        <x14:conditionalFormatting xmlns:xm="http://schemas.microsoft.com/office/excel/2006/main">
          <x14:cfRule type="containsText" priority="22" operator="containsText" text="Hear" id="{D17A67C0-9B3A-4153-95AF-73194EF37AF2}">
            <xm:f>NOT(ISERROR(SEARCH("Hear",'TC3'!B34)))</xm:f>
            <x14:dxf>
              <font>
                <color theme="9" tint="-0.24994659260841701"/>
              </font>
              <fill>
                <patternFill>
                  <bgColor theme="9" tint="0.59996337778862885"/>
                </patternFill>
              </fill>
            </x14:dxf>
          </x14:cfRule>
          <xm:sqref>B41</xm:sqref>
        </x14:conditionalFormatting>
        <x14:conditionalFormatting xmlns:xm="http://schemas.microsoft.com/office/excel/2006/main">
          <x14:cfRule type="expression" priority="2323" id="{3AC12AF2-9980-4FD5-8217-75D48B276896}">
            <xm:f>'TC1'!$B16="Dial"</xm:f>
            <x14:dxf>
              <font>
                <b/>
                <i val="0"/>
                <color rgb="FFFF0000"/>
              </font>
            </x14:dxf>
          </x14:cfRule>
          <x14:cfRule type="expression" priority="2324" id="{8B0B6508-B587-4A06-927C-E726E3E1D2AC}">
            <xm:f>'TC1'!$B16="HANGUP"</xm:f>
            <x14:dxf>
              <font>
                <b/>
                <i val="0"/>
              </font>
            </x14:dxf>
          </x14:cfRule>
          <xm:sqref>C34:C43</xm:sqref>
        </x14:conditionalFormatting>
        <x14:conditionalFormatting xmlns:xm="http://schemas.microsoft.com/office/excel/2006/main">
          <x14:cfRule type="expression" priority="2325" id="{3AC12AF2-9980-4FD5-8217-75D48B276896}">
            <xm:f>'TC1'!#REF!="Dial"</xm:f>
            <x14:dxf>
              <font>
                <b/>
                <i val="0"/>
                <color rgb="FFFF0000"/>
              </font>
            </x14:dxf>
          </x14:cfRule>
          <x14:cfRule type="expression" priority="2326" id="{8B0B6508-B587-4A06-927C-E726E3E1D2AC}">
            <xm:f>'TC1'!#REF!="HANGUP"</xm:f>
            <x14:dxf>
              <font>
                <b/>
                <i val="0"/>
              </font>
            </x14:dxf>
          </x14:cfRule>
          <xm:sqref>C17:C33</xm:sqref>
        </x14:conditionalFormatting>
        <x14:conditionalFormatting xmlns:xm="http://schemas.microsoft.com/office/excel/2006/main">
          <x14:cfRule type="expression" priority="2330" id="{18972901-F48F-47FF-AFE8-46CC36EE5200}">
            <xm:f>'TC1'!$B16="Speak"</xm:f>
            <x14:dxf>
              <font>
                <b/>
                <i val="0"/>
                <color rgb="FFFF0000"/>
              </font>
            </x14:dxf>
          </x14:cfRule>
          <xm:sqref>C34:C43</xm:sqref>
        </x14:conditionalFormatting>
        <x14:conditionalFormatting xmlns:xm="http://schemas.microsoft.com/office/excel/2006/main">
          <x14:cfRule type="expression" priority="2331" id="{18972901-F48F-47FF-AFE8-46CC36EE5200}">
            <xm:f>'TC1'!#REF!="Speak"</xm:f>
            <x14:dxf>
              <font>
                <b/>
                <i val="0"/>
                <color rgb="FFFF0000"/>
              </font>
            </x14:dxf>
          </x14:cfRule>
          <xm:sqref>C17:C33</xm:sqref>
        </x14:conditionalFormatting>
        <x14:conditionalFormatting xmlns:xm="http://schemas.microsoft.com/office/excel/2006/main">
          <x14:cfRule type="containsText" priority="2335" operator="containsText" text="DB" id="{EB170E94-1CA5-44C3-AE1B-67AAFFE18889}">
            <xm:f>NOT(ISERROR(SEARCH("DB",'TC1'!E16)))</xm:f>
            <x14:dxf>
              <font>
                <color rgb="FF006100"/>
              </font>
              <fill>
                <patternFill>
                  <bgColor rgb="FFC6EFCE"/>
                </patternFill>
              </fill>
            </x14:dxf>
          </x14:cfRule>
          <x14:cfRule type="containsText" priority="2336" operator="containsText" text="WEB SERVICE" id="{DB9770A4-DFBC-44D4-B485-CFDBC11D34E9}">
            <xm:f>NOT(ISERROR(SEARCH("WEB SERVICE",'TC1'!E16)))</xm:f>
            <x14:dxf>
              <font>
                <color rgb="FF9C0006"/>
              </font>
              <fill>
                <patternFill>
                  <bgColor rgb="FFFFC7CE"/>
                </patternFill>
              </fill>
            </x14:dxf>
          </x14:cfRule>
          <xm:sqref>E34:E43</xm:sqref>
        </x14:conditionalFormatting>
        <x14:conditionalFormatting xmlns:xm="http://schemas.microsoft.com/office/excel/2006/main">
          <x14:cfRule type="containsText" priority="2337" operator="containsText" text="DB" id="{EB170E94-1CA5-44C3-AE1B-67AAFFE18889}">
            <xm:f>NOT(ISERROR(SEARCH("DB",'TC1'!#REF!)))</xm:f>
            <x14:dxf>
              <font>
                <color rgb="FF006100"/>
              </font>
              <fill>
                <patternFill>
                  <bgColor rgb="FFC6EFCE"/>
                </patternFill>
              </fill>
            </x14:dxf>
          </x14:cfRule>
          <x14:cfRule type="containsText" priority="2338" operator="containsText" text="WEB SERVICE" id="{DB9770A4-DFBC-44D4-B485-CFDBC11D34E9}">
            <xm:f>NOT(ISERROR(SEARCH("WEB SERVICE",'TC1'!#REF!)))</xm:f>
            <x14:dxf>
              <font>
                <color rgb="FF9C0006"/>
              </font>
              <fill>
                <patternFill>
                  <bgColor rgb="FFFFC7CE"/>
                </patternFill>
              </fill>
            </x14:dxf>
          </x14:cfRule>
          <xm:sqref>E17:E33</xm:sqref>
        </x14:conditionalFormatting>
        <x14:conditionalFormatting xmlns:xm="http://schemas.microsoft.com/office/excel/2006/main">
          <x14:cfRule type="expression" priority="5029" id="{3AC12AF2-9980-4FD5-8217-75D48B276896}">
            <xm:f>'TC1'!$B9="Dial"</xm:f>
            <x14:dxf>
              <font>
                <b/>
                <i val="0"/>
                <color rgb="FFFF0000"/>
              </font>
            </x14:dxf>
          </x14:cfRule>
          <x14:cfRule type="expression" priority="5030" id="{8B0B6508-B587-4A06-927C-E726E3E1D2AC}">
            <xm:f>'TC1'!$B9="HANGUP"</xm:f>
            <x14:dxf>
              <font>
                <b/>
                <i val="0"/>
              </font>
            </x14:dxf>
          </x14:cfRule>
          <xm:sqref>C12:C15</xm:sqref>
        </x14:conditionalFormatting>
        <x14:conditionalFormatting xmlns:xm="http://schemas.microsoft.com/office/excel/2006/main">
          <x14:cfRule type="expression" priority="5031" id="{3AC12AF2-9980-4FD5-8217-75D48B276896}">
            <xm:f>'TC1'!#REF!="Dial"</xm:f>
            <x14:dxf>
              <font>
                <b/>
                <i val="0"/>
                <color rgb="FFFF0000"/>
              </font>
            </x14:dxf>
          </x14:cfRule>
          <x14:cfRule type="expression" priority="5032" id="{8B0B6508-B587-4A06-927C-E726E3E1D2AC}">
            <xm:f>'TC1'!#REF!="HANGUP"</xm:f>
            <x14:dxf>
              <font>
                <b/>
                <i val="0"/>
              </font>
            </x14:dxf>
          </x14:cfRule>
          <xm:sqref>C9:C11</xm:sqref>
        </x14:conditionalFormatting>
        <x14:conditionalFormatting xmlns:xm="http://schemas.microsoft.com/office/excel/2006/main">
          <x14:cfRule type="expression" priority="5036" id="{18972901-F48F-47FF-AFE8-46CC36EE5200}">
            <xm:f>'TC1'!$B9="Speak"</xm:f>
            <x14:dxf>
              <font>
                <b/>
                <i val="0"/>
                <color rgb="FFFF0000"/>
              </font>
            </x14:dxf>
          </x14:cfRule>
          <xm:sqref>C12:C15</xm:sqref>
        </x14:conditionalFormatting>
        <x14:conditionalFormatting xmlns:xm="http://schemas.microsoft.com/office/excel/2006/main">
          <x14:cfRule type="expression" priority="5037" id="{18972901-F48F-47FF-AFE8-46CC36EE5200}">
            <xm:f>'TC1'!#REF!="Speak"</xm:f>
            <x14:dxf>
              <font>
                <b/>
                <i val="0"/>
                <color rgb="FFFF0000"/>
              </font>
            </x14:dxf>
          </x14:cfRule>
          <xm:sqref>C9:C11</xm:sqref>
        </x14:conditionalFormatting>
        <x14:conditionalFormatting xmlns:xm="http://schemas.microsoft.com/office/excel/2006/main">
          <x14:cfRule type="containsText" priority="5039" operator="containsText" text="DB" id="{EB170E94-1CA5-44C3-AE1B-67AAFFE18889}">
            <xm:f>NOT(ISERROR(SEARCH("DB",'TC1'!#REF!)))</xm:f>
            <x14:dxf>
              <font>
                <color rgb="FF006100"/>
              </font>
              <fill>
                <patternFill>
                  <bgColor rgb="FFC6EFCE"/>
                </patternFill>
              </fill>
            </x14:dxf>
          </x14:cfRule>
          <x14:cfRule type="containsText" priority="5040" operator="containsText" text="WEB SERVICE" id="{DB9770A4-DFBC-44D4-B485-CFDBC11D34E9}">
            <xm:f>NOT(ISERROR(SEARCH("WEB SERVICE",'TC1'!#REF!)))</xm:f>
            <x14:dxf>
              <font>
                <color rgb="FF9C0006"/>
              </font>
              <fill>
                <patternFill>
                  <bgColor rgb="FFFFC7CE"/>
                </patternFill>
              </fill>
            </x14:dxf>
          </x14:cfRule>
          <xm:sqref>E9:E11</xm:sqref>
        </x14:conditionalFormatting>
        <x14:conditionalFormatting xmlns:xm="http://schemas.microsoft.com/office/excel/2006/main">
          <x14:cfRule type="containsText" priority="5041" operator="containsText" text="DB" id="{EB170E94-1CA5-44C3-AE1B-67AAFFE18889}">
            <xm:f>NOT(ISERROR(SEARCH("DB",'TC1'!E9)))</xm:f>
            <x14:dxf>
              <font>
                <color rgb="FF006100"/>
              </font>
              <fill>
                <patternFill>
                  <bgColor rgb="FFC6EFCE"/>
                </patternFill>
              </fill>
            </x14:dxf>
          </x14:cfRule>
          <x14:cfRule type="containsText" priority="5042" operator="containsText" text="WEB SERVICE" id="{DB9770A4-DFBC-44D4-B485-CFDBC11D34E9}">
            <xm:f>NOT(ISERROR(SEARCH("WEB SERVICE",'TC1'!E9)))</xm:f>
            <x14:dxf>
              <font>
                <color rgb="FF9C0006"/>
              </font>
              <fill>
                <patternFill>
                  <bgColor rgb="FFFFC7CE"/>
                </patternFill>
              </fill>
            </x14:dxf>
          </x14:cfRule>
          <xm:sqref>E12:E15</xm:sqref>
        </x14:conditionalFormatting>
        <x14:conditionalFormatting xmlns:xm="http://schemas.microsoft.com/office/excel/2006/main">
          <x14:cfRule type="expression" priority="7370" id="{3AC12AF2-9980-4FD5-8217-75D48B276896}">
            <xm:f>'TC1'!$B15="Dial"</xm:f>
            <x14:dxf>
              <font>
                <b/>
                <i val="0"/>
                <color rgb="FFFF0000"/>
              </font>
            </x14:dxf>
          </x14:cfRule>
          <x14:cfRule type="expression" priority="7371" id="{8B0B6508-B587-4A06-927C-E726E3E1D2AC}">
            <xm:f>'TC1'!$B15="HANGUP"</xm:f>
            <x14:dxf>
              <font>
                <b/>
                <i val="0"/>
              </font>
            </x14:dxf>
          </x14:cfRule>
          <xm:sqref>C16</xm:sqref>
        </x14:conditionalFormatting>
        <x14:conditionalFormatting xmlns:xm="http://schemas.microsoft.com/office/excel/2006/main">
          <x14:cfRule type="expression" priority="7373" id="{18972901-F48F-47FF-AFE8-46CC36EE5200}">
            <xm:f>'TC1'!$B15="Speak"</xm:f>
            <x14:dxf>
              <font>
                <b/>
                <i val="0"/>
                <color rgb="FFFF0000"/>
              </font>
            </x14:dxf>
          </x14:cfRule>
          <xm:sqref>C16</xm:sqref>
        </x14:conditionalFormatting>
        <x14:conditionalFormatting xmlns:xm="http://schemas.microsoft.com/office/excel/2006/main">
          <x14:cfRule type="containsText" priority="7376" operator="containsText" text="DB" id="{EB170E94-1CA5-44C3-AE1B-67AAFFE18889}">
            <xm:f>NOT(ISERROR(SEARCH("DB",'TC1'!E15)))</xm:f>
            <x14:dxf>
              <font>
                <color rgb="FF006100"/>
              </font>
              <fill>
                <patternFill>
                  <bgColor rgb="FFC6EFCE"/>
                </patternFill>
              </fill>
            </x14:dxf>
          </x14:cfRule>
          <x14:cfRule type="containsText" priority="7377" operator="containsText" text="WEB SERVICE" id="{DB9770A4-DFBC-44D4-B485-CFDBC11D34E9}">
            <xm:f>NOT(ISERROR(SEARCH("WEB SERVICE",'TC1'!E15)))</xm:f>
            <x14:dxf>
              <font>
                <color rgb="FF9C0006"/>
              </font>
              <fill>
                <patternFill>
                  <bgColor rgb="FFFFC7CE"/>
                </patternFill>
              </fill>
            </x14:dxf>
          </x14:cfRule>
          <xm:sqref>E16</xm:sqref>
        </x14:conditionalFormatting>
        <x14:conditionalFormatting xmlns:xm="http://schemas.microsoft.com/office/excel/2006/main">
          <x14:cfRule type="containsText" priority="9894" operator="containsText" text="Hear" id="{B3A0DC15-CF56-46E0-B5B2-7310020A1BA3}">
            <xm:f>NOT(ISERROR(SEARCH("Hear",'TC26'!#REF!)))</xm:f>
            <x14:dxf>
              <font>
                <color theme="9" tint="-0.24994659260841701"/>
              </font>
              <fill>
                <patternFill>
                  <bgColor theme="9" tint="0.59996337778862885"/>
                </patternFill>
              </fill>
            </x14:dxf>
          </x14:cfRule>
          <xm:sqref>B39</xm:sqref>
        </x14:conditionalFormatting>
      </x14:conditionalFormattings>
    </ext>
  </extLst>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800-000000000000}">
  <sheetPr codeName="Sheet106"/>
  <dimension ref="A1:E44"/>
  <sheetViews>
    <sheetView zoomScaleNormal="100" workbookViewId="0">
      <selection sqref="A1:E44"/>
    </sheetView>
  </sheetViews>
  <sheetFormatPr defaultRowHeight="14.5" x14ac:dyDescent="0.35"/>
  <cols>
    <col min="1" max="1" width="14.453125" bestFit="1" customWidth="1"/>
    <col min="2" max="2" width="42.6328125" customWidth="1"/>
    <col min="3" max="3" width="106.1796875" customWidth="1"/>
    <col min="4" max="4" width="21.81640625" bestFit="1" customWidth="1"/>
    <col min="5" max="5" width="20.6328125" customWidth="1"/>
  </cols>
  <sheetData>
    <row r="1" spans="1:5" ht="18.5" x14ac:dyDescent="0.35">
      <c r="A1" s="192" t="s">
        <v>4</v>
      </c>
      <c r="B1" s="192"/>
      <c r="C1" s="105"/>
      <c r="D1" s="111"/>
      <c r="E1" s="97"/>
    </row>
    <row r="2" spans="1:5" x14ac:dyDescent="0.35">
      <c r="A2" s="106" t="s">
        <v>5</v>
      </c>
      <c r="B2" s="107" t="str">
        <f ca="1">MID(CELL("filename",A1),FIND("]",CELL("filename",A1))+1,LEN(CELL("filename",A1))-FIND("]",CELL("filename",A1)))</f>
        <v>TC104</v>
      </c>
      <c r="C2" s="98"/>
      <c r="D2" s="111"/>
      <c r="E2" s="97"/>
    </row>
    <row r="3" spans="1:5" x14ac:dyDescent="0.35">
      <c r="A3" s="104" t="s">
        <v>19</v>
      </c>
      <c r="B3" s="112">
        <f ca="1">VLOOKUP(B2,Table53[#All],2,FALSE)</f>
        <v>0</v>
      </c>
      <c r="C3" s="98"/>
      <c r="D3" s="111"/>
      <c r="E3" s="97"/>
    </row>
    <row r="4" spans="1:5" ht="29" x14ac:dyDescent="0.35">
      <c r="A4" s="113" t="s">
        <v>20</v>
      </c>
      <c r="B4" s="99">
        <f ca="1">VLOOKUP(B2,Table53[#All],4,FALSE)</f>
        <v>0</v>
      </c>
      <c r="C4" s="98"/>
      <c r="D4" s="111"/>
      <c r="E4" s="97"/>
    </row>
    <row r="5" spans="1:5" x14ac:dyDescent="0.35">
      <c r="A5" s="104" t="s">
        <v>6</v>
      </c>
      <c r="B5" s="77">
        <f ca="1">VLOOKUP(B2,Table53[#All],3,FALSE)</f>
        <v>0</v>
      </c>
      <c r="C5" s="98"/>
      <c r="D5" s="111"/>
      <c r="E5" s="97"/>
    </row>
    <row r="6" spans="1:5" x14ac:dyDescent="0.35">
      <c r="A6" s="97"/>
      <c r="B6" s="97"/>
      <c r="C6" s="98"/>
      <c r="D6" s="111"/>
      <c r="E6" s="97"/>
    </row>
    <row r="7" spans="1:5" ht="15.5" x14ac:dyDescent="0.35">
      <c r="A7" s="100" t="s">
        <v>7</v>
      </c>
      <c r="B7" s="101" t="s">
        <v>8</v>
      </c>
      <c r="C7" s="102" t="s">
        <v>9</v>
      </c>
      <c r="D7" s="102" t="s">
        <v>14</v>
      </c>
      <c r="E7" s="103" t="s">
        <v>10</v>
      </c>
    </row>
    <row r="8" spans="1:5" x14ac:dyDescent="0.35">
      <c r="A8" s="118">
        <v>1</v>
      </c>
      <c r="B8" s="114" t="s">
        <v>114</v>
      </c>
      <c r="C8" s="109" t="s">
        <v>125</v>
      </c>
      <c r="D8" s="128"/>
      <c r="E8" s="125" t="s">
        <v>11</v>
      </c>
    </row>
    <row r="9" spans="1:5" x14ac:dyDescent="0.35">
      <c r="A9" s="118">
        <v>2</v>
      </c>
      <c r="B9" s="114" t="s">
        <v>12</v>
      </c>
      <c r="C9" s="109" t="e">
        <f>VLOOKUP(Table257519913135[[#This Row],[PEG]],Table1016[#All],2,FALSE)</f>
        <v>#N/A</v>
      </c>
      <c r="D9" s="128"/>
      <c r="E9" s="125" t="e">
        <f>VLOOKUP(Table257519913135[[#This Row],[PEG]],Table1016[#All],3,FALSE)</f>
        <v>#N/A</v>
      </c>
    </row>
    <row r="10" spans="1:5" x14ac:dyDescent="0.35">
      <c r="A10" s="118">
        <v>3</v>
      </c>
      <c r="B10" s="114" t="s">
        <v>115</v>
      </c>
      <c r="C10" s="109" t="e">
        <f>VLOOKUP(Table257519913135[[#This Row],[PEG]],Table1016[#All],2,FALSE)</f>
        <v>#N/A</v>
      </c>
      <c r="D10" s="128"/>
      <c r="E10" s="125" t="e">
        <f>VLOOKUP(Table257519913135[[#This Row],[PEG]],Table1016[#All],3,FALSE)</f>
        <v>#N/A</v>
      </c>
    </row>
    <row r="11" spans="1:5" x14ac:dyDescent="0.35">
      <c r="A11" s="118">
        <v>4</v>
      </c>
      <c r="B11" s="114" t="s">
        <v>115</v>
      </c>
      <c r="C11" s="109" t="e">
        <f>VLOOKUP(Table257519913135[[#This Row],[PEG]],Table1016[#All],2,FALSE)</f>
        <v>#N/A</v>
      </c>
      <c r="D11" s="128"/>
      <c r="E11" s="125" t="e">
        <f>VLOOKUP(Table257519913135[[#This Row],[PEG]],Table1016[#All],3,FALSE)</f>
        <v>#N/A</v>
      </c>
    </row>
    <row r="12" spans="1:5" x14ac:dyDescent="0.35">
      <c r="A12" s="118">
        <v>5</v>
      </c>
      <c r="B12" s="114" t="s">
        <v>114</v>
      </c>
      <c r="C12" s="109" t="e">
        <f>VLOOKUP(Table257519913135[[#This Row],[PEG]],Table1016[#All],2,FALSE)</f>
        <v>#N/A</v>
      </c>
      <c r="D12" s="128"/>
      <c r="E12" s="125" t="e">
        <f>VLOOKUP(Table257519913135[[#This Row],[PEG]],Table1016[#All],3,FALSE)</f>
        <v>#N/A</v>
      </c>
    </row>
    <row r="13" spans="1:5" x14ac:dyDescent="0.35">
      <c r="A13" s="118">
        <v>6</v>
      </c>
      <c r="B13" s="114" t="s">
        <v>115</v>
      </c>
      <c r="C13" s="109" t="e">
        <f>VLOOKUP(Table257519913135[[#This Row],[PEG]],Table1016[#All],2,FALSE)</f>
        <v>#N/A</v>
      </c>
      <c r="D13" s="128"/>
      <c r="E13" s="125" t="e">
        <f>VLOOKUP(Table257519913135[[#This Row],[PEG]],Table1016[#All],3,FALSE)</f>
        <v>#N/A</v>
      </c>
    </row>
    <row r="14" spans="1:5" x14ac:dyDescent="0.35">
      <c r="A14" s="118">
        <v>7</v>
      </c>
      <c r="B14" s="114" t="s">
        <v>114</v>
      </c>
      <c r="C14" s="109" t="e">
        <f>VLOOKUP(Table257519913135[[#This Row],[PEG]],Table1016[#All],2,FALSE)</f>
        <v>#N/A</v>
      </c>
      <c r="D14" s="128"/>
      <c r="E14" s="125" t="e">
        <f>VLOOKUP(Table257519913135[[#This Row],[PEG]],Table1016[#All],3,FALSE)</f>
        <v>#N/A</v>
      </c>
    </row>
    <row r="15" spans="1:5" x14ac:dyDescent="0.35">
      <c r="A15" s="118">
        <v>8</v>
      </c>
      <c r="B15" s="114" t="s">
        <v>115</v>
      </c>
      <c r="C15" s="109" t="e">
        <f>VLOOKUP(Table257519913135[[#This Row],[PEG]],Table1016[#All],2,FALSE)</f>
        <v>#N/A</v>
      </c>
      <c r="D15" s="116"/>
      <c r="E15" s="125" t="e">
        <f>VLOOKUP(Table257519913135[[#This Row],[PEG]],Table1016[#All],3,FALSE)</f>
        <v>#N/A</v>
      </c>
    </row>
    <row r="16" spans="1:5" x14ac:dyDescent="0.35">
      <c r="A16" s="118">
        <v>9</v>
      </c>
      <c r="B16" s="114" t="s">
        <v>12</v>
      </c>
      <c r="C16" s="109" t="e">
        <f>VLOOKUP(Table257519913135[[#This Row],[PEG]],Table1016[#All],2,FALSE)</f>
        <v>#N/A</v>
      </c>
      <c r="D16" s="116"/>
      <c r="E16" s="125" t="e">
        <f>VLOOKUP(Table257519913135[[#This Row],[PEG]],Table1016[#All],3,FALSE)</f>
        <v>#N/A</v>
      </c>
    </row>
    <row r="17" spans="1:5" x14ac:dyDescent="0.35">
      <c r="A17" s="118">
        <v>10</v>
      </c>
      <c r="B17" s="114" t="s">
        <v>12</v>
      </c>
      <c r="C17" s="109" t="e">
        <f>VLOOKUP(Table257519913135[[#This Row],[PEG]],Table1016[#All],2,FALSE)</f>
        <v>#N/A</v>
      </c>
      <c r="D17" s="117"/>
      <c r="E17" s="125" t="e">
        <f>VLOOKUP(Table257519913135[[#This Row],[PEG]],Table1016[#All],3,FALSE)</f>
        <v>#N/A</v>
      </c>
    </row>
    <row r="18" spans="1:5" x14ac:dyDescent="0.35">
      <c r="A18" s="118">
        <v>11</v>
      </c>
      <c r="B18" s="114" t="s">
        <v>115</v>
      </c>
      <c r="C18" s="109" t="e">
        <f>VLOOKUP(Table257519913135[[#This Row],[PEG]],Table1016[#All],2,FALSE)</f>
        <v>#N/A</v>
      </c>
      <c r="D18" s="117"/>
      <c r="E18" s="125" t="e">
        <f>VLOOKUP(Table257519913135[[#This Row],[PEG]],Table1016[#All],3,FALSE)</f>
        <v>#N/A</v>
      </c>
    </row>
    <row r="19" spans="1:5" x14ac:dyDescent="0.35">
      <c r="A19" s="118">
        <v>12</v>
      </c>
      <c r="B19" s="114" t="s">
        <v>115</v>
      </c>
      <c r="C19" s="109" t="e">
        <f>VLOOKUP(Table257519913135[[#This Row],[PEG]],Table1016[#All],2,FALSE)</f>
        <v>#N/A</v>
      </c>
      <c r="D19" s="117"/>
      <c r="E19" s="125" t="e">
        <f>VLOOKUP(Table257519913135[[#This Row],[PEG]],Table1016[#All],3,FALSE)</f>
        <v>#N/A</v>
      </c>
    </row>
    <row r="20" spans="1:5" x14ac:dyDescent="0.35">
      <c r="A20" s="118">
        <v>13</v>
      </c>
      <c r="B20" s="114" t="s">
        <v>114</v>
      </c>
      <c r="C20" s="109" t="e">
        <f>VLOOKUP(Table257519913135[[#This Row],[PEG]],Table1016[#All],2,FALSE)</f>
        <v>#N/A</v>
      </c>
      <c r="D20" s="117"/>
      <c r="E20" s="125" t="e">
        <f>VLOOKUP(Table257519913135[[#This Row],[PEG]],Table1016[#All],3,FALSE)</f>
        <v>#N/A</v>
      </c>
    </row>
    <row r="21" spans="1:5" x14ac:dyDescent="0.35">
      <c r="A21" s="118">
        <v>14</v>
      </c>
      <c r="B21" s="114" t="s">
        <v>12</v>
      </c>
      <c r="C21" s="109" t="e">
        <f>VLOOKUP(Table257519913135[[#This Row],[PEG]],Table1016[#All],2,FALSE)</f>
        <v>#N/A</v>
      </c>
      <c r="D21" s="117"/>
      <c r="E21" s="125" t="e">
        <f>VLOOKUP(Table257519913135[[#This Row],[PEG]],Table1016[#All],3,FALSE)</f>
        <v>#N/A</v>
      </c>
    </row>
    <row r="22" spans="1:5" x14ac:dyDescent="0.35">
      <c r="A22" s="118">
        <v>15</v>
      </c>
      <c r="B22" s="114" t="s">
        <v>12</v>
      </c>
      <c r="C22" s="109" t="e">
        <f>VLOOKUP(Table257519913135[[#This Row],[PEG]],Table1016[#All],2,FALSE)</f>
        <v>#N/A</v>
      </c>
      <c r="D22" s="117"/>
      <c r="E22" s="125" t="e">
        <f>VLOOKUP(Table257519913135[[#This Row],[PEG]],Table1016[#All],3,FALSE)</f>
        <v>#N/A</v>
      </c>
    </row>
    <row r="23" spans="1:5" x14ac:dyDescent="0.35">
      <c r="A23" s="118">
        <v>16</v>
      </c>
      <c r="B23" s="114" t="s">
        <v>115</v>
      </c>
      <c r="C23" s="109" t="e">
        <f>VLOOKUP(Table257519913135[[#This Row],[PEG]],Table1016[#All],2,FALSE)</f>
        <v>#N/A</v>
      </c>
      <c r="D23" s="117"/>
      <c r="E23" s="125" t="e">
        <f>VLOOKUP(Table257519913135[[#This Row],[PEG]],Table1016[#All],3,FALSE)</f>
        <v>#N/A</v>
      </c>
    </row>
    <row r="24" spans="1:5" x14ac:dyDescent="0.35">
      <c r="A24" s="118">
        <v>17</v>
      </c>
      <c r="B24" s="114" t="s">
        <v>114</v>
      </c>
      <c r="C24" s="109" t="e">
        <f>VLOOKUP(Table257519913135[[#This Row],[PEG]],Table1016[#All],2,FALSE)</f>
        <v>#N/A</v>
      </c>
      <c r="D24" s="117"/>
      <c r="E24" s="125" t="e">
        <f>VLOOKUP(Table257519913135[[#This Row],[PEG]],Table1016[#All],3,FALSE)</f>
        <v>#N/A</v>
      </c>
    </row>
    <row r="25" spans="1:5" x14ac:dyDescent="0.35">
      <c r="A25" s="118">
        <v>18</v>
      </c>
      <c r="B25" s="114" t="s">
        <v>12</v>
      </c>
      <c r="C25" s="109" t="e">
        <f>VLOOKUP(Table257519913135[[#This Row],[PEG]],Table1016[#All],2,FALSE)</f>
        <v>#N/A</v>
      </c>
      <c r="D25" s="117"/>
      <c r="E25" s="125" t="e">
        <f>VLOOKUP(Table257519913135[[#This Row],[PEG]],Table1016[#All],3,FALSE)</f>
        <v>#N/A</v>
      </c>
    </row>
    <row r="26" spans="1:5" x14ac:dyDescent="0.35">
      <c r="A26" s="118">
        <v>19</v>
      </c>
      <c r="B26" s="114" t="s">
        <v>12</v>
      </c>
      <c r="C26" s="109" t="e">
        <f>VLOOKUP(Table257519913135[[#This Row],[PEG]],Table1016[#All],2,FALSE)</f>
        <v>#N/A</v>
      </c>
      <c r="D26" s="117"/>
      <c r="E26" s="125" t="e">
        <f>VLOOKUP(Table257519913135[[#This Row],[PEG]],Table1016[#All],3,FALSE)</f>
        <v>#N/A</v>
      </c>
    </row>
    <row r="27" spans="1:5" x14ac:dyDescent="0.35">
      <c r="A27" s="118">
        <v>20</v>
      </c>
      <c r="B27" s="114" t="s">
        <v>115</v>
      </c>
      <c r="C27" s="109" t="e">
        <f>VLOOKUP(Table257519913135[[#This Row],[PEG]],Table1016[#All],2,FALSE)</f>
        <v>#N/A</v>
      </c>
      <c r="D27" s="117"/>
      <c r="E27" s="125" t="e">
        <f>VLOOKUP(Table257519913135[[#This Row],[PEG]],Table1016[#All],3,FALSE)</f>
        <v>#N/A</v>
      </c>
    </row>
    <row r="28" spans="1:5" x14ac:dyDescent="0.35">
      <c r="A28" s="118">
        <v>21</v>
      </c>
      <c r="B28" s="114" t="s">
        <v>114</v>
      </c>
      <c r="C28" s="109" t="e">
        <f>VLOOKUP(Table257519913135[[#This Row],[PEG]],Table1016[#All],2,FALSE)</f>
        <v>#N/A</v>
      </c>
      <c r="D28" s="117"/>
      <c r="E28" s="125" t="e">
        <f>VLOOKUP(Table257519913135[[#This Row],[PEG]],Table1016[#All],3,FALSE)</f>
        <v>#N/A</v>
      </c>
    </row>
    <row r="29" spans="1:5" x14ac:dyDescent="0.35">
      <c r="A29" s="118">
        <v>22</v>
      </c>
      <c r="B29" s="114" t="s">
        <v>12</v>
      </c>
      <c r="C29" s="109" t="e">
        <f>VLOOKUP(Table257519913135[[#This Row],[PEG]],Table1016[#All],2,FALSE)</f>
        <v>#N/A</v>
      </c>
      <c r="D29" s="117"/>
      <c r="E29" s="125" t="e">
        <f>VLOOKUP(Table257519913135[[#This Row],[PEG]],Table1016[#All],3,FALSE)</f>
        <v>#N/A</v>
      </c>
    </row>
    <row r="30" spans="1:5" x14ac:dyDescent="0.35">
      <c r="A30" s="118">
        <v>23</v>
      </c>
      <c r="B30" s="114" t="s">
        <v>12</v>
      </c>
      <c r="C30" s="109" t="e">
        <f>VLOOKUP(Table257519913135[[#This Row],[PEG]],Table1016[#All],2,FALSE)</f>
        <v>#N/A</v>
      </c>
      <c r="D30" s="117"/>
      <c r="E30" s="125" t="e">
        <f>VLOOKUP(Table257519913135[[#This Row],[PEG]],Table1016[#All],3,FALSE)</f>
        <v>#N/A</v>
      </c>
    </row>
    <row r="31" spans="1:5" x14ac:dyDescent="0.35">
      <c r="A31" s="118">
        <v>24</v>
      </c>
      <c r="B31" s="114" t="s">
        <v>115</v>
      </c>
      <c r="C31" s="109" t="e">
        <f>VLOOKUP(Table257519913135[[#This Row],[PEG]],Table1016[#All],2,FALSE)</f>
        <v>#N/A</v>
      </c>
      <c r="D31" s="117"/>
      <c r="E31" s="125" t="e">
        <f>VLOOKUP(Table257519913135[[#This Row],[PEG]],Table1016[#All],3,FALSE)</f>
        <v>#N/A</v>
      </c>
    </row>
    <row r="32" spans="1:5" x14ac:dyDescent="0.35">
      <c r="A32" s="118">
        <v>25</v>
      </c>
      <c r="B32" s="114" t="s">
        <v>115</v>
      </c>
      <c r="C32" s="109" t="e">
        <f>VLOOKUP(Table257519913135[[#This Row],[PEG]],Table1016[#All],2,FALSE)</f>
        <v>#N/A</v>
      </c>
      <c r="D32" s="117"/>
      <c r="E32" s="125" t="e">
        <f>VLOOKUP(Table257519913135[[#This Row],[PEG]],Table1016[#All],3,FALSE)</f>
        <v>#N/A</v>
      </c>
    </row>
    <row r="33" spans="1:5" x14ac:dyDescent="0.35">
      <c r="A33" s="118">
        <v>26</v>
      </c>
      <c r="B33" s="114" t="s">
        <v>124</v>
      </c>
      <c r="C33" s="109" t="e">
        <f>VLOOKUP(Table257519913135[[#This Row],[PEG]],Table1016[#All],2,FALSE)</f>
        <v>#N/A</v>
      </c>
      <c r="D33" s="117"/>
      <c r="E33" s="125" t="e">
        <f>VLOOKUP(Table257519913135[[#This Row],[PEG]],Table1016[#All],3,FALSE)</f>
        <v>#N/A</v>
      </c>
    </row>
    <row r="34" spans="1:5" x14ac:dyDescent="0.35">
      <c r="A34" s="118">
        <v>27</v>
      </c>
      <c r="B34" s="114" t="s">
        <v>115</v>
      </c>
      <c r="C34" s="109" t="e">
        <f>VLOOKUP(Table257519913135[[#This Row],[PEG]],Table1016[#All],2,FALSE)</f>
        <v>#N/A</v>
      </c>
      <c r="D34" s="117"/>
      <c r="E34" s="125" t="e">
        <f>VLOOKUP(Table257519913135[[#This Row],[PEG]],Table1016[#All],3,FALSE)</f>
        <v>#N/A</v>
      </c>
    </row>
    <row r="35" spans="1:5" x14ac:dyDescent="0.35">
      <c r="A35" s="118">
        <v>28</v>
      </c>
      <c r="B35" s="114" t="s">
        <v>124</v>
      </c>
      <c r="C35" s="109" t="e">
        <f>VLOOKUP(Table257519913135[[#This Row],[PEG]],Table1016[#All],2,FALSE)</f>
        <v>#N/A</v>
      </c>
      <c r="D35" s="117"/>
      <c r="E35" s="125" t="e">
        <f>VLOOKUP(Table257519913135[[#This Row],[PEG]],Table1016[#All],3,FALSE)</f>
        <v>#N/A</v>
      </c>
    </row>
    <row r="36" spans="1:5" x14ac:dyDescent="0.35">
      <c r="A36" s="118">
        <v>29</v>
      </c>
      <c r="B36" s="114" t="s">
        <v>115</v>
      </c>
      <c r="C36" s="109" t="e">
        <f>VLOOKUP(Table257519913135[[#This Row],[PEG]],Table1016[#All],2,FALSE)</f>
        <v>#N/A</v>
      </c>
      <c r="D36" s="117"/>
      <c r="E36" s="125" t="e">
        <f>VLOOKUP(Table257519913135[[#This Row],[PEG]],Table1016[#All],3,FALSE)</f>
        <v>#N/A</v>
      </c>
    </row>
    <row r="37" spans="1:5" x14ac:dyDescent="0.35">
      <c r="A37" s="118">
        <v>30</v>
      </c>
      <c r="B37" s="114" t="s">
        <v>12</v>
      </c>
      <c r="C37" s="109" t="e">
        <f>VLOOKUP(Table257519913135[[#This Row],[PEG]],Table1016[#All],2,FALSE)</f>
        <v>#N/A</v>
      </c>
      <c r="D37" s="117"/>
      <c r="E37" s="125" t="e">
        <f>VLOOKUP(Table257519913135[[#This Row],[PEG]],Table1016[#All],3,FALSE)</f>
        <v>#N/A</v>
      </c>
    </row>
    <row r="38" spans="1:5" x14ac:dyDescent="0.35">
      <c r="A38" s="118">
        <v>31</v>
      </c>
      <c r="B38" s="114" t="s">
        <v>12</v>
      </c>
      <c r="C38" s="109" t="e">
        <f>VLOOKUP(Table257519913135[[#This Row],[PEG]],Table1016[#All],2,FALSE)</f>
        <v>#N/A</v>
      </c>
      <c r="D38" s="117"/>
      <c r="E38" s="125" t="e">
        <f>VLOOKUP(Table257519913135[[#This Row],[PEG]],Table1016[#All],3,FALSE)</f>
        <v>#N/A</v>
      </c>
    </row>
    <row r="39" spans="1:5" x14ac:dyDescent="0.35">
      <c r="A39" s="118">
        <v>32</v>
      </c>
      <c r="B39" s="114" t="s">
        <v>12</v>
      </c>
      <c r="C39" s="109" t="e">
        <f>VLOOKUP(Table257519913135[[#This Row],[PEG]],Table1016[#All],2,FALSE)</f>
        <v>#N/A</v>
      </c>
      <c r="D39" s="117"/>
      <c r="E39" s="125" t="e">
        <f>VLOOKUP(Table257519913135[[#This Row],[PEG]],Table1016[#All],3,FALSE)</f>
        <v>#N/A</v>
      </c>
    </row>
    <row r="40" spans="1:5" x14ac:dyDescent="0.35">
      <c r="A40" s="118">
        <v>33</v>
      </c>
      <c r="B40" s="114" t="s">
        <v>12</v>
      </c>
      <c r="C40" s="109" t="e">
        <f>VLOOKUP(Table257519913135[[#This Row],[PEG]],Table1016[#All],2,FALSE)</f>
        <v>#N/A</v>
      </c>
      <c r="D40" s="117"/>
      <c r="E40" s="125" t="e">
        <f>VLOOKUP(Table257519913135[[#This Row],[PEG]],Table1016[#All],3,FALSE)</f>
        <v>#N/A</v>
      </c>
    </row>
    <row r="41" spans="1:5" x14ac:dyDescent="0.35">
      <c r="A41" s="118">
        <v>34</v>
      </c>
      <c r="B41" s="114" t="s">
        <v>115</v>
      </c>
      <c r="C41" s="109" t="e">
        <f>VLOOKUP(Table257519913135[[#This Row],[PEG]],Table1016[#All],2,FALSE)</f>
        <v>#N/A</v>
      </c>
      <c r="D41" s="117"/>
      <c r="E41" s="125" t="e">
        <f>VLOOKUP(Table257519913135[[#This Row],[PEG]],Table1016[#All],3,FALSE)</f>
        <v>#N/A</v>
      </c>
    </row>
    <row r="42" spans="1:5" x14ac:dyDescent="0.35">
      <c r="A42" s="118">
        <v>35</v>
      </c>
      <c r="B42" s="114" t="s">
        <v>12</v>
      </c>
      <c r="C42" s="109" t="e">
        <f>VLOOKUP(Table257519913135[[#This Row],[PEG]],Table1016[#All],2,FALSE)</f>
        <v>#N/A</v>
      </c>
      <c r="D42" s="115"/>
      <c r="E42" s="125" t="e">
        <f>VLOOKUP(Table257519913135[[#This Row],[PEG]],Table1016[#All],3,FALSE)</f>
        <v>#N/A</v>
      </c>
    </row>
    <row r="43" spans="1:5" x14ac:dyDescent="0.35">
      <c r="A43" s="118">
        <v>36</v>
      </c>
      <c r="B43" s="114" t="s">
        <v>115</v>
      </c>
      <c r="C43" s="109" t="e">
        <f>VLOOKUP(Table257519913135[[#This Row],[PEG]],Table1016[#All],2,FALSE)</f>
        <v>#N/A</v>
      </c>
      <c r="D43" s="115"/>
      <c r="E43" s="125" t="e">
        <f>VLOOKUP(Table257519913135[[#This Row],[PEG]],Table1016[#All],3,FALSE)</f>
        <v>#N/A</v>
      </c>
    </row>
    <row r="44" spans="1:5" x14ac:dyDescent="0.35">
      <c r="A44" s="118">
        <v>37</v>
      </c>
      <c r="B44" s="114" t="s">
        <v>13</v>
      </c>
      <c r="C44" s="18" t="s">
        <v>13</v>
      </c>
      <c r="D44" s="115"/>
      <c r="E44" s="32"/>
    </row>
  </sheetData>
  <mergeCells count="1">
    <mergeCell ref="A1:B1"/>
  </mergeCells>
  <conditionalFormatting sqref="B8:B18">
    <cfRule type="containsText" dxfId="2633" priority="1" operator="containsText" text="Hear">
      <formula>NOT(ISERROR(SEARCH("Hear",B8)))</formula>
    </cfRule>
  </conditionalFormatting>
  <conditionalFormatting sqref="B30">
    <cfRule type="containsText" dxfId="2632" priority="4" operator="containsText" text="Hear">
      <formula>NOT(ISERROR(SEARCH("Hear",B30)))</formula>
    </cfRule>
  </conditionalFormatting>
  <conditionalFormatting sqref="B43:B44">
    <cfRule type="containsText" dxfId="2631" priority="14" operator="containsText" text="Hear">
      <formula>NOT(ISERROR(SEARCH("Hear",B43)))</formula>
    </cfRule>
  </conditionalFormatting>
  <conditionalFormatting sqref="E44">
    <cfRule type="containsText" dxfId="2630" priority="12" operator="containsText" text="WEB SERVICE">
      <formula>NOT(ISERROR(SEARCH("WEB SERVICE",E44)))</formula>
    </cfRule>
    <cfRule type="containsText" dxfId="2629" priority="13" operator="containsText" text="DB">
      <formula>NOT(ISERROR(SEARCH("DB",E44)))</formula>
    </cfRule>
  </conditionalFormatting>
  <conditionalFormatting sqref="C44">
    <cfRule type="expression" dxfId="2628" priority="15">
      <formula>$B44="Dial"</formula>
    </cfRule>
    <cfRule type="expression" dxfId="2627" priority="17">
      <formula>$B44="HANGUP"</formula>
    </cfRule>
  </conditionalFormatting>
  <conditionalFormatting sqref="C44">
    <cfRule type="expression" dxfId="2626" priority="16">
      <formula>$B44="Speak"</formula>
    </cfRule>
  </conditionalFormatting>
  <conditionalFormatting sqref="B36:B38 B40:B41">
    <cfRule type="containsText" dxfId="2625" priority="3" operator="containsText" text="Hear">
      <formula>NOT(ISERROR(SEARCH("Hear",B36)))</formula>
    </cfRule>
  </conditionalFormatting>
  <conditionalFormatting sqref="B19:B29 B31:B35 B42">
    <cfRule type="containsText" dxfId="2624" priority="5" operator="containsText" text="Hear">
      <formula>NOT(ISERROR(SEARCH("Hear",B19)))</formula>
    </cfRule>
  </conditionalFormatting>
  <hyperlinks>
    <hyperlink ref="A1" location="'Test Case Overview'!A1" display="Return to Test Case Overview" xr:uid="{388FBBDC-EA39-4662-AD76-30574B605C14}"/>
  </hyperlinks>
  <pageMargins left="0.7" right="0.7" top="0.75" bottom="0.75" header="0.3" footer="0.3"/>
  <pageSetup orientation="portrait" verticalDpi="0" r:id="rId1"/>
  <tableParts count="1">
    <tablePart r:id="rId2"/>
  </tableParts>
  <extLst>
    <ext xmlns:x14="http://schemas.microsoft.com/office/spreadsheetml/2009/9/main" uri="{78C0D931-6437-407d-A8EE-F0AAD7539E65}">
      <x14:conditionalFormattings>
        <x14:conditionalFormatting xmlns:xm="http://schemas.microsoft.com/office/excel/2006/main">
          <x14:cfRule type="expression" priority="2" id="{44CD45A7-09B4-48DE-9C84-BD55DCBCD396}">
            <xm:f>'TC1'!$B8="Dial"</xm:f>
            <x14:dxf>
              <font>
                <b/>
                <i val="0"/>
                <color rgb="FFFF0000"/>
              </font>
            </x14:dxf>
          </x14:cfRule>
          <x14:cfRule type="expression" priority="18" id="{61A1C384-97DA-4AE3-888F-CCF654DF69BD}">
            <xm:f>'TC1'!$B8="HANGUP"</xm:f>
            <x14:dxf>
              <font>
                <b/>
                <i val="0"/>
              </font>
            </x14:dxf>
          </x14:cfRule>
          <xm:sqref>C8</xm:sqref>
        </x14:conditionalFormatting>
        <x14:conditionalFormatting xmlns:xm="http://schemas.microsoft.com/office/excel/2006/main">
          <x14:cfRule type="expression" priority="19" id="{1402B844-EC3E-4493-B80D-DDCFF00D7119}">
            <xm:f>'TC1'!$B8="Speak"</xm:f>
            <x14:dxf>
              <font>
                <b/>
                <i val="0"/>
                <color rgb="FFFF0000"/>
              </font>
            </x14:dxf>
          </x14:cfRule>
          <xm:sqref>C8</xm:sqref>
        </x14:conditionalFormatting>
        <x14:conditionalFormatting xmlns:xm="http://schemas.microsoft.com/office/excel/2006/main">
          <x14:cfRule type="containsText" priority="22" operator="containsText" text="Hear" id="{557E25B4-61B8-462C-ABD0-5E53E598EDB9}">
            <xm:f>NOT(ISERROR(SEARCH("Hear",'TC3'!B34)))</xm:f>
            <x14:dxf>
              <font>
                <color theme="9" tint="-0.24994659260841701"/>
              </font>
              <fill>
                <patternFill>
                  <bgColor theme="9" tint="0.59996337778862885"/>
                </patternFill>
              </fill>
            </x14:dxf>
          </x14:cfRule>
          <xm:sqref>B41</xm:sqref>
        </x14:conditionalFormatting>
        <x14:conditionalFormatting xmlns:xm="http://schemas.microsoft.com/office/excel/2006/main">
          <x14:cfRule type="expression" priority="2343" id="{44CD45A7-09B4-48DE-9C84-BD55DCBCD396}">
            <xm:f>'TC1'!$B16="Dial"</xm:f>
            <x14:dxf>
              <font>
                <b/>
                <i val="0"/>
                <color rgb="FFFF0000"/>
              </font>
            </x14:dxf>
          </x14:cfRule>
          <x14:cfRule type="expression" priority="2344" id="{61A1C384-97DA-4AE3-888F-CCF654DF69BD}">
            <xm:f>'TC1'!$B16="HANGUP"</xm:f>
            <x14:dxf>
              <font>
                <b/>
                <i val="0"/>
              </font>
            </x14:dxf>
          </x14:cfRule>
          <xm:sqref>C34:C43</xm:sqref>
        </x14:conditionalFormatting>
        <x14:conditionalFormatting xmlns:xm="http://schemas.microsoft.com/office/excel/2006/main">
          <x14:cfRule type="expression" priority="2345" id="{44CD45A7-09B4-48DE-9C84-BD55DCBCD396}">
            <xm:f>'TC1'!#REF!="Dial"</xm:f>
            <x14:dxf>
              <font>
                <b/>
                <i val="0"/>
                <color rgb="FFFF0000"/>
              </font>
            </x14:dxf>
          </x14:cfRule>
          <x14:cfRule type="expression" priority="2346" id="{61A1C384-97DA-4AE3-888F-CCF654DF69BD}">
            <xm:f>'TC1'!#REF!="HANGUP"</xm:f>
            <x14:dxf>
              <font>
                <b/>
                <i val="0"/>
              </font>
            </x14:dxf>
          </x14:cfRule>
          <xm:sqref>C17:C33</xm:sqref>
        </x14:conditionalFormatting>
        <x14:conditionalFormatting xmlns:xm="http://schemas.microsoft.com/office/excel/2006/main">
          <x14:cfRule type="expression" priority="2350" id="{1402B844-EC3E-4493-B80D-DDCFF00D7119}">
            <xm:f>'TC1'!$B16="Speak"</xm:f>
            <x14:dxf>
              <font>
                <b/>
                <i val="0"/>
                <color rgb="FFFF0000"/>
              </font>
            </x14:dxf>
          </x14:cfRule>
          <xm:sqref>C34:C43</xm:sqref>
        </x14:conditionalFormatting>
        <x14:conditionalFormatting xmlns:xm="http://schemas.microsoft.com/office/excel/2006/main">
          <x14:cfRule type="expression" priority="2351" id="{1402B844-EC3E-4493-B80D-DDCFF00D7119}">
            <xm:f>'TC1'!#REF!="Speak"</xm:f>
            <x14:dxf>
              <font>
                <b/>
                <i val="0"/>
                <color rgb="FFFF0000"/>
              </font>
            </x14:dxf>
          </x14:cfRule>
          <xm:sqref>C17:C33</xm:sqref>
        </x14:conditionalFormatting>
        <x14:conditionalFormatting xmlns:xm="http://schemas.microsoft.com/office/excel/2006/main">
          <x14:cfRule type="containsText" priority="2355" operator="containsText" text="DB" id="{B58BE232-4222-4595-8EAD-F07A172BFC6B}">
            <xm:f>NOT(ISERROR(SEARCH("DB",'TC1'!E16)))</xm:f>
            <x14:dxf>
              <font>
                <color rgb="FF006100"/>
              </font>
              <fill>
                <patternFill>
                  <bgColor rgb="FFC6EFCE"/>
                </patternFill>
              </fill>
            </x14:dxf>
          </x14:cfRule>
          <x14:cfRule type="containsText" priority="2356" operator="containsText" text="WEB SERVICE" id="{5A816E90-7753-42F0-A504-D69BA6919A16}">
            <xm:f>NOT(ISERROR(SEARCH("WEB SERVICE",'TC1'!E16)))</xm:f>
            <x14:dxf>
              <font>
                <color rgb="FF9C0006"/>
              </font>
              <fill>
                <patternFill>
                  <bgColor rgb="FFFFC7CE"/>
                </patternFill>
              </fill>
            </x14:dxf>
          </x14:cfRule>
          <xm:sqref>E34:E43</xm:sqref>
        </x14:conditionalFormatting>
        <x14:conditionalFormatting xmlns:xm="http://schemas.microsoft.com/office/excel/2006/main">
          <x14:cfRule type="containsText" priority="2357" operator="containsText" text="DB" id="{B58BE232-4222-4595-8EAD-F07A172BFC6B}">
            <xm:f>NOT(ISERROR(SEARCH("DB",'TC1'!#REF!)))</xm:f>
            <x14:dxf>
              <font>
                <color rgb="FF006100"/>
              </font>
              <fill>
                <patternFill>
                  <bgColor rgb="FFC6EFCE"/>
                </patternFill>
              </fill>
            </x14:dxf>
          </x14:cfRule>
          <x14:cfRule type="containsText" priority="2358" operator="containsText" text="WEB SERVICE" id="{5A816E90-7753-42F0-A504-D69BA6919A16}">
            <xm:f>NOT(ISERROR(SEARCH("WEB SERVICE",'TC1'!#REF!)))</xm:f>
            <x14:dxf>
              <font>
                <color rgb="FF9C0006"/>
              </font>
              <fill>
                <patternFill>
                  <bgColor rgb="FFFFC7CE"/>
                </patternFill>
              </fill>
            </x14:dxf>
          </x14:cfRule>
          <xm:sqref>E17:E33</xm:sqref>
        </x14:conditionalFormatting>
        <x14:conditionalFormatting xmlns:xm="http://schemas.microsoft.com/office/excel/2006/main">
          <x14:cfRule type="expression" priority="5047" id="{44CD45A7-09B4-48DE-9C84-BD55DCBCD396}">
            <xm:f>'TC1'!$B9="Dial"</xm:f>
            <x14:dxf>
              <font>
                <b/>
                <i val="0"/>
                <color rgb="FFFF0000"/>
              </font>
            </x14:dxf>
          </x14:cfRule>
          <x14:cfRule type="expression" priority="5048" id="{61A1C384-97DA-4AE3-888F-CCF654DF69BD}">
            <xm:f>'TC1'!$B9="HANGUP"</xm:f>
            <x14:dxf>
              <font>
                <b/>
                <i val="0"/>
              </font>
            </x14:dxf>
          </x14:cfRule>
          <xm:sqref>C12:C15</xm:sqref>
        </x14:conditionalFormatting>
        <x14:conditionalFormatting xmlns:xm="http://schemas.microsoft.com/office/excel/2006/main">
          <x14:cfRule type="expression" priority="5049" id="{44CD45A7-09B4-48DE-9C84-BD55DCBCD396}">
            <xm:f>'TC1'!#REF!="Dial"</xm:f>
            <x14:dxf>
              <font>
                <b/>
                <i val="0"/>
                <color rgb="FFFF0000"/>
              </font>
            </x14:dxf>
          </x14:cfRule>
          <x14:cfRule type="expression" priority="5050" id="{61A1C384-97DA-4AE3-888F-CCF654DF69BD}">
            <xm:f>'TC1'!#REF!="HANGUP"</xm:f>
            <x14:dxf>
              <font>
                <b/>
                <i val="0"/>
              </font>
            </x14:dxf>
          </x14:cfRule>
          <xm:sqref>C9:C11</xm:sqref>
        </x14:conditionalFormatting>
        <x14:conditionalFormatting xmlns:xm="http://schemas.microsoft.com/office/excel/2006/main">
          <x14:cfRule type="expression" priority="5054" id="{1402B844-EC3E-4493-B80D-DDCFF00D7119}">
            <xm:f>'TC1'!$B9="Speak"</xm:f>
            <x14:dxf>
              <font>
                <b/>
                <i val="0"/>
                <color rgb="FFFF0000"/>
              </font>
            </x14:dxf>
          </x14:cfRule>
          <xm:sqref>C12:C15</xm:sqref>
        </x14:conditionalFormatting>
        <x14:conditionalFormatting xmlns:xm="http://schemas.microsoft.com/office/excel/2006/main">
          <x14:cfRule type="expression" priority="5055" id="{1402B844-EC3E-4493-B80D-DDCFF00D7119}">
            <xm:f>'TC1'!#REF!="Speak"</xm:f>
            <x14:dxf>
              <font>
                <b/>
                <i val="0"/>
                <color rgb="FFFF0000"/>
              </font>
            </x14:dxf>
          </x14:cfRule>
          <xm:sqref>C9:C11</xm:sqref>
        </x14:conditionalFormatting>
        <x14:conditionalFormatting xmlns:xm="http://schemas.microsoft.com/office/excel/2006/main">
          <x14:cfRule type="containsText" priority="5057" operator="containsText" text="DB" id="{B58BE232-4222-4595-8EAD-F07A172BFC6B}">
            <xm:f>NOT(ISERROR(SEARCH("DB",'TC1'!#REF!)))</xm:f>
            <x14:dxf>
              <font>
                <color rgb="FF006100"/>
              </font>
              <fill>
                <patternFill>
                  <bgColor rgb="FFC6EFCE"/>
                </patternFill>
              </fill>
            </x14:dxf>
          </x14:cfRule>
          <x14:cfRule type="containsText" priority="5058" operator="containsText" text="WEB SERVICE" id="{5A816E90-7753-42F0-A504-D69BA6919A16}">
            <xm:f>NOT(ISERROR(SEARCH("WEB SERVICE",'TC1'!#REF!)))</xm:f>
            <x14:dxf>
              <font>
                <color rgb="FF9C0006"/>
              </font>
              <fill>
                <patternFill>
                  <bgColor rgb="FFFFC7CE"/>
                </patternFill>
              </fill>
            </x14:dxf>
          </x14:cfRule>
          <xm:sqref>E9:E11</xm:sqref>
        </x14:conditionalFormatting>
        <x14:conditionalFormatting xmlns:xm="http://schemas.microsoft.com/office/excel/2006/main">
          <x14:cfRule type="containsText" priority="5059" operator="containsText" text="DB" id="{B58BE232-4222-4595-8EAD-F07A172BFC6B}">
            <xm:f>NOT(ISERROR(SEARCH("DB",'TC1'!E9)))</xm:f>
            <x14:dxf>
              <font>
                <color rgb="FF006100"/>
              </font>
              <fill>
                <patternFill>
                  <bgColor rgb="FFC6EFCE"/>
                </patternFill>
              </fill>
            </x14:dxf>
          </x14:cfRule>
          <x14:cfRule type="containsText" priority="5060" operator="containsText" text="WEB SERVICE" id="{5A816E90-7753-42F0-A504-D69BA6919A16}">
            <xm:f>NOT(ISERROR(SEARCH("WEB SERVICE",'TC1'!E9)))</xm:f>
            <x14:dxf>
              <font>
                <color rgb="FF9C0006"/>
              </font>
              <fill>
                <patternFill>
                  <bgColor rgb="FFFFC7CE"/>
                </patternFill>
              </fill>
            </x14:dxf>
          </x14:cfRule>
          <xm:sqref>E12:E15</xm:sqref>
        </x14:conditionalFormatting>
        <x14:conditionalFormatting xmlns:xm="http://schemas.microsoft.com/office/excel/2006/main">
          <x14:cfRule type="expression" priority="7385" id="{44CD45A7-09B4-48DE-9C84-BD55DCBCD396}">
            <xm:f>'TC1'!$B15="Dial"</xm:f>
            <x14:dxf>
              <font>
                <b/>
                <i val="0"/>
                <color rgb="FFFF0000"/>
              </font>
            </x14:dxf>
          </x14:cfRule>
          <x14:cfRule type="expression" priority="7386" id="{61A1C384-97DA-4AE3-888F-CCF654DF69BD}">
            <xm:f>'TC1'!$B15="HANGUP"</xm:f>
            <x14:dxf>
              <font>
                <b/>
                <i val="0"/>
              </font>
            </x14:dxf>
          </x14:cfRule>
          <xm:sqref>C16</xm:sqref>
        </x14:conditionalFormatting>
        <x14:conditionalFormatting xmlns:xm="http://schemas.microsoft.com/office/excel/2006/main">
          <x14:cfRule type="expression" priority="7388" id="{1402B844-EC3E-4493-B80D-DDCFF00D7119}">
            <xm:f>'TC1'!$B15="Speak"</xm:f>
            <x14:dxf>
              <font>
                <b/>
                <i val="0"/>
                <color rgb="FFFF0000"/>
              </font>
            </x14:dxf>
          </x14:cfRule>
          <xm:sqref>C16</xm:sqref>
        </x14:conditionalFormatting>
        <x14:conditionalFormatting xmlns:xm="http://schemas.microsoft.com/office/excel/2006/main">
          <x14:cfRule type="containsText" priority="7391" operator="containsText" text="DB" id="{B58BE232-4222-4595-8EAD-F07A172BFC6B}">
            <xm:f>NOT(ISERROR(SEARCH("DB",'TC1'!E15)))</xm:f>
            <x14:dxf>
              <font>
                <color rgb="FF006100"/>
              </font>
              <fill>
                <patternFill>
                  <bgColor rgb="FFC6EFCE"/>
                </patternFill>
              </fill>
            </x14:dxf>
          </x14:cfRule>
          <x14:cfRule type="containsText" priority="7392" operator="containsText" text="WEB SERVICE" id="{5A816E90-7753-42F0-A504-D69BA6919A16}">
            <xm:f>NOT(ISERROR(SEARCH("WEB SERVICE",'TC1'!E15)))</xm:f>
            <x14:dxf>
              <font>
                <color rgb="FF9C0006"/>
              </font>
              <fill>
                <patternFill>
                  <bgColor rgb="FFFFC7CE"/>
                </patternFill>
              </fill>
            </x14:dxf>
          </x14:cfRule>
          <xm:sqref>E16</xm:sqref>
        </x14:conditionalFormatting>
        <x14:conditionalFormatting xmlns:xm="http://schemas.microsoft.com/office/excel/2006/main">
          <x14:cfRule type="containsText" priority="9914" operator="containsText" text="Hear" id="{AB882B7E-5CED-4ECC-B454-79362347CC3A}">
            <xm:f>NOT(ISERROR(SEARCH("Hear",'TC26'!#REF!)))</xm:f>
            <x14:dxf>
              <font>
                <color theme="9" tint="-0.24994659260841701"/>
              </font>
              <fill>
                <patternFill>
                  <bgColor theme="9" tint="0.59996337778862885"/>
                </patternFill>
              </fill>
            </x14:dxf>
          </x14:cfRule>
          <xm:sqref>B39</xm:sqref>
        </x14:conditionalFormatting>
      </x14:conditionalFormattings>
    </ext>
  </extLst>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900-000000000000}">
  <sheetPr codeName="Sheet107"/>
  <dimension ref="A1:E44"/>
  <sheetViews>
    <sheetView zoomScaleNormal="100" workbookViewId="0">
      <selection sqref="A1:E44"/>
    </sheetView>
  </sheetViews>
  <sheetFormatPr defaultRowHeight="14.5" x14ac:dyDescent="0.35"/>
  <cols>
    <col min="1" max="1" width="14.453125" bestFit="1" customWidth="1"/>
    <col min="2" max="2" width="42.6328125" customWidth="1"/>
    <col min="3" max="3" width="106.1796875" customWidth="1"/>
    <col min="4" max="4" width="21.81640625" bestFit="1" customWidth="1"/>
    <col min="5" max="5" width="20.6328125" customWidth="1"/>
  </cols>
  <sheetData>
    <row r="1" spans="1:5" ht="18.5" x14ac:dyDescent="0.35">
      <c r="A1" s="192" t="s">
        <v>4</v>
      </c>
      <c r="B1" s="192"/>
      <c r="C1" s="105"/>
      <c r="D1" s="111"/>
      <c r="E1" s="97"/>
    </row>
    <row r="2" spans="1:5" x14ac:dyDescent="0.35">
      <c r="A2" s="106" t="s">
        <v>5</v>
      </c>
      <c r="B2" s="107" t="str">
        <f ca="1">MID(CELL("filename",A1),FIND("]",CELL("filename",A1))+1,LEN(CELL("filename",A1))-FIND("]",CELL("filename",A1)))</f>
        <v>TC105</v>
      </c>
      <c r="C2" s="98"/>
      <c r="D2" s="111"/>
      <c r="E2" s="97"/>
    </row>
    <row r="3" spans="1:5" x14ac:dyDescent="0.35">
      <c r="A3" s="104" t="s">
        <v>19</v>
      </c>
      <c r="B3" s="112">
        <f ca="1">VLOOKUP(B2,Table53[#All],2,FALSE)</f>
        <v>0</v>
      </c>
      <c r="C3" s="98"/>
      <c r="D3" s="111"/>
      <c r="E3" s="97"/>
    </row>
    <row r="4" spans="1:5" ht="29" x14ac:dyDescent="0.35">
      <c r="A4" s="113" t="s">
        <v>20</v>
      </c>
      <c r="B4" s="99">
        <f ca="1">VLOOKUP(B2,Table53[#All],4,FALSE)</f>
        <v>0</v>
      </c>
      <c r="C4" s="98"/>
      <c r="D4" s="111"/>
      <c r="E4" s="97"/>
    </row>
    <row r="5" spans="1:5" x14ac:dyDescent="0.35">
      <c r="A5" s="104" t="s">
        <v>6</v>
      </c>
      <c r="B5" s="77">
        <f ca="1">VLOOKUP(B2,Table53[#All],3,FALSE)</f>
        <v>0</v>
      </c>
      <c r="C5" s="98"/>
      <c r="D5" s="111"/>
      <c r="E5" s="97"/>
    </row>
    <row r="6" spans="1:5" x14ac:dyDescent="0.35">
      <c r="A6" s="97"/>
      <c r="B6" s="97"/>
      <c r="C6" s="98"/>
      <c r="D6" s="111"/>
      <c r="E6" s="97"/>
    </row>
    <row r="7" spans="1:5" ht="15.5" x14ac:dyDescent="0.35">
      <c r="A7" s="100" t="s">
        <v>7</v>
      </c>
      <c r="B7" s="101" t="s">
        <v>8</v>
      </c>
      <c r="C7" s="102" t="s">
        <v>9</v>
      </c>
      <c r="D7" s="102" t="s">
        <v>14</v>
      </c>
      <c r="E7" s="103" t="s">
        <v>10</v>
      </c>
    </row>
    <row r="8" spans="1:5" x14ac:dyDescent="0.35">
      <c r="A8" s="118">
        <v>1</v>
      </c>
      <c r="B8" s="114" t="s">
        <v>114</v>
      </c>
      <c r="C8" s="109" t="s">
        <v>125</v>
      </c>
      <c r="D8" s="128"/>
      <c r="E8" s="125" t="s">
        <v>11</v>
      </c>
    </row>
    <row r="9" spans="1:5" x14ac:dyDescent="0.35">
      <c r="A9" s="118">
        <v>2</v>
      </c>
      <c r="B9" s="114" t="s">
        <v>12</v>
      </c>
      <c r="C9" s="109" t="e">
        <f>VLOOKUP(Table257519913137[[#This Row],[PEG]],Table1016[#All],2,FALSE)</f>
        <v>#N/A</v>
      </c>
      <c r="D9" s="128"/>
      <c r="E9" s="125" t="e">
        <f>VLOOKUP(Table257519913137[[#This Row],[PEG]],Table1016[#All],3,FALSE)</f>
        <v>#N/A</v>
      </c>
    </row>
    <row r="10" spans="1:5" x14ac:dyDescent="0.35">
      <c r="A10" s="118">
        <v>3</v>
      </c>
      <c r="B10" s="114" t="s">
        <v>115</v>
      </c>
      <c r="C10" s="109" t="e">
        <f>VLOOKUP(Table257519913137[[#This Row],[PEG]],Table1016[#All],2,FALSE)</f>
        <v>#N/A</v>
      </c>
      <c r="D10" s="128"/>
      <c r="E10" s="125" t="e">
        <f>VLOOKUP(Table257519913137[[#This Row],[PEG]],Table1016[#All],3,FALSE)</f>
        <v>#N/A</v>
      </c>
    </row>
    <row r="11" spans="1:5" x14ac:dyDescent="0.35">
      <c r="A11" s="118">
        <v>4</v>
      </c>
      <c r="B11" s="114" t="s">
        <v>115</v>
      </c>
      <c r="C11" s="109" t="e">
        <f>VLOOKUP(Table257519913137[[#This Row],[PEG]],Table1016[#All],2,FALSE)</f>
        <v>#N/A</v>
      </c>
      <c r="D11" s="128"/>
      <c r="E11" s="125" t="e">
        <f>VLOOKUP(Table257519913137[[#This Row],[PEG]],Table1016[#All],3,FALSE)</f>
        <v>#N/A</v>
      </c>
    </row>
    <row r="12" spans="1:5" x14ac:dyDescent="0.35">
      <c r="A12" s="118">
        <v>5</v>
      </c>
      <c r="B12" s="114" t="s">
        <v>114</v>
      </c>
      <c r="C12" s="109" t="e">
        <f>VLOOKUP(Table257519913137[[#This Row],[PEG]],Table1016[#All],2,FALSE)</f>
        <v>#N/A</v>
      </c>
      <c r="D12" s="128"/>
      <c r="E12" s="125" t="e">
        <f>VLOOKUP(Table257519913137[[#This Row],[PEG]],Table1016[#All],3,FALSE)</f>
        <v>#N/A</v>
      </c>
    </row>
    <row r="13" spans="1:5" x14ac:dyDescent="0.35">
      <c r="A13" s="118">
        <v>6</v>
      </c>
      <c r="B13" s="114" t="s">
        <v>115</v>
      </c>
      <c r="C13" s="109" t="e">
        <f>VLOOKUP(Table257519913137[[#This Row],[PEG]],Table1016[#All],2,FALSE)</f>
        <v>#N/A</v>
      </c>
      <c r="D13" s="128"/>
      <c r="E13" s="125" t="e">
        <f>VLOOKUP(Table257519913137[[#This Row],[PEG]],Table1016[#All],3,FALSE)</f>
        <v>#N/A</v>
      </c>
    </row>
    <row r="14" spans="1:5" x14ac:dyDescent="0.35">
      <c r="A14" s="118">
        <v>7</v>
      </c>
      <c r="B14" s="114" t="s">
        <v>114</v>
      </c>
      <c r="C14" s="109" t="e">
        <f>VLOOKUP(Table257519913137[[#This Row],[PEG]],Table1016[#All],2,FALSE)</f>
        <v>#N/A</v>
      </c>
      <c r="D14" s="128"/>
      <c r="E14" s="125" t="e">
        <f>VLOOKUP(Table257519913137[[#This Row],[PEG]],Table1016[#All],3,FALSE)</f>
        <v>#N/A</v>
      </c>
    </row>
    <row r="15" spans="1:5" x14ac:dyDescent="0.35">
      <c r="A15" s="118">
        <v>8</v>
      </c>
      <c r="B15" s="114" t="s">
        <v>115</v>
      </c>
      <c r="C15" s="109" t="e">
        <f>VLOOKUP(Table257519913137[[#This Row],[PEG]],Table1016[#All],2,FALSE)</f>
        <v>#N/A</v>
      </c>
      <c r="D15" s="116"/>
      <c r="E15" s="125" t="e">
        <f>VLOOKUP(Table257519913137[[#This Row],[PEG]],Table1016[#All],3,FALSE)</f>
        <v>#N/A</v>
      </c>
    </row>
    <row r="16" spans="1:5" x14ac:dyDescent="0.35">
      <c r="A16" s="118">
        <v>9</v>
      </c>
      <c r="B16" s="114" t="s">
        <v>12</v>
      </c>
      <c r="C16" s="109" t="e">
        <f>VLOOKUP(Table257519913137[[#This Row],[PEG]],Table1016[#All],2,FALSE)</f>
        <v>#N/A</v>
      </c>
      <c r="D16" s="116"/>
      <c r="E16" s="125" t="e">
        <f>VLOOKUP(Table257519913137[[#This Row],[PEG]],Table1016[#All],3,FALSE)</f>
        <v>#N/A</v>
      </c>
    </row>
    <row r="17" spans="1:5" x14ac:dyDescent="0.35">
      <c r="A17" s="118">
        <v>10</v>
      </c>
      <c r="B17" s="114" t="s">
        <v>12</v>
      </c>
      <c r="C17" s="109" t="e">
        <f>VLOOKUP(Table257519913137[[#This Row],[PEG]],Table1016[#All],2,FALSE)</f>
        <v>#N/A</v>
      </c>
      <c r="D17" s="117"/>
      <c r="E17" s="125" t="e">
        <f>VLOOKUP(Table257519913137[[#This Row],[PEG]],Table1016[#All],3,FALSE)</f>
        <v>#N/A</v>
      </c>
    </row>
    <row r="18" spans="1:5" x14ac:dyDescent="0.35">
      <c r="A18" s="118">
        <v>11</v>
      </c>
      <c r="B18" s="114" t="s">
        <v>115</v>
      </c>
      <c r="C18" s="109" t="e">
        <f>VLOOKUP(Table257519913137[[#This Row],[PEG]],Table1016[#All],2,FALSE)</f>
        <v>#N/A</v>
      </c>
      <c r="D18" s="117"/>
      <c r="E18" s="125" t="e">
        <f>VLOOKUP(Table257519913137[[#This Row],[PEG]],Table1016[#All],3,FALSE)</f>
        <v>#N/A</v>
      </c>
    </row>
    <row r="19" spans="1:5" x14ac:dyDescent="0.35">
      <c r="A19" s="118">
        <v>12</v>
      </c>
      <c r="B19" s="114" t="s">
        <v>115</v>
      </c>
      <c r="C19" s="109" t="e">
        <f>VLOOKUP(Table257519913137[[#This Row],[PEG]],Table1016[#All],2,FALSE)</f>
        <v>#N/A</v>
      </c>
      <c r="D19" s="117"/>
      <c r="E19" s="125" t="e">
        <f>VLOOKUP(Table257519913137[[#This Row],[PEG]],Table1016[#All],3,FALSE)</f>
        <v>#N/A</v>
      </c>
    </row>
    <row r="20" spans="1:5" x14ac:dyDescent="0.35">
      <c r="A20" s="118">
        <v>13</v>
      </c>
      <c r="B20" s="114" t="s">
        <v>114</v>
      </c>
      <c r="C20" s="109" t="e">
        <f>VLOOKUP(Table257519913137[[#This Row],[PEG]],Table1016[#All],2,FALSE)</f>
        <v>#N/A</v>
      </c>
      <c r="D20" s="117"/>
      <c r="E20" s="125" t="e">
        <f>VLOOKUP(Table257519913137[[#This Row],[PEG]],Table1016[#All],3,FALSE)</f>
        <v>#N/A</v>
      </c>
    </row>
    <row r="21" spans="1:5" x14ac:dyDescent="0.35">
      <c r="A21" s="118">
        <v>14</v>
      </c>
      <c r="B21" s="114" t="s">
        <v>12</v>
      </c>
      <c r="C21" s="109" t="e">
        <f>VLOOKUP(Table257519913137[[#This Row],[PEG]],Table1016[#All],2,FALSE)</f>
        <v>#N/A</v>
      </c>
      <c r="D21" s="117"/>
      <c r="E21" s="125" t="e">
        <f>VLOOKUP(Table257519913137[[#This Row],[PEG]],Table1016[#All],3,FALSE)</f>
        <v>#N/A</v>
      </c>
    </row>
    <row r="22" spans="1:5" x14ac:dyDescent="0.35">
      <c r="A22" s="118">
        <v>15</v>
      </c>
      <c r="B22" s="114" t="s">
        <v>12</v>
      </c>
      <c r="C22" s="109" t="e">
        <f>VLOOKUP(Table257519913137[[#This Row],[PEG]],Table1016[#All],2,FALSE)</f>
        <v>#N/A</v>
      </c>
      <c r="D22" s="117"/>
      <c r="E22" s="125" t="e">
        <f>VLOOKUP(Table257519913137[[#This Row],[PEG]],Table1016[#All],3,FALSE)</f>
        <v>#N/A</v>
      </c>
    </row>
    <row r="23" spans="1:5" x14ac:dyDescent="0.35">
      <c r="A23" s="118">
        <v>16</v>
      </c>
      <c r="B23" s="114" t="s">
        <v>115</v>
      </c>
      <c r="C23" s="109" t="e">
        <f>VLOOKUP(Table257519913137[[#This Row],[PEG]],Table1016[#All],2,FALSE)</f>
        <v>#N/A</v>
      </c>
      <c r="D23" s="117"/>
      <c r="E23" s="125" t="e">
        <f>VLOOKUP(Table257519913137[[#This Row],[PEG]],Table1016[#All],3,FALSE)</f>
        <v>#N/A</v>
      </c>
    </row>
    <row r="24" spans="1:5" x14ac:dyDescent="0.35">
      <c r="A24" s="118">
        <v>17</v>
      </c>
      <c r="B24" s="114" t="s">
        <v>114</v>
      </c>
      <c r="C24" s="109" t="e">
        <f>VLOOKUP(Table257519913137[[#This Row],[PEG]],Table1016[#All],2,FALSE)</f>
        <v>#N/A</v>
      </c>
      <c r="D24" s="117"/>
      <c r="E24" s="125" t="e">
        <f>VLOOKUP(Table257519913137[[#This Row],[PEG]],Table1016[#All],3,FALSE)</f>
        <v>#N/A</v>
      </c>
    </row>
    <row r="25" spans="1:5" x14ac:dyDescent="0.35">
      <c r="A25" s="118">
        <v>18</v>
      </c>
      <c r="B25" s="114" t="s">
        <v>12</v>
      </c>
      <c r="C25" s="109" t="e">
        <f>VLOOKUP(Table257519913137[[#This Row],[PEG]],Table1016[#All],2,FALSE)</f>
        <v>#N/A</v>
      </c>
      <c r="D25" s="117"/>
      <c r="E25" s="125" t="e">
        <f>VLOOKUP(Table257519913137[[#This Row],[PEG]],Table1016[#All],3,FALSE)</f>
        <v>#N/A</v>
      </c>
    </row>
    <row r="26" spans="1:5" x14ac:dyDescent="0.35">
      <c r="A26" s="118">
        <v>19</v>
      </c>
      <c r="B26" s="114" t="s">
        <v>12</v>
      </c>
      <c r="C26" s="109" t="e">
        <f>VLOOKUP(Table257519913137[[#This Row],[PEG]],Table1016[#All],2,FALSE)</f>
        <v>#N/A</v>
      </c>
      <c r="D26" s="117"/>
      <c r="E26" s="125" t="e">
        <f>VLOOKUP(Table257519913137[[#This Row],[PEG]],Table1016[#All],3,FALSE)</f>
        <v>#N/A</v>
      </c>
    </row>
    <row r="27" spans="1:5" x14ac:dyDescent="0.35">
      <c r="A27" s="118">
        <v>20</v>
      </c>
      <c r="B27" s="114" t="s">
        <v>115</v>
      </c>
      <c r="C27" s="109" t="e">
        <f>VLOOKUP(Table257519913137[[#This Row],[PEG]],Table1016[#All],2,FALSE)</f>
        <v>#N/A</v>
      </c>
      <c r="D27" s="117"/>
      <c r="E27" s="125" t="e">
        <f>VLOOKUP(Table257519913137[[#This Row],[PEG]],Table1016[#All],3,FALSE)</f>
        <v>#N/A</v>
      </c>
    </row>
    <row r="28" spans="1:5" x14ac:dyDescent="0.35">
      <c r="A28" s="118">
        <v>21</v>
      </c>
      <c r="B28" s="114" t="s">
        <v>114</v>
      </c>
      <c r="C28" s="109" t="e">
        <f>VLOOKUP(Table257519913137[[#This Row],[PEG]],Table1016[#All],2,FALSE)</f>
        <v>#N/A</v>
      </c>
      <c r="D28" s="117"/>
      <c r="E28" s="125" t="e">
        <f>VLOOKUP(Table257519913137[[#This Row],[PEG]],Table1016[#All],3,FALSE)</f>
        <v>#N/A</v>
      </c>
    </row>
    <row r="29" spans="1:5" x14ac:dyDescent="0.35">
      <c r="A29" s="118">
        <v>22</v>
      </c>
      <c r="B29" s="114" t="s">
        <v>12</v>
      </c>
      <c r="C29" s="109" t="e">
        <f>VLOOKUP(Table257519913137[[#This Row],[PEG]],Table1016[#All],2,FALSE)</f>
        <v>#N/A</v>
      </c>
      <c r="D29" s="117"/>
      <c r="E29" s="125" t="e">
        <f>VLOOKUP(Table257519913137[[#This Row],[PEG]],Table1016[#All],3,FALSE)</f>
        <v>#N/A</v>
      </c>
    </row>
    <row r="30" spans="1:5" x14ac:dyDescent="0.35">
      <c r="A30" s="118">
        <v>23</v>
      </c>
      <c r="B30" s="114" t="s">
        <v>12</v>
      </c>
      <c r="C30" s="109" t="e">
        <f>VLOOKUP(Table257519913137[[#This Row],[PEG]],Table1016[#All],2,FALSE)</f>
        <v>#N/A</v>
      </c>
      <c r="D30" s="117"/>
      <c r="E30" s="125" t="e">
        <f>VLOOKUP(Table257519913137[[#This Row],[PEG]],Table1016[#All],3,FALSE)</f>
        <v>#N/A</v>
      </c>
    </row>
    <row r="31" spans="1:5" x14ac:dyDescent="0.35">
      <c r="A31" s="118">
        <v>24</v>
      </c>
      <c r="B31" s="114" t="s">
        <v>115</v>
      </c>
      <c r="C31" s="109" t="e">
        <f>VLOOKUP(Table257519913137[[#This Row],[PEG]],Table1016[#All],2,FALSE)</f>
        <v>#N/A</v>
      </c>
      <c r="D31" s="117"/>
      <c r="E31" s="125" t="e">
        <f>VLOOKUP(Table257519913137[[#This Row],[PEG]],Table1016[#All],3,FALSE)</f>
        <v>#N/A</v>
      </c>
    </row>
    <row r="32" spans="1:5" x14ac:dyDescent="0.35">
      <c r="A32" s="118">
        <v>25</v>
      </c>
      <c r="B32" s="114" t="s">
        <v>115</v>
      </c>
      <c r="C32" s="109" t="e">
        <f>VLOOKUP(Table257519913137[[#This Row],[PEG]],Table1016[#All],2,FALSE)</f>
        <v>#N/A</v>
      </c>
      <c r="D32" s="117"/>
      <c r="E32" s="125" t="e">
        <f>VLOOKUP(Table257519913137[[#This Row],[PEG]],Table1016[#All],3,FALSE)</f>
        <v>#N/A</v>
      </c>
    </row>
    <row r="33" spans="1:5" x14ac:dyDescent="0.35">
      <c r="A33" s="118">
        <v>26</v>
      </c>
      <c r="B33" s="114" t="s">
        <v>124</v>
      </c>
      <c r="C33" s="109" t="e">
        <f>VLOOKUP(Table257519913137[[#This Row],[PEG]],Table1016[#All],2,FALSE)</f>
        <v>#N/A</v>
      </c>
      <c r="D33" s="117"/>
      <c r="E33" s="125" t="e">
        <f>VLOOKUP(Table257519913137[[#This Row],[PEG]],Table1016[#All],3,FALSE)</f>
        <v>#N/A</v>
      </c>
    </row>
    <row r="34" spans="1:5" x14ac:dyDescent="0.35">
      <c r="A34" s="118">
        <v>27</v>
      </c>
      <c r="B34" s="114" t="s">
        <v>115</v>
      </c>
      <c r="C34" s="109" t="e">
        <f>VLOOKUP(Table257519913137[[#This Row],[PEG]],Table1016[#All],2,FALSE)</f>
        <v>#N/A</v>
      </c>
      <c r="D34" s="117"/>
      <c r="E34" s="125" t="e">
        <f>VLOOKUP(Table257519913137[[#This Row],[PEG]],Table1016[#All],3,FALSE)</f>
        <v>#N/A</v>
      </c>
    </row>
    <row r="35" spans="1:5" x14ac:dyDescent="0.35">
      <c r="A35" s="118">
        <v>28</v>
      </c>
      <c r="B35" s="114" t="s">
        <v>124</v>
      </c>
      <c r="C35" s="109" t="e">
        <f>VLOOKUP(Table257519913137[[#This Row],[PEG]],Table1016[#All],2,FALSE)</f>
        <v>#N/A</v>
      </c>
      <c r="D35" s="117"/>
      <c r="E35" s="125" t="e">
        <f>VLOOKUP(Table257519913137[[#This Row],[PEG]],Table1016[#All],3,FALSE)</f>
        <v>#N/A</v>
      </c>
    </row>
    <row r="36" spans="1:5" x14ac:dyDescent="0.35">
      <c r="A36" s="118">
        <v>29</v>
      </c>
      <c r="B36" s="114" t="s">
        <v>115</v>
      </c>
      <c r="C36" s="109" t="e">
        <f>VLOOKUP(Table257519913137[[#This Row],[PEG]],Table1016[#All],2,FALSE)</f>
        <v>#N/A</v>
      </c>
      <c r="D36" s="117"/>
      <c r="E36" s="125" t="e">
        <f>VLOOKUP(Table257519913137[[#This Row],[PEG]],Table1016[#All],3,FALSE)</f>
        <v>#N/A</v>
      </c>
    </row>
    <row r="37" spans="1:5" x14ac:dyDescent="0.35">
      <c r="A37" s="118">
        <v>30</v>
      </c>
      <c r="B37" s="114" t="s">
        <v>12</v>
      </c>
      <c r="C37" s="109" t="e">
        <f>VLOOKUP(Table257519913137[[#This Row],[PEG]],Table1016[#All],2,FALSE)</f>
        <v>#N/A</v>
      </c>
      <c r="D37" s="117"/>
      <c r="E37" s="125" t="e">
        <f>VLOOKUP(Table257519913137[[#This Row],[PEG]],Table1016[#All],3,FALSE)</f>
        <v>#N/A</v>
      </c>
    </row>
    <row r="38" spans="1:5" x14ac:dyDescent="0.35">
      <c r="A38" s="118">
        <v>31</v>
      </c>
      <c r="B38" s="114" t="s">
        <v>12</v>
      </c>
      <c r="C38" s="109" t="e">
        <f>VLOOKUP(Table257519913137[[#This Row],[PEG]],Table1016[#All],2,FALSE)</f>
        <v>#N/A</v>
      </c>
      <c r="D38" s="117"/>
      <c r="E38" s="125" t="e">
        <f>VLOOKUP(Table257519913137[[#This Row],[PEG]],Table1016[#All],3,FALSE)</f>
        <v>#N/A</v>
      </c>
    </row>
    <row r="39" spans="1:5" x14ac:dyDescent="0.35">
      <c r="A39" s="118">
        <v>32</v>
      </c>
      <c r="B39" s="114" t="s">
        <v>12</v>
      </c>
      <c r="C39" s="109" t="e">
        <f>VLOOKUP(Table257519913137[[#This Row],[PEG]],Table1016[#All],2,FALSE)</f>
        <v>#N/A</v>
      </c>
      <c r="D39" s="117"/>
      <c r="E39" s="125" t="e">
        <f>VLOOKUP(Table257519913137[[#This Row],[PEG]],Table1016[#All],3,FALSE)</f>
        <v>#N/A</v>
      </c>
    </row>
    <row r="40" spans="1:5" x14ac:dyDescent="0.35">
      <c r="A40" s="118">
        <v>33</v>
      </c>
      <c r="B40" s="114" t="s">
        <v>12</v>
      </c>
      <c r="C40" s="109" t="e">
        <f>VLOOKUP(Table257519913137[[#This Row],[PEG]],Table1016[#All],2,FALSE)</f>
        <v>#N/A</v>
      </c>
      <c r="D40" s="117"/>
      <c r="E40" s="125" t="e">
        <f>VLOOKUP(Table257519913137[[#This Row],[PEG]],Table1016[#All],3,FALSE)</f>
        <v>#N/A</v>
      </c>
    </row>
    <row r="41" spans="1:5" x14ac:dyDescent="0.35">
      <c r="A41" s="118">
        <v>34</v>
      </c>
      <c r="B41" s="114" t="s">
        <v>115</v>
      </c>
      <c r="C41" s="109" t="e">
        <f>VLOOKUP(Table257519913137[[#This Row],[PEG]],Table1016[#All],2,FALSE)</f>
        <v>#N/A</v>
      </c>
      <c r="D41" s="117"/>
      <c r="E41" s="125" t="e">
        <f>VLOOKUP(Table257519913137[[#This Row],[PEG]],Table1016[#All],3,FALSE)</f>
        <v>#N/A</v>
      </c>
    </row>
    <row r="42" spans="1:5" x14ac:dyDescent="0.35">
      <c r="A42" s="118">
        <v>35</v>
      </c>
      <c r="B42" s="114" t="s">
        <v>12</v>
      </c>
      <c r="C42" s="109" t="e">
        <f>VLOOKUP(Table257519913137[[#This Row],[PEG]],Table1016[#All],2,FALSE)</f>
        <v>#N/A</v>
      </c>
      <c r="D42" s="115"/>
      <c r="E42" s="125" t="e">
        <f>VLOOKUP(Table257519913137[[#This Row],[PEG]],Table1016[#All],3,FALSE)</f>
        <v>#N/A</v>
      </c>
    </row>
    <row r="43" spans="1:5" x14ac:dyDescent="0.35">
      <c r="A43" s="118">
        <v>36</v>
      </c>
      <c r="B43" s="114" t="s">
        <v>115</v>
      </c>
      <c r="C43" s="109" t="e">
        <f>VLOOKUP(Table257519913137[[#This Row],[PEG]],Table1016[#All],2,FALSE)</f>
        <v>#N/A</v>
      </c>
      <c r="D43" s="115"/>
      <c r="E43" s="125" t="e">
        <f>VLOOKUP(Table257519913137[[#This Row],[PEG]],Table1016[#All],3,FALSE)</f>
        <v>#N/A</v>
      </c>
    </row>
    <row r="44" spans="1:5" x14ac:dyDescent="0.35">
      <c r="A44" s="118">
        <v>37</v>
      </c>
      <c r="B44" s="114" t="s">
        <v>13</v>
      </c>
      <c r="C44" s="18" t="s">
        <v>13</v>
      </c>
      <c r="D44" s="115"/>
      <c r="E44" s="32"/>
    </row>
  </sheetData>
  <mergeCells count="1">
    <mergeCell ref="A1:B1"/>
  </mergeCells>
  <conditionalFormatting sqref="B8:B18">
    <cfRule type="containsText" dxfId="2593" priority="1" operator="containsText" text="Hear">
      <formula>NOT(ISERROR(SEARCH("Hear",B8)))</formula>
    </cfRule>
  </conditionalFormatting>
  <conditionalFormatting sqref="B30">
    <cfRule type="containsText" dxfId="2592" priority="4" operator="containsText" text="Hear">
      <formula>NOT(ISERROR(SEARCH("Hear",B30)))</formula>
    </cfRule>
  </conditionalFormatting>
  <conditionalFormatting sqref="B43:B44">
    <cfRule type="containsText" dxfId="2591" priority="14" operator="containsText" text="Hear">
      <formula>NOT(ISERROR(SEARCH("Hear",B43)))</formula>
    </cfRule>
  </conditionalFormatting>
  <conditionalFormatting sqref="E44">
    <cfRule type="containsText" dxfId="2590" priority="12" operator="containsText" text="WEB SERVICE">
      <formula>NOT(ISERROR(SEARCH("WEB SERVICE",E44)))</formula>
    </cfRule>
    <cfRule type="containsText" dxfId="2589" priority="13" operator="containsText" text="DB">
      <formula>NOT(ISERROR(SEARCH("DB",E44)))</formula>
    </cfRule>
  </conditionalFormatting>
  <conditionalFormatting sqref="C44">
    <cfRule type="expression" dxfId="2588" priority="15">
      <formula>$B44="Dial"</formula>
    </cfRule>
    <cfRule type="expression" dxfId="2587" priority="17">
      <formula>$B44="HANGUP"</formula>
    </cfRule>
  </conditionalFormatting>
  <conditionalFormatting sqref="C44">
    <cfRule type="expression" dxfId="2586" priority="16">
      <formula>$B44="Speak"</formula>
    </cfRule>
  </conditionalFormatting>
  <conditionalFormatting sqref="B36:B38 B40:B41">
    <cfRule type="containsText" dxfId="2585" priority="3" operator="containsText" text="Hear">
      <formula>NOT(ISERROR(SEARCH("Hear",B36)))</formula>
    </cfRule>
  </conditionalFormatting>
  <conditionalFormatting sqref="B19:B29 B31:B35 B42">
    <cfRule type="containsText" dxfId="2584" priority="5" operator="containsText" text="Hear">
      <formula>NOT(ISERROR(SEARCH("Hear",B19)))</formula>
    </cfRule>
  </conditionalFormatting>
  <hyperlinks>
    <hyperlink ref="A1" location="'Test Case Overview'!A1" display="Return to Test Case Overview" xr:uid="{DEDA52F3-4E87-41B8-A8D9-2E85545EE0E4}"/>
  </hyperlinks>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expression" priority="2" id="{933DC5F7-F590-4CB0-BB90-E167CAD5AEA7}">
            <xm:f>'TC1'!$B8="Dial"</xm:f>
            <x14:dxf>
              <font>
                <b/>
                <i val="0"/>
                <color rgb="FFFF0000"/>
              </font>
            </x14:dxf>
          </x14:cfRule>
          <x14:cfRule type="expression" priority="18" id="{97D315FC-3270-4109-B788-AB848E7C678E}">
            <xm:f>'TC1'!$B8="HANGUP"</xm:f>
            <x14:dxf>
              <font>
                <b/>
                <i val="0"/>
              </font>
            </x14:dxf>
          </x14:cfRule>
          <xm:sqref>C8</xm:sqref>
        </x14:conditionalFormatting>
        <x14:conditionalFormatting xmlns:xm="http://schemas.microsoft.com/office/excel/2006/main">
          <x14:cfRule type="expression" priority="19" id="{619BFB66-6571-4534-8D68-5F4A607B5E0E}">
            <xm:f>'TC1'!$B8="Speak"</xm:f>
            <x14:dxf>
              <font>
                <b/>
                <i val="0"/>
                <color rgb="FFFF0000"/>
              </font>
            </x14:dxf>
          </x14:cfRule>
          <xm:sqref>C8</xm:sqref>
        </x14:conditionalFormatting>
        <x14:conditionalFormatting xmlns:xm="http://schemas.microsoft.com/office/excel/2006/main">
          <x14:cfRule type="containsText" priority="22" operator="containsText" text="Hear" id="{2D158FF3-D9D8-4C8C-879F-0AC78FF85611}">
            <xm:f>NOT(ISERROR(SEARCH("Hear",'TC3'!B34)))</xm:f>
            <x14:dxf>
              <font>
                <color theme="9" tint="-0.24994659260841701"/>
              </font>
              <fill>
                <patternFill>
                  <bgColor theme="9" tint="0.59996337778862885"/>
                </patternFill>
              </fill>
            </x14:dxf>
          </x14:cfRule>
          <xm:sqref>B41</xm:sqref>
        </x14:conditionalFormatting>
        <x14:conditionalFormatting xmlns:xm="http://schemas.microsoft.com/office/excel/2006/main">
          <x14:cfRule type="expression" priority="2363" id="{933DC5F7-F590-4CB0-BB90-E167CAD5AEA7}">
            <xm:f>'TC1'!$B16="Dial"</xm:f>
            <x14:dxf>
              <font>
                <b/>
                <i val="0"/>
                <color rgb="FFFF0000"/>
              </font>
            </x14:dxf>
          </x14:cfRule>
          <x14:cfRule type="expression" priority="2364" id="{97D315FC-3270-4109-B788-AB848E7C678E}">
            <xm:f>'TC1'!$B16="HANGUP"</xm:f>
            <x14:dxf>
              <font>
                <b/>
                <i val="0"/>
              </font>
            </x14:dxf>
          </x14:cfRule>
          <xm:sqref>C34:C43</xm:sqref>
        </x14:conditionalFormatting>
        <x14:conditionalFormatting xmlns:xm="http://schemas.microsoft.com/office/excel/2006/main">
          <x14:cfRule type="expression" priority="2365" id="{933DC5F7-F590-4CB0-BB90-E167CAD5AEA7}">
            <xm:f>'TC1'!#REF!="Dial"</xm:f>
            <x14:dxf>
              <font>
                <b/>
                <i val="0"/>
                <color rgb="FFFF0000"/>
              </font>
            </x14:dxf>
          </x14:cfRule>
          <x14:cfRule type="expression" priority="2366" id="{97D315FC-3270-4109-B788-AB848E7C678E}">
            <xm:f>'TC1'!#REF!="HANGUP"</xm:f>
            <x14:dxf>
              <font>
                <b/>
                <i val="0"/>
              </font>
            </x14:dxf>
          </x14:cfRule>
          <xm:sqref>C17:C33</xm:sqref>
        </x14:conditionalFormatting>
        <x14:conditionalFormatting xmlns:xm="http://schemas.microsoft.com/office/excel/2006/main">
          <x14:cfRule type="expression" priority="2370" id="{619BFB66-6571-4534-8D68-5F4A607B5E0E}">
            <xm:f>'TC1'!$B16="Speak"</xm:f>
            <x14:dxf>
              <font>
                <b/>
                <i val="0"/>
                <color rgb="FFFF0000"/>
              </font>
            </x14:dxf>
          </x14:cfRule>
          <xm:sqref>C34:C43</xm:sqref>
        </x14:conditionalFormatting>
        <x14:conditionalFormatting xmlns:xm="http://schemas.microsoft.com/office/excel/2006/main">
          <x14:cfRule type="expression" priority="2371" id="{619BFB66-6571-4534-8D68-5F4A607B5E0E}">
            <xm:f>'TC1'!#REF!="Speak"</xm:f>
            <x14:dxf>
              <font>
                <b/>
                <i val="0"/>
                <color rgb="FFFF0000"/>
              </font>
            </x14:dxf>
          </x14:cfRule>
          <xm:sqref>C17:C33</xm:sqref>
        </x14:conditionalFormatting>
        <x14:conditionalFormatting xmlns:xm="http://schemas.microsoft.com/office/excel/2006/main">
          <x14:cfRule type="containsText" priority="2375" operator="containsText" text="DB" id="{29353841-39B7-4403-9B13-48661A692813}">
            <xm:f>NOT(ISERROR(SEARCH("DB",'TC1'!E16)))</xm:f>
            <x14:dxf>
              <font>
                <color rgb="FF006100"/>
              </font>
              <fill>
                <patternFill>
                  <bgColor rgb="FFC6EFCE"/>
                </patternFill>
              </fill>
            </x14:dxf>
          </x14:cfRule>
          <x14:cfRule type="containsText" priority="2376" operator="containsText" text="WEB SERVICE" id="{9279DB11-A09F-4D16-BDE0-04BF3CB3B05D}">
            <xm:f>NOT(ISERROR(SEARCH("WEB SERVICE",'TC1'!E16)))</xm:f>
            <x14:dxf>
              <font>
                <color rgb="FF9C0006"/>
              </font>
              <fill>
                <patternFill>
                  <bgColor rgb="FFFFC7CE"/>
                </patternFill>
              </fill>
            </x14:dxf>
          </x14:cfRule>
          <xm:sqref>E34:E43</xm:sqref>
        </x14:conditionalFormatting>
        <x14:conditionalFormatting xmlns:xm="http://schemas.microsoft.com/office/excel/2006/main">
          <x14:cfRule type="containsText" priority="2377" operator="containsText" text="DB" id="{29353841-39B7-4403-9B13-48661A692813}">
            <xm:f>NOT(ISERROR(SEARCH("DB",'TC1'!#REF!)))</xm:f>
            <x14:dxf>
              <font>
                <color rgb="FF006100"/>
              </font>
              <fill>
                <patternFill>
                  <bgColor rgb="FFC6EFCE"/>
                </patternFill>
              </fill>
            </x14:dxf>
          </x14:cfRule>
          <x14:cfRule type="containsText" priority="2378" operator="containsText" text="WEB SERVICE" id="{9279DB11-A09F-4D16-BDE0-04BF3CB3B05D}">
            <xm:f>NOT(ISERROR(SEARCH("WEB SERVICE",'TC1'!#REF!)))</xm:f>
            <x14:dxf>
              <font>
                <color rgb="FF9C0006"/>
              </font>
              <fill>
                <patternFill>
                  <bgColor rgb="FFFFC7CE"/>
                </patternFill>
              </fill>
            </x14:dxf>
          </x14:cfRule>
          <xm:sqref>E17:E33</xm:sqref>
        </x14:conditionalFormatting>
        <x14:conditionalFormatting xmlns:xm="http://schemas.microsoft.com/office/excel/2006/main">
          <x14:cfRule type="expression" priority="5065" id="{933DC5F7-F590-4CB0-BB90-E167CAD5AEA7}">
            <xm:f>'TC1'!$B9="Dial"</xm:f>
            <x14:dxf>
              <font>
                <b/>
                <i val="0"/>
                <color rgb="FFFF0000"/>
              </font>
            </x14:dxf>
          </x14:cfRule>
          <x14:cfRule type="expression" priority="5066" id="{97D315FC-3270-4109-B788-AB848E7C678E}">
            <xm:f>'TC1'!$B9="HANGUP"</xm:f>
            <x14:dxf>
              <font>
                <b/>
                <i val="0"/>
              </font>
            </x14:dxf>
          </x14:cfRule>
          <xm:sqref>C12:C15</xm:sqref>
        </x14:conditionalFormatting>
        <x14:conditionalFormatting xmlns:xm="http://schemas.microsoft.com/office/excel/2006/main">
          <x14:cfRule type="expression" priority="5067" id="{933DC5F7-F590-4CB0-BB90-E167CAD5AEA7}">
            <xm:f>'TC1'!#REF!="Dial"</xm:f>
            <x14:dxf>
              <font>
                <b/>
                <i val="0"/>
                <color rgb="FFFF0000"/>
              </font>
            </x14:dxf>
          </x14:cfRule>
          <x14:cfRule type="expression" priority="5068" id="{97D315FC-3270-4109-B788-AB848E7C678E}">
            <xm:f>'TC1'!#REF!="HANGUP"</xm:f>
            <x14:dxf>
              <font>
                <b/>
                <i val="0"/>
              </font>
            </x14:dxf>
          </x14:cfRule>
          <xm:sqref>C9:C11</xm:sqref>
        </x14:conditionalFormatting>
        <x14:conditionalFormatting xmlns:xm="http://schemas.microsoft.com/office/excel/2006/main">
          <x14:cfRule type="expression" priority="5072" id="{619BFB66-6571-4534-8D68-5F4A607B5E0E}">
            <xm:f>'TC1'!$B9="Speak"</xm:f>
            <x14:dxf>
              <font>
                <b/>
                <i val="0"/>
                <color rgb="FFFF0000"/>
              </font>
            </x14:dxf>
          </x14:cfRule>
          <xm:sqref>C12:C15</xm:sqref>
        </x14:conditionalFormatting>
        <x14:conditionalFormatting xmlns:xm="http://schemas.microsoft.com/office/excel/2006/main">
          <x14:cfRule type="expression" priority="5073" id="{619BFB66-6571-4534-8D68-5F4A607B5E0E}">
            <xm:f>'TC1'!#REF!="Speak"</xm:f>
            <x14:dxf>
              <font>
                <b/>
                <i val="0"/>
                <color rgb="FFFF0000"/>
              </font>
            </x14:dxf>
          </x14:cfRule>
          <xm:sqref>C9:C11</xm:sqref>
        </x14:conditionalFormatting>
        <x14:conditionalFormatting xmlns:xm="http://schemas.microsoft.com/office/excel/2006/main">
          <x14:cfRule type="containsText" priority="5075" operator="containsText" text="DB" id="{29353841-39B7-4403-9B13-48661A692813}">
            <xm:f>NOT(ISERROR(SEARCH("DB",'TC1'!#REF!)))</xm:f>
            <x14:dxf>
              <font>
                <color rgb="FF006100"/>
              </font>
              <fill>
                <patternFill>
                  <bgColor rgb="FFC6EFCE"/>
                </patternFill>
              </fill>
            </x14:dxf>
          </x14:cfRule>
          <x14:cfRule type="containsText" priority="5076" operator="containsText" text="WEB SERVICE" id="{9279DB11-A09F-4D16-BDE0-04BF3CB3B05D}">
            <xm:f>NOT(ISERROR(SEARCH("WEB SERVICE",'TC1'!#REF!)))</xm:f>
            <x14:dxf>
              <font>
                <color rgb="FF9C0006"/>
              </font>
              <fill>
                <patternFill>
                  <bgColor rgb="FFFFC7CE"/>
                </patternFill>
              </fill>
            </x14:dxf>
          </x14:cfRule>
          <xm:sqref>E9:E11</xm:sqref>
        </x14:conditionalFormatting>
        <x14:conditionalFormatting xmlns:xm="http://schemas.microsoft.com/office/excel/2006/main">
          <x14:cfRule type="containsText" priority="5077" operator="containsText" text="DB" id="{29353841-39B7-4403-9B13-48661A692813}">
            <xm:f>NOT(ISERROR(SEARCH("DB",'TC1'!E9)))</xm:f>
            <x14:dxf>
              <font>
                <color rgb="FF006100"/>
              </font>
              <fill>
                <patternFill>
                  <bgColor rgb="FFC6EFCE"/>
                </patternFill>
              </fill>
            </x14:dxf>
          </x14:cfRule>
          <x14:cfRule type="containsText" priority="5078" operator="containsText" text="WEB SERVICE" id="{9279DB11-A09F-4D16-BDE0-04BF3CB3B05D}">
            <xm:f>NOT(ISERROR(SEARCH("WEB SERVICE",'TC1'!E9)))</xm:f>
            <x14:dxf>
              <font>
                <color rgb="FF9C0006"/>
              </font>
              <fill>
                <patternFill>
                  <bgColor rgb="FFFFC7CE"/>
                </patternFill>
              </fill>
            </x14:dxf>
          </x14:cfRule>
          <xm:sqref>E12:E15</xm:sqref>
        </x14:conditionalFormatting>
        <x14:conditionalFormatting xmlns:xm="http://schemas.microsoft.com/office/excel/2006/main">
          <x14:cfRule type="expression" priority="7400" id="{933DC5F7-F590-4CB0-BB90-E167CAD5AEA7}">
            <xm:f>'TC1'!$B15="Dial"</xm:f>
            <x14:dxf>
              <font>
                <b/>
                <i val="0"/>
                <color rgb="FFFF0000"/>
              </font>
            </x14:dxf>
          </x14:cfRule>
          <x14:cfRule type="expression" priority="7401" id="{97D315FC-3270-4109-B788-AB848E7C678E}">
            <xm:f>'TC1'!$B15="HANGUP"</xm:f>
            <x14:dxf>
              <font>
                <b/>
                <i val="0"/>
              </font>
            </x14:dxf>
          </x14:cfRule>
          <xm:sqref>C16</xm:sqref>
        </x14:conditionalFormatting>
        <x14:conditionalFormatting xmlns:xm="http://schemas.microsoft.com/office/excel/2006/main">
          <x14:cfRule type="expression" priority="7403" id="{619BFB66-6571-4534-8D68-5F4A607B5E0E}">
            <xm:f>'TC1'!$B15="Speak"</xm:f>
            <x14:dxf>
              <font>
                <b/>
                <i val="0"/>
                <color rgb="FFFF0000"/>
              </font>
            </x14:dxf>
          </x14:cfRule>
          <xm:sqref>C16</xm:sqref>
        </x14:conditionalFormatting>
        <x14:conditionalFormatting xmlns:xm="http://schemas.microsoft.com/office/excel/2006/main">
          <x14:cfRule type="containsText" priority="7406" operator="containsText" text="DB" id="{29353841-39B7-4403-9B13-48661A692813}">
            <xm:f>NOT(ISERROR(SEARCH("DB",'TC1'!E15)))</xm:f>
            <x14:dxf>
              <font>
                <color rgb="FF006100"/>
              </font>
              <fill>
                <patternFill>
                  <bgColor rgb="FFC6EFCE"/>
                </patternFill>
              </fill>
            </x14:dxf>
          </x14:cfRule>
          <x14:cfRule type="containsText" priority="7407" operator="containsText" text="WEB SERVICE" id="{9279DB11-A09F-4D16-BDE0-04BF3CB3B05D}">
            <xm:f>NOT(ISERROR(SEARCH("WEB SERVICE",'TC1'!E15)))</xm:f>
            <x14:dxf>
              <font>
                <color rgb="FF9C0006"/>
              </font>
              <fill>
                <patternFill>
                  <bgColor rgb="FFFFC7CE"/>
                </patternFill>
              </fill>
            </x14:dxf>
          </x14:cfRule>
          <xm:sqref>E16</xm:sqref>
        </x14:conditionalFormatting>
        <x14:conditionalFormatting xmlns:xm="http://schemas.microsoft.com/office/excel/2006/main">
          <x14:cfRule type="containsText" priority="9934" operator="containsText" text="Hear" id="{18379096-C7CD-48C8-B65C-DA201595E631}">
            <xm:f>NOT(ISERROR(SEARCH("Hear",'TC26'!#REF!)))</xm:f>
            <x14:dxf>
              <font>
                <color theme="9" tint="-0.24994659260841701"/>
              </font>
              <fill>
                <patternFill>
                  <bgColor theme="9" tint="0.59996337778862885"/>
                </patternFill>
              </fill>
            </x14:dxf>
          </x14:cfRule>
          <xm:sqref>B39</xm:sqref>
        </x14:conditionalFormatting>
      </x14:conditionalFormattings>
    </ext>
  </extLst>
</worksheet>
</file>

<file path=xl/worksheets/sheet1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A00-000000000000}">
  <sheetPr codeName="Sheet108"/>
  <dimension ref="A1:E44"/>
  <sheetViews>
    <sheetView zoomScaleNormal="100" workbookViewId="0">
      <selection sqref="A1:E44"/>
    </sheetView>
  </sheetViews>
  <sheetFormatPr defaultRowHeight="14.5" x14ac:dyDescent="0.35"/>
  <cols>
    <col min="1" max="1" width="14.453125" bestFit="1" customWidth="1"/>
    <col min="2" max="2" width="42.6328125" customWidth="1"/>
    <col min="3" max="3" width="106.1796875" customWidth="1"/>
    <col min="4" max="4" width="21.81640625" bestFit="1" customWidth="1"/>
    <col min="5" max="5" width="20.6328125" customWidth="1"/>
  </cols>
  <sheetData>
    <row r="1" spans="1:5" ht="18.5" x14ac:dyDescent="0.35">
      <c r="A1" s="192" t="s">
        <v>4</v>
      </c>
      <c r="B1" s="192"/>
      <c r="C1" s="105"/>
      <c r="D1" s="111"/>
      <c r="E1" s="97"/>
    </row>
    <row r="2" spans="1:5" x14ac:dyDescent="0.35">
      <c r="A2" s="106" t="s">
        <v>5</v>
      </c>
      <c r="B2" s="107" t="str">
        <f ca="1">MID(CELL("filename",A1),FIND("]",CELL("filename",A1))+1,LEN(CELL("filename",A1))-FIND("]",CELL("filename",A1)))</f>
        <v>TC106</v>
      </c>
      <c r="C2" s="98"/>
      <c r="D2" s="111"/>
      <c r="E2" s="97"/>
    </row>
    <row r="3" spans="1:5" x14ac:dyDescent="0.35">
      <c r="A3" s="104" t="s">
        <v>19</v>
      </c>
      <c r="B3" s="112">
        <f ca="1">VLOOKUP(B2,Table53[#All],2,FALSE)</f>
        <v>0</v>
      </c>
      <c r="C3" s="98"/>
      <c r="D3" s="111"/>
      <c r="E3" s="97"/>
    </row>
    <row r="4" spans="1:5" ht="29" x14ac:dyDescent="0.35">
      <c r="A4" s="113" t="s">
        <v>20</v>
      </c>
      <c r="B4" s="99">
        <f ca="1">VLOOKUP(B2,Table53[#All],4,FALSE)</f>
        <v>0</v>
      </c>
      <c r="C4" s="98"/>
      <c r="D4" s="111"/>
      <c r="E4" s="97"/>
    </row>
    <row r="5" spans="1:5" x14ac:dyDescent="0.35">
      <c r="A5" s="104" t="s">
        <v>6</v>
      </c>
      <c r="B5" s="77">
        <f ca="1">VLOOKUP(B2,Table53[#All],3,FALSE)</f>
        <v>0</v>
      </c>
      <c r="C5" s="98"/>
      <c r="D5" s="111"/>
      <c r="E5" s="97"/>
    </row>
    <row r="6" spans="1:5" x14ac:dyDescent="0.35">
      <c r="A6" s="97"/>
      <c r="B6" s="97"/>
      <c r="C6" s="98"/>
      <c r="D6" s="111"/>
      <c r="E6" s="97"/>
    </row>
    <row r="7" spans="1:5" ht="15.5" x14ac:dyDescent="0.35">
      <c r="A7" s="100" t="s">
        <v>7</v>
      </c>
      <c r="B7" s="101" t="s">
        <v>8</v>
      </c>
      <c r="C7" s="102" t="s">
        <v>9</v>
      </c>
      <c r="D7" s="102" t="s">
        <v>14</v>
      </c>
      <c r="E7" s="103" t="s">
        <v>10</v>
      </c>
    </row>
    <row r="8" spans="1:5" x14ac:dyDescent="0.35">
      <c r="A8" s="118">
        <v>1</v>
      </c>
      <c r="B8" s="114" t="s">
        <v>114</v>
      </c>
      <c r="C8" s="109" t="s">
        <v>125</v>
      </c>
      <c r="D8" s="128"/>
      <c r="E8" s="125" t="s">
        <v>11</v>
      </c>
    </row>
    <row r="9" spans="1:5" x14ac:dyDescent="0.35">
      <c r="A9" s="118">
        <v>2</v>
      </c>
      <c r="B9" s="114" t="s">
        <v>12</v>
      </c>
      <c r="C9" s="109" t="e">
        <f>VLOOKUP(Table257519913140[[#This Row],[PEG]],Table1016[#All],2,FALSE)</f>
        <v>#N/A</v>
      </c>
      <c r="D9" s="128"/>
      <c r="E9" s="125" t="e">
        <f>VLOOKUP(Table257519913140[[#This Row],[PEG]],Table1016[#All],3,FALSE)</f>
        <v>#N/A</v>
      </c>
    </row>
    <row r="10" spans="1:5" x14ac:dyDescent="0.35">
      <c r="A10" s="118">
        <v>3</v>
      </c>
      <c r="B10" s="114" t="s">
        <v>115</v>
      </c>
      <c r="C10" s="109" t="e">
        <f>VLOOKUP(Table257519913140[[#This Row],[PEG]],Table1016[#All],2,FALSE)</f>
        <v>#N/A</v>
      </c>
      <c r="D10" s="128"/>
      <c r="E10" s="125" t="e">
        <f>VLOOKUP(Table257519913140[[#This Row],[PEG]],Table1016[#All],3,FALSE)</f>
        <v>#N/A</v>
      </c>
    </row>
    <row r="11" spans="1:5" x14ac:dyDescent="0.35">
      <c r="A11" s="118">
        <v>4</v>
      </c>
      <c r="B11" s="114" t="s">
        <v>115</v>
      </c>
      <c r="C11" s="109" t="e">
        <f>VLOOKUP(Table257519913140[[#This Row],[PEG]],Table1016[#All],2,FALSE)</f>
        <v>#N/A</v>
      </c>
      <c r="D11" s="128"/>
      <c r="E11" s="125" t="e">
        <f>VLOOKUP(Table257519913140[[#This Row],[PEG]],Table1016[#All],3,FALSE)</f>
        <v>#N/A</v>
      </c>
    </row>
    <row r="12" spans="1:5" x14ac:dyDescent="0.35">
      <c r="A12" s="118">
        <v>5</v>
      </c>
      <c r="B12" s="114" t="s">
        <v>114</v>
      </c>
      <c r="C12" s="109" t="e">
        <f>VLOOKUP(Table257519913140[[#This Row],[PEG]],Table1016[#All],2,FALSE)</f>
        <v>#N/A</v>
      </c>
      <c r="D12" s="128"/>
      <c r="E12" s="125" t="e">
        <f>VLOOKUP(Table257519913140[[#This Row],[PEG]],Table1016[#All],3,FALSE)</f>
        <v>#N/A</v>
      </c>
    </row>
    <row r="13" spans="1:5" x14ac:dyDescent="0.35">
      <c r="A13" s="118">
        <v>6</v>
      </c>
      <c r="B13" s="114" t="s">
        <v>115</v>
      </c>
      <c r="C13" s="109" t="e">
        <f>VLOOKUP(Table257519913140[[#This Row],[PEG]],Table1016[#All],2,FALSE)</f>
        <v>#N/A</v>
      </c>
      <c r="D13" s="128"/>
      <c r="E13" s="125" t="e">
        <f>VLOOKUP(Table257519913140[[#This Row],[PEG]],Table1016[#All],3,FALSE)</f>
        <v>#N/A</v>
      </c>
    </row>
    <row r="14" spans="1:5" x14ac:dyDescent="0.35">
      <c r="A14" s="118">
        <v>7</v>
      </c>
      <c r="B14" s="114" t="s">
        <v>114</v>
      </c>
      <c r="C14" s="109" t="e">
        <f>VLOOKUP(Table257519913140[[#This Row],[PEG]],Table1016[#All],2,FALSE)</f>
        <v>#N/A</v>
      </c>
      <c r="D14" s="128"/>
      <c r="E14" s="125" t="e">
        <f>VLOOKUP(Table257519913140[[#This Row],[PEG]],Table1016[#All],3,FALSE)</f>
        <v>#N/A</v>
      </c>
    </row>
    <row r="15" spans="1:5" x14ac:dyDescent="0.35">
      <c r="A15" s="118">
        <v>8</v>
      </c>
      <c r="B15" s="114" t="s">
        <v>115</v>
      </c>
      <c r="C15" s="109" t="e">
        <f>VLOOKUP(Table257519913140[[#This Row],[PEG]],Table1016[#All],2,FALSE)</f>
        <v>#N/A</v>
      </c>
      <c r="D15" s="116"/>
      <c r="E15" s="125" t="e">
        <f>VLOOKUP(Table257519913140[[#This Row],[PEG]],Table1016[#All],3,FALSE)</f>
        <v>#N/A</v>
      </c>
    </row>
    <row r="16" spans="1:5" x14ac:dyDescent="0.35">
      <c r="A16" s="118">
        <v>9</v>
      </c>
      <c r="B16" s="114" t="s">
        <v>12</v>
      </c>
      <c r="C16" s="109" t="e">
        <f>VLOOKUP(Table257519913140[[#This Row],[PEG]],Table1016[#All],2,FALSE)</f>
        <v>#N/A</v>
      </c>
      <c r="D16" s="116"/>
      <c r="E16" s="125" t="e">
        <f>VLOOKUP(Table257519913140[[#This Row],[PEG]],Table1016[#All],3,FALSE)</f>
        <v>#N/A</v>
      </c>
    </row>
    <row r="17" spans="1:5" x14ac:dyDescent="0.35">
      <c r="A17" s="118">
        <v>10</v>
      </c>
      <c r="B17" s="114" t="s">
        <v>12</v>
      </c>
      <c r="C17" s="109" t="e">
        <f>VLOOKUP(Table257519913140[[#This Row],[PEG]],Table1016[#All],2,FALSE)</f>
        <v>#N/A</v>
      </c>
      <c r="D17" s="117"/>
      <c r="E17" s="125" t="e">
        <f>VLOOKUP(Table257519913140[[#This Row],[PEG]],Table1016[#All],3,FALSE)</f>
        <v>#N/A</v>
      </c>
    </row>
    <row r="18" spans="1:5" x14ac:dyDescent="0.35">
      <c r="A18" s="118">
        <v>11</v>
      </c>
      <c r="B18" s="114" t="s">
        <v>115</v>
      </c>
      <c r="C18" s="109" t="e">
        <f>VLOOKUP(Table257519913140[[#This Row],[PEG]],Table1016[#All],2,FALSE)</f>
        <v>#N/A</v>
      </c>
      <c r="D18" s="117"/>
      <c r="E18" s="125" t="e">
        <f>VLOOKUP(Table257519913140[[#This Row],[PEG]],Table1016[#All],3,FALSE)</f>
        <v>#N/A</v>
      </c>
    </row>
    <row r="19" spans="1:5" x14ac:dyDescent="0.35">
      <c r="A19" s="118">
        <v>12</v>
      </c>
      <c r="B19" s="114" t="s">
        <v>115</v>
      </c>
      <c r="C19" s="109" t="e">
        <f>VLOOKUP(Table257519913140[[#This Row],[PEG]],Table1016[#All],2,FALSE)</f>
        <v>#N/A</v>
      </c>
      <c r="D19" s="117"/>
      <c r="E19" s="125" t="e">
        <f>VLOOKUP(Table257519913140[[#This Row],[PEG]],Table1016[#All],3,FALSE)</f>
        <v>#N/A</v>
      </c>
    </row>
    <row r="20" spans="1:5" x14ac:dyDescent="0.35">
      <c r="A20" s="118">
        <v>13</v>
      </c>
      <c r="B20" s="114" t="s">
        <v>114</v>
      </c>
      <c r="C20" s="109" t="e">
        <f>VLOOKUP(Table257519913140[[#This Row],[PEG]],Table1016[#All],2,FALSE)</f>
        <v>#N/A</v>
      </c>
      <c r="D20" s="117"/>
      <c r="E20" s="125" t="e">
        <f>VLOOKUP(Table257519913140[[#This Row],[PEG]],Table1016[#All],3,FALSE)</f>
        <v>#N/A</v>
      </c>
    </row>
    <row r="21" spans="1:5" x14ac:dyDescent="0.35">
      <c r="A21" s="118">
        <v>14</v>
      </c>
      <c r="B21" s="114" t="s">
        <v>12</v>
      </c>
      <c r="C21" s="109" t="e">
        <f>VLOOKUP(Table257519913140[[#This Row],[PEG]],Table1016[#All],2,FALSE)</f>
        <v>#N/A</v>
      </c>
      <c r="D21" s="117"/>
      <c r="E21" s="125" t="e">
        <f>VLOOKUP(Table257519913140[[#This Row],[PEG]],Table1016[#All],3,FALSE)</f>
        <v>#N/A</v>
      </c>
    </row>
    <row r="22" spans="1:5" x14ac:dyDescent="0.35">
      <c r="A22" s="118">
        <v>15</v>
      </c>
      <c r="B22" s="114" t="s">
        <v>12</v>
      </c>
      <c r="C22" s="109" t="e">
        <f>VLOOKUP(Table257519913140[[#This Row],[PEG]],Table1016[#All],2,FALSE)</f>
        <v>#N/A</v>
      </c>
      <c r="D22" s="117"/>
      <c r="E22" s="125" t="e">
        <f>VLOOKUP(Table257519913140[[#This Row],[PEG]],Table1016[#All],3,FALSE)</f>
        <v>#N/A</v>
      </c>
    </row>
    <row r="23" spans="1:5" x14ac:dyDescent="0.35">
      <c r="A23" s="118">
        <v>16</v>
      </c>
      <c r="B23" s="114" t="s">
        <v>115</v>
      </c>
      <c r="C23" s="109" t="e">
        <f>VLOOKUP(Table257519913140[[#This Row],[PEG]],Table1016[#All],2,FALSE)</f>
        <v>#N/A</v>
      </c>
      <c r="D23" s="117"/>
      <c r="E23" s="125" t="e">
        <f>VLOOKUP(Table257519913140[[#This Row],[PEG]],Table1016[#All],3,FALSE)</f>
        <v>#N/A</v>
      </c>
    </row>
    <row r="24" spans="1:5" x14ac:dyDescent="0.35">
      <c r="A24" s="118">
        <v>17</v>
      </c>
      <c r="B24" s="114" t="s">
        <v>114</v>
      </c>
      <c r="C24" s="109" t="e">
        <f>VLOOKUP(Table257519913140[[#This Row],[PEG]],Table1016[#All],2,FALSE)</f>
        <v>#N/A</v>
      </c>
      <c r="D24" s="117"/>
      <c r="E24" s="125" t="e">
        <f>VLOOKUP(Table257519913140[[#This Row],[PEG]],Table1016[#All],3,FALSE)</f>
        <v>#N/A</v>
      </c>
    </row>
    <row r="25" spans="1:5" x14ac:dyDescent="0.35">
      <c r="A25" s="118">
        <v>18</v>
      </c>
      <c r="B25" s="114" t="s">
        <v>12</v>
      </c>
      <c r="C25" s="109" t="e">
        <f>VLOOKUP(Table257519913140[[#This Row],[PEG]],Table1016[#All],2,FALSE)</f>
        <v>#N/A</v>
      </c>
      <c r="D25" s="117"/>
      <c r="E25" s="125" t="e">
        <f>VLOOKUP(Table257519913140[[#This Row],[PEG]],Table1016[#All],3,FALSE)</f>
        <v>#N/A</v>
      </c>
    </row>
    <row r="26" spans="1:5" x14ac:dyDescent="0.35">
      <c r="A26" s="118">
        <v>19</v>
      </c>
      <c r="B26" s="114" t="s">
        <v>12</v>
      </c>
      <c r="C26" s="109" t="e">
        <f>VLOOKUP(Table257519913140[[#This Row],[PEG]],Table1016[#All],2,FALSE)</f>
        <v>#N/A</v>
      </c>
      <c r="D26" s="117"/>
      <c r="E26" s="125" t="e">
        <f>VLOOKUP(Table257519913140[[#This Row],[PEG]],Table1016[#All],3,FALSE)</f>
        <v>#N/A</v>
      </c>
    </row>
    <row r="27" spans="1:5" x14ac:dyDescent="0.35">
      <c r="A27" s="118">
        <v>20</v>
      </c>
      <c r="B27" s="114" t="s">
        <v>115</v>
      </c>
      <c r="C27" s="109" t="e">
        <f>VLOOKUP(Table257519913140[[#This Row],[PEG]],Table1016[#All],2,FALSE)</f>
        <v>#N/A</v>
      </c>
      <c r="D27" s="117"/>
      <c r="E27" s="125" t="e">
        <f>VLOOKUP(Table257519913140[[#This Row],[PEG]],Table1016[#All],3,FALSE)</f>
        <v>#N/A</v>
      </c>
    </row>
    <row r="28" spans="1:5" x14ac:dyDescent="0.35">
      <c r="A28" s="118">
        <v>21</v>
      </c>
      <c r="B28" s="114" t="s">
        <v>114</v>
      </c>
      <c r="C28" s="109" t="e">
        <f>VLOOKUP(Table257519913140[[#This Row],[PEG]],Table1016[#All],2,FALSE)</f>
        <v>#N/A</v>
      </c>
      <c r="D28" s="117"/>
      <c r="E28" s="125" t="e">
        <f>VLOOKUP(Table257519913140[[#This Row],[PEG]],Table1016[#All],3,FALSE)</f>
        <v>#N/A</v>
      </c>
    </row>
    <row r="29" spans="1:5" x14ac:dyDescent="0.35">
      <c r="A29" s="118">
        <v>22</v>
      </c>
      <c r="B29" s="114" t="s">
        <v>12</v>
      </c>
      <c r="C29" s="109" t="e">
        <f>VLOOKUP(Table257519913140[[#This Row],[PEG]],Table1016[#All],2,FALSE)</f>
        <v>#N/A</v>
      </c>
      <c r="D29" s="117"/>
      <c r="E29" s="125" t="e">
        <f>VLOOKUP(Table257519913140[[#This Row],[PEG]],Table1016[#All],3,FALSE)</f>
        <v>#N/A</v>
      </c>
    </row>
    <row r="30" spans="1:5" x14ac:dyDescent="0.35">
      <c r="A30" s="118">
        <v>23</v>
      </c>
      <c r="B30" s="114" t="s">
        <v>12</v>
      </c>
      <c r="C30" s="109" t="e">
        <f>VLOOKUP(Table257519913140[[#This Row],[PEG]],Table1016[#All],2,FALSE)</f>
        <v>#N/A</v>
      </c>
      <c r="D30" s="117"/>
      <c r="E30" s="125" t="e">
        <f>VLOOKUP(Table257519913140[[#This Row],[PEG]],Table1016[#All],3,FALSE)</f>
        <v>#N/A</v>
      </c>
    </row>
    <row r="31" spans="1:5" x14ac:dyDescent="0.35">
      <c r="A31" s="118">
        <v>24</v>
      </c>
      <c r="B31" s="114" t="s">
        <v>115</v>
      </c>
      <c r="C31" s="109" t="e">
        <f>VLOOKUP(Table257519913140[[#This Row],[PEG]],Table1016[#All],2,FALSE)</f>
        <v>#N/A</v>
      </c>
      <c r="D31" s="117"/>
      <c r="E31" s="125" t="e">
        <f>VLOOKUP(Table257519913140[[#This Row],[PEG]],Table1016[#All],3,FALSE)</f>
        <v>#N/A</v>
      </c>
    </row>
    <row r="32" spans="1:5" x14ac:dyDescent="0.35">
      <c r="A32" s="118">
        <v>25</v>
      </c>
      <c r="B32" s="114" t="s">
        <v>115</v>
      </c>
      <c r="C32" s="109" t="e">
        <f>VLOOKUP(Table257519913140[[#This Row],[PEG]],Table1016[#All],2,FALSE)</f>
        <v>#N/A</v>
      </c>
      <c r="D32" s="117"/>
      <c r="E32" s="125" t="e">
        <f>VLOOKUP(Table257519913140[[#This Row],[PEG]],Table1016[#All],3,FALSE)</f>
        <v>#N/A</v>
      </c>
    </row>
    <row r="33" spans="1:5" x14ac:dyDescent="0.35">
      <c r="A33" s="118">
        <v>26</v>
      </c>
      <c r="B33" s="114" t="s">
        <v>124</v>
      </c>
      <c r="C33" s="109" t="e">
        <f>VLOOKUP(Table257519913140[[#This Row],[PEG]],Table1016[#All],2,FALSE)</f>
        <v>#N/A</v>
      </c>
      <c r="D33" s="117"/>
      <c r="E33" s="125" t="e">
        <f>VLOOKUP(Table257519913140[[#This Row],[PEG]],Table1016[#All],3,FALSE)</f>
        <v>#N/A</v>
      </c>
    </row>
    <row r="34" spans="1:5" x14ac:dyDescent="0.35">
      <c r="A34" s="118">
        <v>27</v>
      </c>
      <c r="B34" s="114" t="s">
        <v>115</v>
      </c>
      <c r="C34" s="109" t="e">
        <f>VLOOKUP(Table257519913140[[#This Row],[PEG]],Table1016[#All],2,FALSE)</f>
        <v>#N/A</v>
      </c>
      <c r="D34" s="117"/>
      <c r="E34" s="125" t="e">
        <f>VLOOKUP(Table257519913140[[#This Row],[PEG]],Table1016[#All],3,FALSE)</f>
        <v>#N/A</v>
      </c>
    </row>
    <row r="35" spans="1:5" x14ac:dyDescent="0.35">
      <c r="A35" s="118">
        <v>28</v>
      </c>
      <c r="B35" s="114" t="s">
        <v>124</v>
      </c>
      <c r="C35" s="109" t="e">
        <f>VLOOKUP(Table257519913140[[#This Row],[PEG]],Table1016[#All],2,FALSE)</f>
        <v>#N/A</v>
      </c>
      <c r="D35" s="117"/>
      <c r="E35" s="125" t="e">
        <f>VLOOKUP(Table257519913140[[#This Row],[PEG]],Table1016[#All],3,FALSE)</f>
        <v>#N/A</v>
      </c>
    </row>
    <row r="36" spans="1:5" x14ac:dyDescent="0.35">
      <c r="A36" s="118">
        <v>29</v>
      </c>
      <c r="B36" s="114" t="s">
        <v>115</v>
      </c>
      <c r="C36" s="109" t="e">
        <f>VLOOKUP(Table257519913140[[#This Row],[PEG]],Table1016[#All],2,FALSE)</f>
        <v>#N/A</v>
      </c>
      <c r="D36" s="117"/>
      <c r="E36" s="125" t="e">
        <f>VLOOKUP(Table257519913140[[#This Row],[PEG]],Table1016[#All],3,FALSE)</f>
        <v>#N/A</v>
      </c>
    </row>
    <row r="37" spans="1:5" x14ac:dyDescent="0.35">
      <c r="A37" s="118">
        <v>30</v>
      </c>
      <c r="B37" s="114" t="s">
        <v>12</v>
      </c>
      <c r="C37" s="109" t="e">
        <f>VLOOKUP(Table257519913140[[#This Row],[PEG]],Table1016[#All],2,FALSE)</f>
        <v>#N/A</v>
      </c>
      <c r="D37" s="117"/>
      <c r="E37" s="125" t="e">
        <f>VLOOKUP(Table257519913140[[#This Row],[PEG]],Table1016[#All],3,FALSE)</f>
        <v>#N/A</v>
      </c>
    </row>
    <row r="38" spans="1:5" x14ac:dyDescent="0.35">
      <c r="A38" s="118">
        <v>31</v>
      </c>
      <c r="B38" s="114" t="s">
        <v>12</v>
      </c>
      <c r="C38" s="109" t="e">
        <f>VLOOKUP(Table257519913140[[#This Row],[PEG]],Table1016[#All],2,FALSE)</f>
        <v>#N/A</v>
      </c>
      <c r="D38" s="117"/>
      <c r="E38" s="125" t="e">
        <f>VLOOKUP(Table257519913140[[#This Row],[PEG]],Table1016[#All],3,FALSE)</f>
        <v>#N/A</v>
      </c>
    </row>
    <row r="39" spans="1:5" x14ac:dyDescent="0.35">
      <c r="A39" s="118">
        <v>32</v>
      </c>
      <c r="B39" s="114" t="s">
        <v>12</v>
      </c>
      <c r="C39" s="109" t="e">
        <f>VLOOKUP(Table257519913140[[#This Row],[PEG]],Table1016[#All],2,FALSE)</f>
        <v>#N/A</v>
      </c>
      <c r="D39" s="117"/>
      <c r="E39" s="125" t="e">
        <f>VLOOKUP(Table257519913140[[#This Row],[PEG]],Table1016[#All],3,FALSE)</f>
        <v>#N/A</v>
      </c>
    </row>
    <row r="40" spans="1:5" x14ac:dyDescent="0.35">
      <c r="A40" s="118">
        <v>33</v>
      </c>
      <c r="B40" s="114" t="s">
        <v>12</v>
      </c>
      <c r="C40" s="109" t="e">
        <f>VLOOKUP(Table257519913140[[#This Row],[PEG]],Table1016[#All],2,FALSE)</f>
        <v>#N/A</v>
      </c>
      <c r="D40" s="117"/>
      <c r="E40" s="125" t="e">
        <f>VLOOKUP(Table257519913140[[#This Row],[PEG]],Table1016[#All],3,FALSE)</f>
        <v>#N/A</v>
      </c>
    </row>
    <row r="41" spans="1:5" x14ac:dyDescent="0.35">
      <c r="A41" s="118">
        <v>34</v>
      </c>
      <c r="B41" s="114" t="s">
        <v>115</v>
      </c>
      <c r="C41" s="109" t="e">
        <f>VLOOKUP(Table257519913140[[#This Row],[PEG]],Table1016[#All],2,FALSE)</f>
        <v>#N/A</v>
      </c>
      <c r="D41" s="117"/>
      <c r="E41" s="125" t="e">
        <f>VLOOKUP(Table257519913140[[#This Row],[PEG]],Table1016[#All],3,FALSE)</f>
        <v>#N/A</v>
      </c>
    </row>
    <row r="42" spans="1:5" x14ac:dyDescent="0.35">
      <c r="A42" s="118">
        <v>35</v>
      </c>
      <c r="B42" s="114" t="s">
        <v>12</v>
      </c>
      <c r="C42" s="109" t="e">
        <f>VLOOKUP(Table257519913140[[#This Row],[PEG]],Table1016[#All],2,FALSE)</f>
        <v>#N/A</v>
      </c>
      <c r="D42" s="115"/>
      <c r="E42" s="125" t="e">
        <f>VLOOKUP(Table257519913140[[#This Row],[PEG]],Table1016[#All],3,FALSE)</f>
        <v>#N/A</v>
      </c>
    </row>
    <row r="43" spans="1:5" x14ac:dyDescent="0.35">
      <c r="A43" s="118">
        <v>36</v>
      </c>
      <c r="B43" s="114" t="s">
        <v>115</v>
      </c>
      <c r="C43" s="109" t="e">
        <f>VLOOKUP(Table257519913140[[#This Row],[PEG]],Table1016[#All],2,FALSE)</f>
        <v>#N/A</v>
      </c>
      <c r="D43" s="115"/>
      <c r="E43" s="125" t="e">
        <f>VLOOKUP(Table257519913140[[#This Row],[PEG]],Table1016[#All],3,FALSE)</f>
        <v>#N/A</v>
      </c>
    </row>
    <row r="44" spans="1:5" x14ac:dyDescent="0.35">
      <c r="A44" s="118">
        <v>37</v>
      </c>
      <c r="B44" s="114" t="s">
        <v>13</v>
      </c>
      <c r="C44" s="18" t="s">
        <v>13</v>
      </c>
      <c r="D44" s="115"/>
      <c r="E44" s="32"/>
    </row>
  </sheetData>
  <mergeCells count="1">
    <mergeCell ref="A1:B1"/>
  </mergeCells>
  <conditionalFormatting sqref="B8:B18">
    <cfRule type="containsText" dxfId="2553" priority="1" operator="containsText" text="Hear">
      <formula>NOT(ISERROR(SEARCH("Hear",B8)))</formula>
    </cfRule>
  </conditionalFormatting>
  <conditionalFormatting sqref="B30">
    <cfRule type="containsText" dxfId="2552" priority="4" operator="containsText" text="Hear">
      <formula>NOT(ISERROR(SEARCH("Hear",B30)))</formula>
    </cfRule>
  </conditionalFormatting>
  <conditionalFormatting sqref="B43:B44">
    <cfRule type="containsText" dxfId="2551" priority="14" operator="containsText" text="Hear">
      <formula>NOT(ISERROR(SEARCH("Hear",B43)))</formula>
    </cfRule>
  </conditionalFormatting>
  <conditionalFormatting sqref="E44">
    <cfRule type="containsText" dxfId="2550" priority="12" operator="containsText" text="WEB SERVICE">
      <formula>NOT(ISERROR(SEARCH("WEB SERVICE",E44)))</formula>
    </cfRule>
    <cfRule type="containsText" dxfId="2549" priority="13" operator="containsText" text="DB">
      <formula>NOT(ISERROR(SEARCH("DB",E44)))</formula>
    </cfRule>
  </conditionalFormatting>
  <conditionalFormatting sqref="C44">
    <cfRule type="expression" dxfId="2548" priority="15">
      <formula>$B44="Dial"</formula>
    </cfRule>
    <cfRule type="expression" dxfId="2547" priority="17">
      <formula>$B44="HANGUP"</formula>
    </cfRule>
  </conditionalFormatting>
  <conditionalFormatting sqref="C44">
    <cfRule type="expression" dxfId="2546" priority="16">
      <formula>$B44="Speak"</formula>
    </cfRule>
  </conditionalFormatting>
  <conditionalFormatting sqref="B36:B38 B40:B41">
    <cfRule type="containsText" dxfId="2545" priority="3" operator="containsText" text="Hear">
      <formula>NOT(ISERROR(SEARCH("Hear",B36)))</formula>
    </cfRule>
  </conditionalFormatting>
  <conditionalFormatting sqref="B19:B29 B31:B35 B42">
    <cfRule type="containsText" dxfId="2544" priority="5" operator="containsText" text="Hear">
      <formula>NOT(ISERROR(SEARCH("Hear",B19)))</formula>
    </cfRule>
  </conditionalFormatting>
  <hyperlinks>
    <hyperlink ref="A1" location="'Test Case Overview'!A1" display="Return to Test Case Overview" xr:uid="{BB7C766B-3DA5-4805-A922-64DD74D18E7F}"/>
  </hyperlinks>
  <pageMargins left="0.7" right="0.7" top="0.75" bottom="0.75" header="0.3" footer="0.3"/>
  <pageSetup orientation="portrait" verticalDpi="0" r:id="rId1"/>
  <tableParts count="1">
    <tablePart r:id="rId2"/>
  </tableParts>
  <extLst>
    <ext xmlns:x14="http://schemas.microsoft.com/office/spreadsheetml/2009/9/main" uri="{78C0D931-6437-407d-A8EE-F0AAD7539E65}">
      <x14:conditionalFormattings>
        <x14:conditionalFormatting xmlns:xm="http://schemas.microsoft.com/office/excel/2006/main">
          <x14:cfRule type="expression" priority="2" id="{5455BDB5-D022-4429-BBCC-6E93FFECF249}">
            <xm:f>'TC1'!$B8="Dial"</xm:f>
            <x14:dxf>
              <font>
                <b/>
                <i val="0"/>
                <color rgb="FFFF0000"/>
              </font>
            </x14:dxf>
          </x14:cfRule>
          <x14:cfRule type="expression" priority="18" id="{3AC8C7D7-6815-432A-A7E7-12177F895C51}">
            <xm:f>'TC1'!$B8="HANGUP"</xm:f>
            <x14:dxf>
              <font>
                <b/>
                <i val="0"/>
              </font>
            </x14:dxf>
          </x14:cfRule>
          <xm:sqref>C8</xm:sqref>
        </x14:conditionalFormatting>
        <x14:conditionalFormatting xmlns:xm="http://schemas.microsoft.com/office/excel/2006/main">
          <x14:cfRule type="expression" priority="19" id="{CCAE918D-59F1-4BA9-BA34-C77BA7F44CF6}">
            <xm:f>'TC1'!$B8="Speak"</xm:f>
            <x14:dxf>
              <font>
                <b/>
                <i val="0"/>
                <color rgb="FFFF0000"/>
              </font>
            </x14:dxf>
          </x14:cfRule>
          <xm:sqref>C8</xm:sqref>
        </x14:conditionalFormatting>
        <x14:conditionalFormatting xmlns:xm="http://schemas.microsoft.com/office/excel/2006/main">
          <x14:cfRule type="containsText" priority="22" operator="containsText" text="Hear" id="{CEB0D45F-3B6E-47A1-A84A-46EB5507B194}">
            <xm:f>NOT(ISERROR(SEARCH("Hear",'TC3'!B34)))</xm:f>
            <x14:dxf>
              <font>
                <color theme="9" tint="-0.24994659260841701"/>
              </font>
              <fill>
                <patternFill>
                  <bgColor theme="9" tint="0.59996337778862885"/>
                </patternFill>
              </fill>
            </x14:dxf>
          </x14:cfRule>
          <xm:sqref>B41</xm:sqref>
        </x14:conditionalFormatting>
        <x14:conditionalFormatting xmlns:xm="http://schemas.microsoft.com/office/excel/2006/main">
          <x14:cfRule type="expression" priority="2383" id="{5455BDB5-D022-4429-BBCC-6E93FFECF249}">
            <xm:f>'TC1'!$B16="Dial"</xm:f>
            <x14:dxf>
              <font>
                <b/>
                <i val="0"/>
                <color rgb="FFFF0000"/>
              </font>
            </x14:dxf>
          </x14:cfRule>
          <x14:cfRule type="expression" priority="2384" id="{3AC8C7D7-6815-432A-A7E7-12177F895C51}">
            <xm:f>'TC1'!$B16="HANGUP"</xm:f>
            <x14:dxf>
              <font>
                <b/>
                <i val="0"/>
              </font>
            </x14:dxf>
          </x14:cfRule>
          <xm:sqref>C34:C43</xm:sqref>
        </x14:conditionalFormatting>
        <x14:conditionalFormatting xmlns:xm="http://schemas.microsoft.com/office/excel/2006/main">
          <x14:cfRule type="expression" priority="2385" id="{5455BDB5-D022-4429-BBCC-6E93FFECF249}">
            <xm:f>'TC1'!#REF!="Dial"</xm:f>
            <x14:dxf>
              <font>
                <b/>
                <i val="0"/>
                <color rgb="FFFF0000"/>
              </font>
            </x14:dxf>
          </x14:cfRule>
          <x14:cfRule type="expression" priority="2386" id="{3AC8C7D7-6815-432A-A7E7-12177F895C51}">
            <xm:f>'TC1'!#REF!="HANGUP"</xm:f>
            <x14:dxf>
              <font>
                <b/>
                <i val="0"/>
              </font>
            </x14:dxf>
          </x14:cfRule>
          <xm:sqref>C17:C33</xm:sqref>
        </x14:conditionalFormatting>
        <x14:conditionalFormatting xmlns:xm="http://schemas.microsoft.com/office/excel/2006/main">
          <x14:cfRule type="expression" priority="2390" id="{CCAE918D-59F1-4BA9-BA34-C77BA7F44CF6}">
            <xm:f>'TC1'!$B16="Speak"</xm:f>
            <x14:dxf>
              <font>
                <b/>
                <i val="0"/>
                <color rgb="FFFF0000"/>
              </font>
            </x14:dxf>
          </x14:cfRule>
          <xm:sqref>C34:C43</xm:sqref>
        </x14:conditionalFormatting>
        <x14:conditionalFormatting xmlns:xm="http://schemas.microsoft.com/office/excel/2006/main">
          <x14:cfRule type="expression" priority="2391" id="{CCAE918D-59F1-4BA9-BA34-C77BA7F44CF6}">
            <xm:f>'TC1'!#REF!="Speak"</xm:f>
            <x14:dxf>
              <font>
                <b/>
                <i val="0"/>
                <color rgb="FFFF0000"/>
              </font>
            </x14:dxf>
          </x14:cfRule>
          <xm:sqref>C17:C33</xm:sqref>
        </x14:conditionalFormatting>
        <x14:conditionalFormatting xmlns:xm="http://schemas.microsoft.com/office/excel/2006/main">
          <x14:cfRule type="containsText" priority="2395" operator="containsText" text="DB" id="{A3ED56A5-03D6-4960-8043-AC259FE04D09}">
            <xm:f>NOT(ISERROR(SEARCH("DB",'TC1'!E16)))</xm:f>
            <x14:dxf>
              <font>
                <color rgb="FF006100"/>
              </font>
              <fill>
                <patternFill>
                  <bgColor rgb="FFC6EFCE"/>
                </patternFill>
              </fill>
            </x14:dxf>
          </x14:cfRule>
          <x14:cfRule type="containsText" priority="2396" operator="containsText" text="WEB SERVICE" id="{E4ABFE1F-2A05-4B0F-B2A3-83E5B0F5738D}">
            <xm:f>NOT(ISERROR(SEARCH("WEB SERVICE",'TC1'!E16)))</xm:f>
            <x14:dxf>
              <font>
                <color rgb="FF9C0006"/>
              </font>
              <fill>
                <patternFill>
                  <bgColor rgb="FFFFC7CE"/>
                </patternFill>
              </fill>
            </x14:dxf>
          </x14:cfRule>
          <xm:sqref>E34:E43</xm:sqref>
        </x14:conditionalFormatting>
        <x14:conditionalFormatting xmlns:xm="http://schemas.microsoft.com/office/excel/2006/main">
          <x14:cfRule type="containsText" priority="2397" operator="containsText" text="DB" id="{A3ED56A5-03D6-4960-8043-AC259FE04D09}">
            <xm:f>NOT(ISERROR(SEARCH("DB",'TC1'!#REF!)))</xm:f>
            <x14:dxf>
              <font>
                <color rgb="FF006100"/>
              </font>
              <fill>
                <patternFill>
                  <bgColor rgb="FFC6EFCE"/>
                </patternFill>
              </fill>
            </x14:dxf>
          </x14:cfRule>
          <x14:cfRule type="containsText" priority="2398" operator="containsText" text="WEB SERVICE" id="{E4ABFE1F-2A05-4B0F-B2A3-83E5B0F5738D}">
            <xm:f>NOT(ISERROR(SEARCH("WEB SERVICE",'TC1'!#REF!)))</xm:f>
            <x14:dxf>
              <font>
                <color rgb="FF9C0006"/>
              </font>
              <fill>
                <patternFill>
                  <bgColor rgb="FFFFC7CE"/>
                </patternFill>
              </fill>
            </x14:dxf>
          </x14:cfRule>
          <xm:sqref>E17:E33</xm:sqref>
        </x14:conditionalFormatting>
        <x14:conditionalFormatting xmlns:xm="http://schemas.microsoft.com/office/excel/2006/main">
          <x14:cfRule type="expression" priority="5083" id="{5455BDB5-D022-4429-BBCC-6E93FFECF249}">
            <xm:f>'TC1'!$B9="Dial"</xm:f>
            <x14:dxf>
              <font>
                <b/>
                <i val="0"/>
                <color rgb="FFFF0000"/>
              </font>
            </x14:dxf>
          </x14:cfRule>
          <x14:cfRule type="expression" priority="5084" id="{3AC8C7D7-6815-432A-A7E7-12177F895C51}">
            <xm:f>'TC1'!$B9="HANGUP"</xm:f>
            <x14:dxf>
              <font>
                <b/>
                <i val="0"/>
              </font>
            </x14:dxf>
          </x14:cfRule>
          <xm:sqref>C12:C15</xm:sqref>
        </x14:conditionalFormatting>
        <x14:conditionalFormatting xmlns:xm="http://schemas.microsoft.com/office/excel/2006/main">
          <x14:cfRule type="expression" priority="5085" id="{5455BDB5-D022-4429-BBCC-6E93FFECF249}">
            <xm:f>'TC1'!#REF!="Dial"</xm:f>
            <x14:dxf>
              <font>
                <b/>
                <i val="0"/>
                <color rgb="FFFF0000"/>
              </font>
            </x14:dxf>
          </x14:cfRule>
          <x14:cfRule type="expression" priority="5086" id="{3AC8C7D7-6815-432A-A7E7-12177F895C51}">
            <xm:f>'TC1'!#REF!="HANGUP"</xm:f>
            <x14:dxf>
              <font>
                <b/>
                <i val="0"/>
              </font>
            </x14:dxf>
          </x14:cfRule>
          <xm:sqref>C9:C11</xm:sqref>
        </x14:conditionalFormatting>
        <x14:conditionalFormatting xmlns:xm="http://schemas.microsoft.com/office/excel/2006/main">
          <x14:cfRule type="expression" priority="5090" id="{CCAE918D-59F1-4BA9-BA34-C77BA7F44CF6}">
            <xm:f>'TC1'!$B9="Speak"</xm:f>
            <x14:dxf>
              <font>
                <b/>
                <i val="0"/>
                <color rgb="FFFF0000"/>
              </font>
            </x14:dxf>
          </x14:cfRule>
          <xm:sqref>C12:C15</xm:sqref>
        </x14:conditionalFormatting>
        <x14:conditionalFormatting xmlns:xm="http://schemas.microsoft.com/office/excel/2006/main">
          <x14:cfRule type="expression" priority="5091" id="{CCAE918D-59F1-4BA9-BA34-C77BA7F44CF6}">
            <xm:f>'TC1'!#REF!="Speak"</xm:f>
            <x14:dxf>
              <font>
                <b/>
                <i val="0"/>
                <color rgb="FFFF0000"/>
              </font>
            </x14:dxf>
          </x14:cfRule>
          <xm:sqref>C9:C11</xm:sqref>
        </x14:conditionalFormatting>
        <x14:conditionalFormatting xmlns:xm="http://schemas.microsoft.com/office/excel/2006/main">
          <x14:cfRule type="containsText" priority="5093" operator="containsText" text="DB" id="{A3ED56A5-03D6-4960-8043-AC259FE04D09}">
            <xm:f>NOT(ISERROR(SEARCH("DB",'TC1'!#REF!)))</xm:f>
            <x14:dxf>
              <font>
                <color rgb="FF006100"/>
              </font>
              <fill>
                <patternFill>
                  <bgColor rgb="FFC6EFCE"/>
                </patternFill>
              </fill>
            </x14:dxf>
          </x14:cfRule>
          <x14:cfRule type="containsText" priority="5094" operator="containsText" text="WEB SERVICE" id="{E4ABFE1F-2A05-4B0F-B2A3-83E5B0F5738D}">
            <xm:f>NOT(ISERROR(SEARCH("WEB SERVICE",'TC1'!#REF!)))</xm:f>
            <x14:dxf>
              <font>
                <color rgb="FF9C0006"/>
              </font>
              <fill>
                <patternFill>
                  <bgColor rgb="FFFFC7CE"/>
                </patternFill>
              </fill>
            </x14:dxf>
          </x14:cfRule>
          <xm:sqref>E9:E11</xm:sqref>
        </x14:conditionalFormatting>
        <x14:conditionalFormatting xmlns:xm="http://schemas.microsoft.com/office/excel/2006/main">
          <x14:cfRule type="containsText" priority="5095" operator="containsText" text="DB" id="{A3ED56A5-03D6-4960-8043-AC259FE04D09}">
            <xm:f>NOT(ISERROR(SEARCH("DB",'TC1'!E9)))</xm:f>
            <x14:dxf>
              <font>
                <color rgb="FF006100"/>
              </font>
              <fill>
                <patternFill>
                  <bgColor rgb="FFC6EFCE"/>
                </patternFill>
              </fill>
            </x14:dxf>
          </x14:cfRule>
          <x14:cfRule type="containsText" priority="5096" operator="containsText" text="WEB SERVICE" id="{E4ABFE1F-2A05-4B0F-B2A3-83E5B0F5738D}">
            <xm:f>NOT(ISERROR(SEARCH("WEB SERVICE",'TC1'!E9)))</xm:f>
            <x14:dxf>
              <font>
                <color rgb="FF9C0006"/>
              </font>
              <fill>
                <patternFill>
                  <bgColor rgb="FFFFC7CE"/>
                </patternFill>
              </fill>
            </x14:dxf>
          </x14:cfRule>
          <xm:sqref>E12:E15</xm:sqref>
        </x14:conditionalFormatting>
        <x14:conditionalFormatting xmlns:xm="http://schemas.microsoft.com/office/excel/2006/main">
          <x14:cfRule type="expression" priority="7415" id="{5455BDB5-D022-4429-BBCC-6E93FFECF249}">
            <xm:f>'TC1'!$B15="Dial"</xm:f>
            <x14:dxf>
              <font>
                <b/>
                <i val="0"/>
                <color rgb="FFFF0000"/>
              </font>
            </x14:dxf>
          </x14:cfRule>
          <x14:cfRule type="expression" priority="7416" id="{3AC8C7D7-6815-432A-A7E7-12177F895C51}">
            <xm:f>'TC1'!$B15="HANGUP"</xm:f>
            <x14:dxf>
              <font>
                <b/>
                <i val="0"/>
              </font>
            </x14:dxf>
          </x14:cfRule>
          <xm:sqref>C16</xm:sqref>
        </x14:conditionalFormatting>
        <x14:conditionalFormatting xmlns:xm="http://schemas.microsoft.com/office/excel/2006/main">
          <x14:cfRule type="expression" priority="7418" id="{CCAE918D-59F1-4BA9-BA34-C77BA7F44CF6}">
            <xm:f>'TC1'!$B15="Speak"</xm:f>
            <x14:dxf>
              <font>
                <b/>
                <i val="0"/>
                <color rgb="FFFF0000"/>
              </font>
            </x14:dxf>
          </x14:cfRule>
          <xm:sqref>C16</xm:sqref>
        </x14:conditionalFormatting>
        <x14:conditionalFormatting xmlns:xm="http://schemas.microsoft.com/office/excel/2006/main">
          <x14:cfRule type="containsText" priority="7421" operator="containsText" text="DB" id="{A3ED56A5-03D6-4960-8043-AC259FE04D09}">
            <xm:f>NOT(ISERROR(SEARCH("DB",'TC1'!E15)))</xm:f>
            <x14:dxf>
              <font>
                <color rgb="FF006100"/>
              </font>
              <fill>
                <patternFill>
                  <bgColor rgb="FFC6EFCE"/>
                </patternFill>
              </fill>
            </x14:dxf>
          </x14:cfRule>
          <x14:cfRule type="containsText" priority="7422" operator="containsText" text="WEB SERVICE" id="{E4ABFE1F-2A05-4B0F-B2A3-83E5B0F5738D}">
            <xm:f>NOT(ISERROR(SEARCH("WEB SERVICE",'TC1'!E15)))</xm:f>
            <x14:dxf>
              <font>
                <color rgb="FF9C0006"/>
              </font>
              <fill>
                <patternFill>
                  <bgColor rgb="FFFFC7CE"/>
                </patternFill>
              </fill>
            </x14:dxf>
          </x14:cfRule>
          <xm:sqref>E16</xm:sqref>
        </x14:conditionalFormatting>
        <x14:conditionalFormatting xmlns:xm="http://schemas.microsoft.com/office/excel/2006/main">
          <x14:cfRule type="containsText" priority="9954" operator="containsText" text="Hear" id="{593E47A0-A063-48F6-A838-7811F8C098E0}">
            <xm:f>NOT(ISERROR(SEARCH("Hear",'TC26'!#REF!)))</xm:f>
            <x14:dxf>
              <font>
                <color theme="9" tint="-0.24994659260841701"/>
              </font>
              <fill>
                <patternFill>
                  <bgColor theme="9" tint="0.59996337778862885"/>
                </patternFill>
              </fill>
            </x14:dxf>
          </x14:cfRule>
          <xm:sqref>B39</xm:sqref>
        </x14:conditionalFormatting>
      </x14:conditionalFormattings>
    </ext>
  </extLst>
</worksheet>
</file>

<file path=xl/worksheets/sheet1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B00-000000000000}">
  <sheetPr codeName="Sheet109"/>
  <dimension ref="A1:E44"/>
  <sheetViews>
    <sheetView zoomScaleNormal="100" workbookViewId="0">
      <selection sqref="A1:E44"/>
    </sheetView>
  </sheetViews>
  <sheetFormatPr defaultRowHeight="14.5" x14ac:dyDescent="0.35"/>
  <cols>
    <col min="1" max="1" width="14.453125" bestFit="1" customWidth="1"/>
    <col min="2" max="2" width="42.6328125" customWidth="1"/>
    <col min="3" max="3" width="106.1796875" customWidth="1"/>
    <col min="4" max="4" width="21.81640625" bestFit="1" customWidth="1"/>
    <col min="5" max="5" width="20.6328125" customWidth="1"/>
  </cols>
  <sheetData>
    <row r="1" spans="1:5" ht="18.5" x14ac:dyDescent="0.35">
      <c r="A1" s="192" t="s">
        <v>4</v>
      </c>
      <c r="B1" s="192"/>
      <c r="C1" s="105"/>
      <c r="D1" s="111"/>
      <c r="E1" s="97"/>
    </row>
    <row r="2" spans="1:5" x14ac:dyDescent="0.35">
      <c r="A2" s="106" t="s">
        <v>5</v>
      </c>
      <c r="B2" s="107" t="str">
        <f ca="1">MID(CELL("filename",A1),FIND("]",CELL("filename",A1))+1,LEN(CELL("filename",A1))-FIND("]",CELL("filename",A1)))</f>
        <v>TC107</v>
      </c>
      <c r="C2" s="98"/>
      <c r="D2" s="111"/>
      <c r="E2" s="97"/>
    </row>
    <row r="3" spans="1:5" x14ac:dyDescent="0.35">
      <c r="A3" s="104" t="s">
        <v>19</v>
      </c>
      <c r="B3" s="112">
        <f ca="1">VLOOKUP(B2,Table53[#All],2,FALSE)</f>
        <v>0</v>
      </c>
      <c r="C3" s="98"/>
      <c r="D3" s="111"/>
      <c r="E3" s="97"/>
    </row>
    <row r="4" spans="1:5" ht="29" x14ac:dyDescent="0.35">
      <c r="A4" s="113" t="s">
        <v>20</v>
      </c>
      <c r="B4" s="99">
        <f ca="1">VLOOKUP(B2,Table53[#All],4,FALSE)</f>
        <v>0</v>
      </c>
      <c r="C4" s="98"/>
      <c r="D4" s="111"/>
      <c r="E4" s="97"/>
    </row>
    <row r="5" spans="1:5" x14ac:dyDescent="0.35">
      <c r="A5" s="104" t="s">
        <v>6</v>
      </c>
      <c r="B5" s="77">
        <f ca="1">VLOOKUP(B2,Table53[#All],3,FALSE)</f>
        <v>0</v>
      </c>
      <c r="C5" s="98"/>
      <c r="D5" s="111"/>
      <c r="E5" s="97"/>
    </row>
    <row r="6" spans="1:5" x14ac:dyDescent="0.35">
      <c r="A6" s="97"/>
      <c r="B6" s="97"/>
      <c r="C6" s="98"/>
      <c r="D6" s="111"/>
      <c r="E6" s="97"/>
    </row>
    <row r="7" spans="1:5" ht="15.5" x14ac:dyDescent="0.35">
      <c r="A7" s="100" t="s">
        <v>7</v>
      </c>
      <c r="B7" s="101" t="s">
        <v>8</v>
      </c>
      <c r="C7" s="102" t="s">
        <v>9</v>
      </c>
      <c r="D7" s="102" t="s">
        <v>14</v>
      </c>
      <c r="E7" s="103" t="s">
        <v>10</v>
      </c>
    </row>
    <row r="8" spans="1:5" x14ac:dyDescent="0.35">
      <c r="A8" s="118">
        <v>1</v>
      </c>
      <c r="B8" s="114" t="s">
        <v>114</v>
      </c>
      <c r="C8" s="109" t="s">
        <v>125</v>
      </c>
      <c r="D8" s="128"/>
      <c r="E8" s="125" t="s">
        <v>11</v>
      </c>
    </row>
    <row r="9" spans="1:5" x14ac:dyDescent="0.35">
      <c r="A9" s="118">
        <v>2</v>
      </c>
      <c r="B9" s="114" t="s">
        <v>12</v>
      </c>
      <c r="C9" s="109" t="e">
        <f>VLOOKUP(Table25751991314099[[#This Row],[PEG]],Table1016[#All],2,FALSE)</f>
        <v>#N/A</v>
      </c>
      <c r="D9" s="128"/>
      <c r="E9" s="125" t="e">
        <f>VLOOKUP(Table25751991314099[[#This Row],[PEG]],Table1016[#All],3,FALSE)</f>
        <v>#N/A</v>
      </c>
    </row>
    <row r="10" spans="1:5" x14ac:dyDescent="0.35">
      <c r="A10" s="118">
        <v>3</v>
      </c>
      <c r="B10" s="114" t="s">
        <v>115</v>
      </c>
      <c r="C10" s="109" t="e">
        <f>VLOOKUP(Table25751991314099[[#This Row],[PEG]],Table1016[#All],2,FALSE)</f>
        <v>#N/A</v>
      </c>
      <c r="D10" s="128"/>
      <c r="E10" s="125" t="e">
        <f>VLOOKUP(Table25751991314099[[#This Row],[PEG]],Table1016[#All],3,FALSE)</f>
        <v>#N/A</v>
      </c>
    </row>
    <row r="11" spans="1:5" x14ac:dyDescent="0.35">
      <c r="A11" s="118">
        <v>4</v>
      </c>
      <c r="B11" s="114" t="s">
        <v>115</v>
      </c>
      <c r="C11" s="109" t="e">
        <f>VLOOKUP(Table25751991314099[[#This Row],[PEG]],Table1016[#All],2,FALSE)</f>
        <v>#N/A</v>
      </c>
      <c r="D11" s="128"/>
      <c r="E11" s="125" t="e">
        <f>VLOOKUP(Table25751991314099[[#This Row],[PEG]],Table1016[#All],3,FALSE)</f>
        <v>#N/A</v>
      </c>
    </row>
    <row r="12" spans="1:5" x14ac:dyDescent="0.35">
      <c r="A12" s="118">
        <v>5</v>
      </c>
      <c r="B12" s="114" t="s">
        <v>114</v>
      </c>
      <c r="C12" s="109" t="e">
        <f>VLOOKUP(Table25751991314099[[#This Row],[PEG]],Table1016[#All],2,FALSE)</f>
        <v>#N/A</v>
      </c>
      <c r="D12" s="128"/>
      <c r="E12" s="125" t="e">
        <f>VLOOKUP(Table25751991314099[[#This Row],[PEG]],Table1016[#All],3,FALSE)</f>
        <v>#N/A</v>
      </c>
    </row>
    <row r="13" spans="1:5" x14ac:dyDescent="0.35">
      <c r="A13" s="118">
        <v>6</v>
      </c>
      <c r="B13" s="114" t="s">
        <v>115</v>
      </c>
      <c r="C13" s="109" t="e">
        <f>VLOOKUP(Table25751991314099[[#This Row],[PEG]],Table1016[#All],2,FALSE)</f>
        <v>#N/A</v>
      </c>
      <c r="D13" s="128"/>
      <c r="E13" s="125" t="e">
        <f>VLOOKUP(Table25751991314099[[#This Row],[PEG]],Table1016[#All],3,FALSE)</f>
        <v>#N/A</v>
      </c>
    </row>
    <row r="14" spans="1:5" x14ac:dyDescent="0.35">
      <c r="A14" s="118">
        <v>7</v>
      </c>
      <c r="B14" s="114" t="s">
        <v>114</v>
      </c>
      <c r="C14" s="109" t="e">
        <f>VLOOKUP(Table25751991314099[[#This Row],[PEG]],Table1016[#All],2,FALSE)</f>
        <v>#N/A</v>
      </c>
      <c r="D14" s="128"/>
      <c r="E14" s="125" t="e">
        <f>VLOOKUP(Table25751991314099[[#This Row],[PEG]],Table1016[#All],3,FALSE)</f>
        <v>#N/A</v>
      </c>
    </row>
    <row r="15" spans="1:5" x14ac:dyDescent="0.35">
      <c r="A15" s="118">
        <v>8</v>
      </c>
      <c r="B15" s="114" t="s">
        <v>115</v>
      </c>
      <c r="C15" s="109" t="e">
        <f>VLOOKUP(Table25751991314099[[#This Row],[PEG]],Table1016[#All],2,FALSE)</f>
        <v>#N/A</v>
      </c>
      <c r="D15" s="116"/>
      <c r="E15" s="125" t="e">
        <f>VLOOKUP(Table25751991314099[[#This Row],[PEG]],Table1016[#All],3,FALSE)</f>
        <v>#N/A</v>
      </c>
    </row>
    <row r="16" spans="1:5" x14ac:dyDescent="0.35">
      <c r="A16" s="118">
        <v>9</v>
      </c>
      <c r="B16" s="114" t="s">
        <v>12</v>
      </c>
      <c r="C16" s="109" t="e">
        <f>VLOOKUP(Table25751991314099[[#This Row],[PEG]],Table1016[#All],2,FALSE)</f>
        <v>#N/A</v>
      </c>
      <c r="D16" s="116"/>
      <c r="E16" s="125" t="e">
        <f>VLOOKUP(Table25751991314099[[#This Row],[PEG]],Table1016[#All],3,FALSE)</f>
        <v>#N/A</v>
      </c>
    </row>
    <row r="17" spans="1:5" x14ac:dyDescent="0.35">
      <c r="A17" s="118">
        <v>10</v>
      </c>
      <c r="B17" s="114" t="s">
        <v>12</v>
      </c>
      <c r="C17" s="109" t="e">
        <f>VLOOKUP(Table25751991314099[[#This Row],[PEG]],Table1016[#All],2,FALSE)</f>
        <v>#N/A</v>
      </c>
      <c r="D17" s="117"/>
      <c r="E17" s="125" t="e">
        <f>VLOOKUP(Table25751991314099[[#This Row],[PEG]],Table1016[#All],3,FALSE)</f>
        <v>#N/A</v>
      </c>
    </row>
    <row r="18" spans="1:5" x14ac:dyDescent="0.35">
      <c r="A18" s="118">
        <v>11</v>
      </c>
      <c r="B18" s="114" t="s">
        <v>115</v>
      </c>
      <c r="C18" s="109" t="e">
        <f>VLOOKUP(Table25751991314099[[#This Row],[PEG]],Table1016[#All],2,FALSE)</f>
        <v>#N/A</v>
      </c>
      <c r="D18" s="117"/>
      <c r="E18" s="125" t="e">
        <f>VLOOKUP(Table25751991314099[[#This Row],[PEG]],Table1016[#All],3,FALSE)</f>
        <v>#N/A</v>
      </c>
    </row>
    <row r="19" spans="1:5" x14ac:dyDescent="0.35">
      <c r="A19" s="118">
        <v>12</v>
      </c>
      <c r="B19" s="114" t="s">
        <v>115</v>
      </c>
      <c r="C19" s="109" t="e">
        <f>VLOOKUP(Table25751991314099[[#This Row],[PEG]],Table1016[#All],2,FALSE)</f>
        <v>#N/A</v>
      </c>
      <c r="D19" s="117"/>
      <c r="E19" s="125" t="e">
        <f>VLOOKUP(Table25751991314099[[#This Row],[PEG]],Table1016[#All],3,FALSE)</f>
        <v>#N/A</v>
      </c>
    </row>
    <row r="20" spans="1:5" x14ac:dyDescent="0.35">
      <c r="A20" s="118">
        <v>13</v>
      </c>
      <c r="B20" s="114" t="s">
        <v>114</v>
      </c>
      <c r="C20" s="109" t="e">
        <f>VLOOKUP(Table25751991314099[[#This Row],[PEG]],Table1016[#All],2,FALSE)</f>
        <v>#N/A</v>
      </c>
      <c r="D20" s="117"/>
      <c r="E20" s="125" t="e">
        <f>VLOOKUP(Table25751991314099[[#This Row],[PEG]],Table1016[#All],3,FALSE)</f>
        <v>#N/A</v>
      </c>
    </row>
    <row r="21" spans="1:5" x14ac:dyDescent="0.35">
      <c r="A21" s="118">
        <v>14</v>
      </c>
      <c r="B21" s="114" t="s">
        <v>12</v>
      </c>
      <c r="C21" s="109" t="e">
        <f>VLOOKUP(Table25751991314099[[#This Row],[PEG]],Table1016[#All],2,FALSE)</f>
        <v>#N/A</v>
      </c>
      <c r="D21" s="117"/>
      <c r="E21" s="125" t="e">
        <f>VLOOKUP(Table25751991314099[[#This Row],[PEG]],Table1016[#All],3,FALSE)</f>
        <v>#N/A</v>
      </c>
    </row>
    <row r="22" spans="1:5" x14ac:dyDescent="0.35">
      <c r="A22" s="118">
        <v>15</v>
      </c>
      <c r="B22" s="114" t="s">
        <v>12</v>
      </c>
      <c r="C22" s="109" t="e">
        <f>VLOOKUP(Table25751991314099[[#This Row],[PEG]],Table1016[#All],2,FALSE)</f>
        <v>#N/A</v>
      </c>
      <c r="D22" s="117"/>
      <c r="E22" s="125" t="e">
        <f>VLOOKUP(Table25751991314099[[#This Row],[PEG]],Table1016[#All],3,FALSE)</f>
        <v>#N/A</v>
      </c>
    </row>
    <row r="23" spans="1:5" x14ac:dyDescent="0.35">
      <c r="A23" s="118">
        <v>16</v>
      </c>
      <c r="B23" s="114" t="s">
        <v>115</v>
      </c>
      <c r="C23" s="109" t="e">
        <f>VLOOKUP(Table25751991314099[[#This Row],[PEG]],Table1016[#All],2,FALSE)</f>
        <v>#N/A</v>
      </c>
      <c r="D23" s="117"/>
      <c r="E23" s="125" t="e">
        <f>VLOOKUP(Table25751991314099[[#This Row],[PEG]],Table1016[#All],3,FALSE)</f>
        <v>#N/A</v>
      </c>
    </row>
    <row r="24" spans="1:5" x14ac:dyDescent="0.35">
      <c r="A24" s="118">
        <v>17</v>
      </c>
      <c r="B24" s="114" t="s">
        <v>114</v>
      </c>
      <c r="C24" s="109" t="e">
        <f>VLOOKUP(Table25751991314099[[#This Row],[PEG]],Table1016[#All],2,FALSE)</f>
        <v>#N/A</v>
      </c>
      <c r="D24" s="117"/>
      <c r="E24" s="125" t="e">
        <f>VLOOKUP(Table25751991314099[[#This Row],[PEG]],Table1016[#All],3,FALSE)</f>
        <v>#N/A</v>
      </c>
    </row>
    <row r="25" spans="1:5" x14ac:dyDescent="0.35">
      <c r="A25" s="118">
        <v>18</v>
      </c>
      <c r="B25" s="114" t="s">
        <v>12</v>
      </c>
      <c r="C25" s="109" t="e">
        <f>VLOOKUP(Table25751991314099[[#This Row],[PEG]],Table1016[#All],2,FALSE)</f>
        <v>#N/A</v>
      </c>
      <c r="D25" s="117"/>
      <c r="E25" s="125" t="e">
        <f>VLOOKUP(Table25751991314099[[#This Row],[PEG]],Table1016[#All],3,FALSE)</f>
        <v>#N/A</v>
      </c>
    </row>
    <row r="26" spans="1:5" x14ac:dyDescent="0.35">
      <c r="A26" s="118">
        <v>19</v>
      </c>
      <c r="B26" s="114" t="s">
        <v>12</v>
      </c>
      <c r="C26" s="109" t="e">
        <f>VLOOKUP(Table25751991314099[[#This Row],[PEG]],Table1016[#All],2,FALSE)</f>
        <v>#N/A</v>
      </c>
      <c r="D26" s="117"/>
      <c r="E26" s="125" t="e">
        <f>VLOOKUP(Table25751991314099[[#This Row],[PEG]],Table1016[#All],3,FALSE)</f>
        <v>#N/A</v>
      </c>
    </row>
    <row r="27" spans="1:5" x14ac:dyDescent="0.35">
      <c r="A27" s="118">
        <v>20</v>
      </c>
      <c r="B27" s="114" t="s">
        <v>115</v>
      </c>
      <c r="C27" s="109" t="e">
        <f>VLOOKUP(Table25751991314099[[#This Row],[PEG]],Table1016[#All],2,FALSE)</f>
        <v>#N/A</v>
      </c>
      <c r="D27" s="117"/>
      <c r="E27" s="125" t="e">
        <f>VLOOKUP(Table25751991314099[[#This Row],[PEG]],Table1016[#All],3,FALSE)</f>
        <v>#N/A</v>
      </c>
    </row>
    <row r="28" spans="1:5" x14ac:dyDescent="0.35">
      <c r="A28" s="118">
        <v>21</v>
      </c>
      <c r="B28" s="114" t="s">
        <v>114</v>
      </c>
      <c r="C28" s="109" t="e">
        <f>VLOOKUP(Table25751991314099[[#This Row],[PEG]],Table1016[#All],2,FALSE)</f>
        <v>#N/A</v>
      </c>
      <c r="D28" s="117"/>
      <c r="E28" s="125" t="e">
        <f>VLOOKUP(Table25751991314099[[#This Row],[PEG]],Table1016[#All],3,FALSE)</f>
        <v>#N/A</v>
      </c>
    </row>
    <row r="29" spans="1:5" x14ac:dyDescent="0.35">
      <c r="A29" s="118">
        <v>22</v>
      </c>
      <c r="B29" s="114" t="s">
        <v>12</v>
      </c>
      <c r="C29" s="109" t="e">
        <f>VLOOKUP(Table25751991314099[[#This Row],[PEG]],Table1016[#All],2,FALSE)</f>
        <v>#N/A</v>
      </c>
      <c r="D29" s="117"/>
      <c r="E29" s="125" t="e">
        <f>VLOOKUP(Table25751991314099[[#This Row],[PEG]],Table1016[#All],3,FALSE)</f>
        <v>#N/A</v>
      </c>
    </row>
    <row r="30" spans="1:5" x14ac:dyDescent="0.35">
      <c r="A30" s="118">
        <v>23</v>
      </c>
      <c r="B30" s="114" t="s">
        <v>12</v>
      </c>
      <c r="C30" s="109" t="e">
        <f>VLOOKUP(Table25751991314099[[#This Row],[PEG]],Table1016[#All],2,FALSE)</f>
        <v>#N/A</v>
      </c>
      <c r="D30" s="117"/>
      <c r="E30" s="125" t="e">
        <f>VLOOKUP(Table25751991314099[[#This Row],[PEG]],Table1016[#All],3,FALSE)</f>
        <v>#N/A</v>
      </c>
    </row>
    <row r="31" spans="1:5" x14ac:dyDescent="0.35">
      <c r="A31" s="118">
        <v>24</v>
      </c>
      <c r="B31" s="114" t="s">
        <v>115</v>
      </c>
      <c r="C31" s="109" t="e">
        <f>VLOOKUP(Table25751991314099[[#This Row],[PEG]],Table1016[#All],2,FALSE)</f>
        <v>#N/A</v>
      </c>
      <c r="D31" s="117"/>
      <c r="E31" s="125" t="e">
        <f>VLOOKUP(Table25751991314099[[#This Row],[PEG]],Table1016[#All],3,FALSE)</f>
        <v>#N/A</v>
      </c>
    </row>
    <row r="32" spans="1:5" x14ac:dyDescent="0.35">
      <c r="A32" s="118">
        <v>25</v>
      </c>
      <c r="B32" s="114" t="s">
        <v>115</v>
      </c>
      <c r="C32" s="109" t="e">
        <f>VLOOKUP(Table25751991314099[[#This Row],[PEG]],Table1016[#All],2,FALSE)</f>
        <v>#N/A</v>
      </c>
      <c r="D32" s="117"/>
      <c r="E32" s="125" t="e">
        <f>VLOOKUP(Table25751991314099[[#This Row],[PEG]],Table1016[#All],3,FALSE)</f>
        <v>#N/A</v>
      </c>
    </row>
    <row r="33" spans="1:5" x14ac:dyDescent="0.35">
      <c r="A33" s="118">
        <v>26</v>
      </c>
      <c r="B33" s="114" t="s">
        <v>124</v>
      </c>
      <c r="C33" s="109" t="e">
        <f>VLOOKUP(Table25751991314099[[#This Row],[PEG]],Table1016[#All],2,FALSE)</f>
        <v>#N/A</v>
      </c>
      <c r="D33" s="117"/>
      <c r="E33" s="125" t="e">
        <f>VLOOKUP(Table25751991314099[[#This Row],[PEG]],Table1016[#All],3,FALSE)</f>
        <v>#N/A</v>
      </c>
    </row>
    <row r="34" spans="1:5" x14ac:dyDescent="0.35">
      <c r="A34" s="118">
        <v>27</v>
      </c>
      <c r="B34" s="114" t="s">
        <v>115</v>
      </c>
      <c r="C34" s="109" t="e">
        <f>VLOOKUP(Table25751991314099[[#This Row],[PEG]],Table1016[#All],2,FALSE)</f>
        <v>#N/A</v>
      </c>
      <c r="D34" s="117"/>
      <c r="E34" s="125" t="e">
        <f>VLOOKUP(Table25751991314099[[#This Row],[PEG]],Table1016[#All],3,FALSE)</f>
        <v>#N/A</v>
      </c>
    </row>
    <row r="35" spans="1:5" x14ac:dyDescent="0.35">
      <c r="A35" s="118">
        <v>28</v>
      </c>
      <c r="B35" s="114" t="s">
        <v>124</v>
      </c>
      <c r="C35" s="109" t="e">
        <f>VLOOKUP(Table25751991314099[[#This Row],[PEG]],Table1016[#All],2,FALSE)</f>
        <v>#N/A</v>
      </c>
      <c r="D35" s="117"/>
      <c r="E35" s="125" t="e">
        <f>VLOOKUP(Table25751991314099[[#This Row],[PEG]],Table1016[#All],3,FALSE)</f>
        <v>#N/A</v>
      </c>
    </row>
    <row r="36" spans="1:5" x14ac:dyDescent="0.35">
      <c r="A36" s="118">
        <v>29</v>
      </c>
      <c r="B36" s="114" t="s">
        <v>115</v>
      </c>
      <c r="C36" s="109" t="e">
        <f>VLOOKUP(Table25751991314099[[#This Row],[PEG]],Table1016[#All],2,FALSE)</f>
        <v>#N/A</v>
      </c>
      <c r="D36" s="117"/>
      <c r="E36" s="125" t="e">
        <f>VLOOKUP(Table25751991314099[[#This Row],[PEG]],Table1016[#All],3,FALSE)</f>
        <v>#N/A</v>
      </c>
    </row>
    <row r="37" spans="1:5" x14ac:dyDescent="0.35">
      <c r="A37" s="118">
        <v>30</v>
      </c>
      <c r="B37" s="114" t="s">
        <v>12</v>
      </c>
      <c r="C37" s="109" t="e">
        <f>VLOOKUP(Table25751991314099[[#This Row],[PEG]],Table1016[#All],2,FALSE)</f>
        <v>#N/A</v>
      </c>
      <c r="D37" s="117"/>
      <c r="E37" s="125" t="e">
        <f>VLOOKUP(Table25751991314099[[#This Row],[PEG]],Table1016[#All],3,FALSE)</f>
        <v>#N/A</v>
      </c>
    </row>
    <row r="38" spans="1:5" x14ac:dyDescent="0.35">
      <c r="A38" s="118">
        <v>31</v>
      </c>
      <c r="B38" s="114" t="s">
        <v>12</v>
      </c>
      <c r="C38" s="109" t="e">
        <f>VLOOKUP(Table25751991314099[[#This Row],[PEG]],Table1016[#All],2,FALSE)</f>
        <v>#N/A</v>
      </c>
      <c r="D38" s="117"/>
      <c r="E38" s="125" t="e">
        <f>VLOOKUP(Table25751991314099[[#This Row],[PEG]],Table1016[#All],3,FALSE)</f>
        <v>#N/A</v>
      </c>
    </row>
    <row r="39" spans="1:5" x14ac:dyDescent="0.35">
      <c r="A39" s="118">
        <v>32</v>
      </c>
      <c r="B39" s="114" t="s">
        <v>12</v>
      </c>
      <c r="C39" s="109" t="e">
        <f>VLOOKUP(Table25751991314099[[#This Row],[PEG]],Table1016[#All],2,FALSE)</f>
        <v>#N/A</v>
      </c>
      <c r="D39" s="117"/>
      <c r="E39" s="125" t="e">
        <f>VLOOKUP(Table25751991314099[[#This Row],[PEG]],Table1016[#All],3,FALSE)</f>
        <v>#N/A</v>
      </c>
    </row>
    <row r="40" spans="1:5" x14ac:dyDescent="0.35">
      <c r="A40" s="118">
        <v>33</v>
      </c>
      <c r="B40" s="114" t="s">
        <v>12</v>
      </c>
      <c r="C40" s="109" t="e">
        <f>VLOOKUP(Table25751991314099[[#This Row],[PEG]],Table1016[#All],2,FALSE)</f>
        <v>#N/A</v>
      </c>
      <c r="D40" s="117"/>
      <c r="E40" s="125" t="e">
        <f>VLOOKUP(Table25751991314099[[#This Row],[PEG]],Table1016[#All],3,FALSE)</f>
        <v>#N/A</v>
      </c>
    </row>
    <row r="41" spans="1:5" x14ac:dyDescent="0.35">
      <c r="A41" s="118">
        <v>34</v>
      </c>
      <c r="B41" s="114" t="s">
        <v>115</v>
      </c>
      <c r="C41" s="109" t="e">
        <f>VLOOKUP(Table25751991314099[[#This Row],[PEG]],Table1016[#All],2,FALSE)</f>
        <v>#N/A</v>
      </c>
      <c r="D41" s="117"/>
      <c r="E41" s="125" t="e">
        <f>VLOOKUP(Table25751991314099[[#This Row],[PEG]],Table1016[#All],3,FALSE)</f>
        <v>#N/A</v>
      </c>
    </row>
    <row r="42" spans="1:5" x14ac:dyDescent="0.35">
      <c r="A42" s="118">
        <v>35</v>
      </c>
      <c r="B42" s="114" t="s">
        <v>12</v>
      </c>
      <c r="C42" s="109" t="e">
        <f>VLOOKUP(Table25751991314099[[#This Row],[PEG]],Table1016[#All],2,FALSE)</f>
        <v>#N/A</v>
      </c>
      <c r="D42" s="115"/>
      <c r="E42" s="125" t="e">
        <f>VLOOKUP(Table25751991314099[[#This Row],[PEG]],Table1016[#All],3,FALSE)</f>
        <v>#N/A</v>
      </c>
    </row>
    <row r="43" spans="1:5" x14ac:dyDescent="0.35">
      <c r="A43" s="118">
        <v>36</v>
      </c>
      <c r="B43" s="114" t="s">
        <v>115</v>
      </c>
      <c r="C43" s="109" t="e">
        <f>VLOOKUP(Table25751991314099[[#This Row],[PEG]],Table1016[#All],2,FALSE)</f>
        <v>#N/A</v>
      </c>
      <c r="D43" s="115"/>
      <c r="E43" s="125" t="e">
        <f>VLOOKUP(Table25751991314099[[#This Row],[PEG]],Table1016[#All],3,FALSE)</f>
        <v>#N/A</v>
      </c>
    </row>
    <row r="44" spans="1:5" x14ac:dyDescent="0.35">
      <c r="A44" s="118">
        <v>37</v>
      </c>
      <c r="B44" s="114" t="s">
        <v>13</v>
      </c>
      <c r="C44" s="18" t="s">
        <v>13</v>
      </c>
      <c r="D44" s="115"/>
      <c r="E44" s="32"/>
    </row>
  </sheetData>
  <mergeCells count="1">
    <mergeCell ref="A1:B1"/>
  </mergeCells>
  <conditionalFormatting sqref="B30">
    <cfRule type="containsText" dxfId="2513" priority="4" operator="containsText" text="Hear">
      <formula>NOT(ISERROR(SEARCH("Hear",B30)))</formula>
    </cfRule>
  </conditionalFormatting>
  <conditionalFormatting sqref="B43:B44">
    <cfRule type="containsText" dxfId="2512" priority="14" operator="containsText" text="Hear">
      <formula>NOT(ISERROR(SEARCH("Hear",B43)))</formula>
    </cfRule>
  </conditionalFormatting>
  <conditionalFormatting sqref="E44">
    <cfRule type="containsText" dxfId="2511" priority="12" operator="containsText" text="WEB SERVICE">
      <formula>NOT(ISERROR(SEARCH("WEB SERVICE",E44)))</formula>
    </cfRule>
    <cfRule type="containsText" dxfId="2510" priority="13" operator="containsText" text="DB">
      <formula>NOT(ISERROR(SEARCH("DB",E44)))</formula>
    </cfRule>
  </conditionalFormatting>
  <conditionalFormatting sqref="C44">
    <cfRule type="expression" dxfId="2509" priority="15">
      <formula>$B44="Dial"</formula>
    </cfRule>
    <cfRule type="expression" dxfId="2508" priority="17">
      <formula>$B44="HANGUP"</formula>
    </cfRule>
  </conditionalFormatting>
  <conditionalFormatting sqref="C44">
    <cfRule type="expression" dxfId="2507" priority="16">
      <formula>$B44="Speak"</formula>
    </cfRule>
  </conditionalFormatting>
  <conditionalFormatting sqref="B8:B18">
    <cfRule type="containsText" dxfId="2506" priority="1" operator="containsText" text="Hear">
      <formula>NOT(ISERROR(SEARCH("Hear",B8)))</formula>
    </cfRule>
  </conditionalFormatting>
  <conditionalFormatting sqref="B36:B38 B40:B41">
    <cfRule type="containsText" dxfId="2505" priority="3" operator="containsText" text="Hear">
      <formula>NOT(ISERROR(SEARCH("Hear",B36)))</formula>
    </cfRule>
  </conditionalFormatting>
  <conditionalFormatting sqref="B19:B29 B31:B35 B42">
    <cfRule type="containsText" dxfId="2504" priority="5" operator="containsText" text="Hear">
      <formula>NOT(ISERROR(SEARCH("Hear",B19)))</formula>
    </cfRule>
  </conditionalFormatting>
  <hyperlinks>
    <hyperlink ref="A1" location="'Test Case Overview'!A1" display="Return to Test Case Overview" xr:uid="{DB685995-7D7F-4BD3-B506-12C2E8F1FB99}"/>
  </hyperlinks>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expression" priority="8" id="{03FB9A59-FB5F-4D74-84F2-37A1D6BA7377}">
            <xm:f>'TC1'!$B8="HANGUP"</xm:f>
            <x14:dxf>
              <font>
                <b/>
                <i val="0"/>
              </font>
            </x14:dxf>
          </x14:cfRule>
          <x14:cfRule type="expression" priority="9" id="{243A2020-097E-4972-BE82-DAE4EEE6A3FC}">
            <xm:f>'TC1'!$B8="Dial"</xm:f>
            <x14:dxf>
              <font>
                <b/>
                <i val="0"/>
                <color rgb="FFFF0000"/>
              </font>
            </x14:dxf>
          </x14:cfRule>
          <xm:sqref>C8</xm:sqref>
        </x14:conditionalFormatting>
        <x14:conditionalFormatting xmlns:xm="http://schemas.microsoft.com/office/excel/2006/main">
          <x14:cfRule type="expression" priority="10" id="{3C5518BB-B828-48D7-A995-C8B270E7082C}">
            <xm:f>'TC1'!$B8="Speak"</xm:f>
            <x14:dxf>
              <font>
                <b/>
                <i val="0"/>
                <color rgb="FFFF0000"/>
              </font>
            </x14:dxf>
          </x14:cfRule>
          <xm:sqref>C8</xm:sqref>
        </x14:conditionalFormatting>
        <x14:conditionalFormatting xmlns:xm="http://schemas.microsoft.com/office/excel/2006/main">
          <x14:cfRule type="containsText" priority="2" operator="containsText" text="Hear" id="{00DE46BE-71A5-410E-A3AF-2EF961520834}">
            <xm:f>NOT(ISERROR(SEARCH("Hear",'TC3'!B34)))</xm:f>
            <x14:dxf>
              <font>
                <color theme="9" tint="-0.24994659260841701"/>
              </font>
              <fill>
                <patternFill>
                  <bgColor theme="9" tint="0.59996337778862885"/>
                </patternFill>
              </fill>
            </x14:dxf>
          </x14:cfRule>
          <xm:sqref>B41</xm:sqref>
        </x14:conditionalFormatting>
        <x14:conditionalFormatting xmlns:xm="http://schemas.microsoft.com/office/excel/2006/main">
          <x14:cfRule type="expression" priority="2403" id="{03FB9A59-FB5F-4D74-84F2-37A1D6BA7377}">
            <xm:f>'TC1'!$B16="HANGUP"</xm:f>
            <x14:dxf>
              <font>
                <b/>
                <i val="0"/>
              </font>
            </x14:dxf>
          </x14:cfRule>
          <x14:cfRule type="expression" priority="2404" id="{243A2020-097E-4972-BE82-DAE4EEE6A3FC}">
            <xm:f>'TC1'!$B16="Dial"</xm:f>
            <x14:dxf>
              <font>
                <b/>
                <i val="0"/>
                <color rgb="FFFF0000"/>
              </font>
            </x14:dxf>
          </x14:cfRule>
          <xm:sqref>C34:C43</xm:sqref>
        </x14:conditionalFormatting>
        <x14:conditionalFormatting xmlns:xm="http://schemas.microsoft.com/office/excel/2006/main">
          <x14:cfRule type="expression" priority="2405" id="{03FB9A59-FB5F-4D74-84F2-37A1D6BA7377}">
            <xm:f>'TC1'!#REF!="HANGUP"</xm:f>
            <x14:dxf>
              <font>
                <b/>
                <i val="0"/>
              </font>
            </x14:dxf>
          </x14:cfRule>
          <x14:cfRule type="expression" priority="2406" id="{243A2020-097E-4972-BE82-DAE4EEE6A3FC}">
            <xm:f>'TC1'!#REF!="Dial"</xm:f>
            <x14:dxf>
              <font>
                <b/>
                <i val="0"/>
                <color rgb="FFFF0000"/>
              </font>
            </x14:dxf>
          </x14:cfRule>
          <xm:sqref>C17:C33</xm:sqref>
        </x14:conditionalFormatting>
        <x14:conditionalFormatting xmlns:xm="http://schemas.microsoft.com/office/excel/2006/main">
          <x14:cfRule type="expression" priority="2410" id="{3C5518BB-B828-48D7-A995-C8B270E7082C}">
            <xm:f>'TC1'!$B16="Speak"</xm:f>
            <x14:dxf>
              <font>
                <b/>
                <i val="0"/>
                <color rgb="FFFF0000"/>
              </font>
            </x14:dxf>
          </x14:cfRule>
          <xm:sqref>C34:C43</xm:sqref>
        </x14:conditionalFormatting>
        <x14:conditionalFormatting xmlns:xm="http://schemas.microsoft.com/office/excel/2006/main">
          <x14:cfRule type="expression" priority="2411" id="{3C5518BB-B828-48D7-A995-C8B270E7082C}">
            <xm:f>'TC1'!#REF!="Speak"</xm:f>
            <x14:dxf>
              <font>
                <b/>
                <i val="0"/>
                <color rgb="FFFF0000"/>
              </font>
            </x14:dxf>
          </x14:cfRule>
          <xm:sqref>C17:C33</xm:sqref>
        </x14:conditionalFormatting>
        <x14:conditionalFormatting xmlns:xm="http://schemas.microsoft.com/office/excel/2006/main">
          <x14:cfRule type="containsText" priority="2415" operator="containsText" text="DB" id="{149FD1D1-75EE-46E4-AC50-3F0845FFF6F6}">
            <xm:f>NOT(ISERROR(SEARCH("DB",'TC1'!E16)))</xm:f>
            <x14:dxf>
              <font>
                <color rgb="FF006100"/>
              </font>
              <fill>
                <patternFill>
                  <bgColor rgb="FFC6EFCE"/>
                </patternFill>
              </fill>
            </x14:dxf>
          </x14:cfRule>
          <x14:cfRule type="containsText" priority="2416" operator="containsText" text="WEB SERVICE" id="{7E9295D2-F851-42C9-A3FB-3BF066028C7A}">
            <xm:f>NOT(ISERROR(SEARCH("WEB SERVICE",'TC1'!E16)))</xm:f>
            <x14:dxf>
              <font>
                <color rgb="FF9C0006"/>
              </font>
              <fill>
                <patternFill>
                  <bgColor rgb="FFFFC7CE"/>
                </patternFill>
              </fill>
            </x14:dxf>
          </x14:cfRule>
          <xm:sqref>E34:E43</xm:sqref>
        </x14:conditionalFormatting>
        <x14:conditionalFormatting xmlns:xm="http://schemas.microsoft.com/office/excel/2006/main">
          <x14:cfRule type="containsText" priority="2417" operator="containsText" text="DB" id="{149FD1D1-75EE-46E4-AC50-3F0845FFF6F6}">
            <xm:f>NOT(ISERROR(SEARCH("DB",'TC1'!#REF!)))</xm:f>
            <x14:dxf>
              <font>
                <color rgb="FF006100"/>
              </font>
              <fill>
                <patternFill>
                  <bgColor rgb="FFC6EFCE"/>
                </patternFill>
              </fill>
            </x14:dxf>
          </x14:cfRule>
          <x14:cfRule type="containsText" priority="2418" operator="containsText" text="WEB SERVICE" id="{7E9295D2-F851-42C9-A3FB-3BF066028C7A}">
            <xm:f>NOT(ISERROR(SEARCH("WEB SERVICE",'TC1'!#REF!)))</xm:f>
            <x14:dxf>
              <font>
                <color rgb="FF9C0006"/>
              </font>
              <fill>
                <patternFill>
                  <bgColor rgb="FFFFC7CE"/>
                </patternFill>
              </fill>
            </x14:dxf>
          </x14:cfRule>
          <xm:sqref>E17:E33</xm:sqref>
        </x14:conditionalFormatting>
        <x14:conditionalFormatting xmlns:xm="http://schemas.microsoft.com/office/excel/2006/main">
          <x14:cfRule type="expression" priority="5101" id="{03FB9A59-FB5F-4D74-84F2-37A1D6BA7377}">
            <xm:f>'TC1'!$B9="HANGUP"</xm:f>
            <x14:dxf>
              <font>
                <b/>
                <i val="0"/>
              </font>
            </x14:dxf>
          </x14:cfRule>
          <x14:cfRule type="expression" priority="5102" id="{243A2020-097E-4972-BE82-DAE4EEE6A3FC}">
            <xm:f>'TC1'!$B9="Dial"</xm:f>
            <x14:dxf>
              <font>
                <b/>
                <i val="0"/>
                <color rgb="FFFF0000"/>
              </font>
            </x14:dxf>
          </x14:cfRule>
          <xm:sqref>C12:C15</xm:sqref>
        </x14:conditionalFormatting>
        <x14:conditionalFormatting xmlns:xm="http://schemas.microsoft.com/office/excel/2006/main">
          <x14:cfRule type="expression" priority="5103" id="{03FB9A59-FB5F-4D74-84F2-37A1D6BA7377}">
            <xm:f>'TC1'!#REF!="HANGUP"</xm:f>
            <x14:dxf>
              <font>
                <b/>
                <i val="0"/>
              </font>
            </x14:dxf>
          </x14:cfRule>
          <x14:cfRule type="expression" priority="5104" id="{243A2020-097E-4972-BE82-DAE4EEE6A3FC}">
            <xm:f>'TC1'!#REF!="Dial"</xm:f>
            <x14:dxf>
              <font>
                <b/>
                <i val="0"/>
                <color rgb="FFFF0000"/>
              </font>
            </x14:dxf>
          </x14:cfRule>
          <xm:sqref>C9:C11</xm:sqref>
        </x14:conditionalFormatting>
        <x14:conditionalFormatting xmlns:xm="http://schemas.microsoft.com/office/excel/2006/main">
          <x14:cfRule type="expression" priority="5108" id="{3C5518BB-B828-48D7-A995-C8B270E7082C}">
            <xm:f>'TC1'!$B9="Speak"</xm:f>
            <x14:dxf>
              <font>
                <b/>
                <i val="0"/>
                <color rgb="FFFF0000"/>
              </font>
            </x14:dxf>
          </x14:cfRule>
          <xm:sqref>C12:C15</xm:sqref>
        </x14:conditionalFormatting>
        <x14:conditionalFormatting xmlns:xm="http://schemas.microsoft.com/office/excel/2006/main">
          <x14:cfRule type="expression" priority="5109" id="{3C5518BB-B828-48D7-A995-C8B270E7082C}">
            <xm:f>'TC1'!#REF!="Speak"</xm:f>
            <x14:dxf>
              <font>
                <b/>
                <i val="0"/>
                <color rgb="FFFF0000"/>
              </font>
            </x14:dxf>
          </x14:cfRule>
          <xm:sqref>C9:C11</xm:sqref>
        </x14:conditionalFormatting>
        <x14:conditionalFormatting xmlns:xm="http://schemas.microsoft.com/office/excel/2006/main">
          <x14:cfRule type="containsText" priority="5111" operator="containsText" text="DB" id="{149FD1D1-75EE-46E4-AC50-3F0845FFF6F6}">
            <xm:f>NOT(ISERROR(SEARCH("DB",'TC1'!#REF!)))</xm:f>
            <x14:dxf>
              <font>
                <color rgb="FF006100"/>
              </font>
              <fill>
                <patternFill>
                  <bgColor rgb="FFC6EFCE"/>
                </patternFill>
              </fill>
            </x14:dxf>
          </x14:cfRule>
          <x14:cfRule type="containsText" priority="5112" operator="containsText" text="WEB SERVICE" id="{7E9295D2-F851-42C9-A3FB-3BF066028C7A}">
            <xm:f>NOT(ISERROR(SEARCH("WEB SERVICE",'TC1'!#REF!)))</xm:f>
            <x14:dxf>
              <font>
                <color rgb="FF9C0006"/>
              </font>
              <fill>
                <patternFill>
                  <bgColor rgb="FFFFC7CE"/>
                </patternFill>
              </fill>
            </x14:dxf>
          </x14:cfRule>
          <xm:sqref>E9:E11</xm:sqref>
        </x14:conditionalFormatting>
        <x14:conditionalFormatting xmlns:xm="http://schemas.microsoft.com/office/excel/2006/main">
          <x14:cfRule type="containsText" priority="5113" operator="containsText" text="DB" id="{149FD1D1-75EE-46E4-AC50-3F0845FFF6F6}">
            <xm:f>NOT(ISERROR(SEARCH("DB",'TC1'!E9)))</xm:f>
            <x14:dxf>
              <font>
                <color rgb="FF006100"/>
              </font>
              <fill>
                <patternFill>
                  <bgColor rgb="FFC6EFCE"/>
                </patternFill>
              </fill>
            </x14:dxf>
          </x14:cfRule>
          <x14:cfRule type="containsText" priority="5114" operator="containsText" text="WEB SERVICE" id="{7E9295D2-F851-42C9-A3FB-3BF066028C7A}">
            <xm:f>NOT(ISERROR(SEARCH("WEB SERVICE",'TC1'!E9)))</xm:f>
            <x14:dxf>
              <font>
                <color rgb="FF9C0006"/>
              </font>
              <fill>
                <patternFill>
                  <bgColor rgb="FFFFC7CE"/>
                </patternFill>
              </fill>
            </x14:dxf>
          </x14:cfRule>
          <xm:sqref>E12:E15</xm:sqref>
        </x14:conditionalFormatting>
        <x14:conditionalFormatting xmlns:xm="http://schemas.microsoft.com/office/excel/2006/main">
          <x14:cfRule type="expression" priority="7430" id="{03FB9A59-FB5F-4D74-84F2-37A1D6BA7377}">
            <xm:f>'TC1'!$B15="HANGUP"</xm:f>
            <x14:dxf>
              <font>
                <b/>
                <i val="0"/>
              </font>
            </x14:dxf>
          </x14:cfRule>
          <x14:cfRule type="expression" priority="7431" id="{243A2020-097E-4972-BE82-DAE4EEE6A3FC}">
            <xm:f>'TC1'!$B15="Dial"</xm:f>
            <x14:dxf>
              <font>
                <b/>
                <i val="0"/>
                <color rgb="FFFF0000"/>
              </font>
            </x14:dxf>
          </x14:cfRule>
          <xm:sqref>C16</xm:sqref>
        </x14:conditionalFormatting>
        <x14:conditionalFormatting xmlns:xm="http://schemas.microsoft.com/office/excel/2006/main">
          <x14:cfRule type="expression" priority="7433" id="{3C5518BB-B828-48D7-A995-C8B270E7082C}">
            <xm:f>'TC1'!$B15="Speak"</xm:f>
            <x14:dxf>
              <font>
                <b/>
                <i val="0"/>
                <color rgb="FFFF0000"/>
              </font>
            </x14:dxf>
          </x14:cfRule>
          <xm:sqref>C16</xm:sqref>
        </x14:conditionalFormatting>
        <x14:conditionalFormatting xmlns:xm="http://schemas.microsoft.com/office/excel/2006/main">
          <x14:cfRule type="containsText" priority="7436" operator="containsText" text="DB" id="{149FD1D1-75EE-46E4-AC50-3F0845FFF6F6}">
            <xm:f>NOT(ISERROR(SEARCH("DB",'TC1'!E15)))</xm:f>
            <x14:dxf>
              <font>
                <color rgb="FF006100"/>
              </font>
              <fill>
                <patternFill>
                  <bgColor rgb="FFC6EFCE"/>
                </patternFill>
              </fill>
            </x14:dxf>
          </x14:cfRule>
          <x14:cfRule type="containsText" priority="7437" operator="containsText" text="WEB SERVICE" id="{7E9295D2-F851-42C9-A3FB-3BF066028C7A}">
            <xm:f>NOT(ISERROR(SEARCH("WEB SERVICE",'TC1'!E15)))</xm:f>
            <x14:dxf>
              <font>
                <color rgb="FF9C0006"/>
              </font>
              <fill>
                <patternFill>
                  <bgColor rgb="FFFFC7CE"/>
                </patternFill>
              </fill>
            </x14:dxf>
          </x14:cfRule>
          <xm:sqref>E16</xm:sqref>
        </x14:conditionalFormatting>
        <x14:conditionalFormatting xmlns:xm="http://schemas.microsoft.com/office/excel/2006/main">
          <x14:cfRule type="containsText" priority="9974" operator="containsText" text="Hear" id="{BCAA46BC-3029-4A71-B478-04C758B669D0}">
            <xm:f>NOT(ISERROR(SEARCH("Hear",'TC26'!#REF!)))</xm:f>
            <x14:dxf>
              <font>
                <color theme="9" tint="-0.24994659260841701"/>
              </font>
              <fill>
                <patternFill>
                  <bgColor theme="9" tint="0.59996337778862885"/>
                </patternFill>
              </fill>
            </x14:dxf>
          </x14:cfRule>
          <xm:sqref>B39</xm:sqref>
        </x14:conditionalFormatting>
      </x14:conditionalFormattings>
    </ext>
  </extLst>
</worksheet>
</file>

<file path=xl/worksheets/sheet1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C00-000000000000}">
  <sheetPr codeName="Sheet110"/>
  <dimension ref="A1:E44"/>
  <sheetViews>
    <sheetView zoomScaleNormal="100" workbookViewId="0">
      <selection sqref="A1:E44"/>
    </sheetView>
  </sheetViews>
  <sheetFormatPr defaultRowHeight="14.5" x14ac:dyDescent="0.35"/>
  <cols>
    <col min="1" max="1" width="14.453125" bestFit="1" customWidth="1"/>
    <col min="2" max="2" width="42.6328125" customWidth="1"/>
    <col min="3" max="3" width="106.1796875" customWidth="1"/>
    <col min="4" max="4" width="21.81640625" bestFit="1" customWidth="1"/>
    <col min="5" max="5" width="20.6328125" customWidth="1"/>
  </cols>
  <sheetData>
    <row r="1" spans="1:5" ht="18.5" x14ac:dyDescent="0.35">
      <c r="A1" s="192" t="s">
        <v>4</v>
      </c>
      <c r="B1" s="192"/>
      <c r="C1" s="105"/>
      <c r="D1" s="111"/>
      <c r="E1" s="97"/>
    </row>
    <row r="2" spans="1:5" x14ac:dyDescent="0.35">
      <c r="A2" s="106" t="s">
        <v>5</v>
      </c>
      <c r="B2" s="107" t="str">
        <f ca="1">MID(CELL("filename",A1),FIND("]",CELL("filename",A1))+1,LEN(CELL("filename",A1))-FIND("]",CELL("filename",A1)))</f>
        <v>TC108</v>
      </c>
      <c r="C2" s="98"/>
      <c r="D2" s="111"/>
      <c r="E2" s="97"/>
    </row>
    <row r="3" spans="1:5" x14ac:dyDescent="0.35">
      <c r="A3" s="104" t="s">
        <v>19</v>
      </c>
      <c r="B3" s="112">
        <f ca="1">VLOOKUP(B2,Table53[#All],2,FALSE)</f>
        <v>0</v>
      </c>
      <c r="C3" s="98"/>
      <c r="D3" s="111"/>
      <c r="E3" s="97"/>
    </row>
    <row r="4" spans="1:5" ht="29" x14ac:dyDescent="0.35">
      <c r="A4" s="113" t="s">
        <v>20</v>
      </c>
      <c r="B4" s="99">
        <f ca="1">VLOOKUP(B2,Table53[#All],4,FALSE)</f>
        <v>0</v>
      </c>
      <c r="C4" s="98"/>
      <c r="D4" s="111"/>
      <c r="E4" s="97"/>
    </row>
    <row r="5" spans="1:5" x14ac:dyDescent="0.35">
      <c r="A5" s="104" t="s">
        <v>6</v>
      </c>
      <c r="B5" s="77">
        <f ca="1">VLOOKUP(B2,Table53[#All],3,FALSE)</f>
        <v>0</v>
      </c>
      <c r="C5" s="98"/>
      <c r="D5" s="111"/>
      <c r="E5" s="97"/>
    </row>
    <row r="6" spans="1:5" x14ac:dyDescent="0.35">
      <c r="A6" s="97"/>
      <c r="B6" s="97"/>
      <c r="C6" s="98"/>
      <c r="D6" s="111"/>
      <c r="E6" s="97"/>
    </row>
    <row r="7" spans="1:5" ht="15.5" x14ac:dyDescent="0.35">
      <c r="A7" s="100" t="s">
        <v>7</v>
      </c>
      <c r="B7" s="101" t="s">
        <v>8</v>
      </c>
      <c r="C7" s="102" t="s">
        <v>9</v>
      </c>
      <c r="D7" s="102" t="s">
        <v>14</v>
      </c>
      <c r="E7" s="103" t="s">
        <v>10</v>
      </c>
    </row>
    <row r="8" spans="1:5" x14ac:dyDescent="0.35">
      <c r="A8" s="118">
        <v>1</v>
      </c>
      <c r="B8" s="114" t="s">
        <v>114</v>
      </c>
      <c r="C8" s="109" t="s">
        <v>125</v>
      </c>
      <c r="D8" s="128"/>
      <c r="E8" s="125" t="s">
        <v>11</v>
      </c>
    </row>
    <row r="9" spans="1:5" x14ac:dyDescent="0.35">
      <c r="A9" s="118">
        <v>2</v>
      </c>
      <c r="B9" s="114" t="s">
        <v>12</v>
      </c>
      <c r="C9" s="109" t="e">
        <f>VLOOKUP(Table257519913140103[[#This Row],[PEG]],Table1016[#All],2,FALSE)</f>
        <v>#N/A</v>
      </c>
      <c r="D9" s="128"/>
      <c r="E9" s="125" t="e">
        <f>VLOOKUP(Table257519913140103[[#This Row],[PEG]],Table1016[#All],3,FALSE)</f>
        <v>#N/A</v>
      </c>
    </row>
    <row r="10" spans="1:5" x14ac:dyDescent="0.35">
      <c r="A10" s="118">
        <v>3</v>
      </c>
      <c r="B10" s="114" t="s">
        <v>115</v>
      </c>
      <c r="C10" s="109" t="e">
        <f>VLOOKUP(Table257519913140103[[#This Row],[PEG]],Table1016[#All],2,FALSE)</f>
        <v>#N/A</v>
      </c>
      <c r="D10" s="128"/>
      <c r="E10" s="125" t="e">
        <f>VLOOKUP(Table257519913140103[[#This Row],[PEG]],Table1016[#All],3,FALSE)</f>
        <v>#N/A</v>
      </c>
    </row>
    <row r="11" spans="1:5" x14ac:dyDescent="0.35">
      <c r="A11" s="118">
        <v>4</v>
      </c>
      <c r="B11" s="114" t="s">
        <v>115</v>
      </c>
      <c r="C11" s="109" t="e">
        <f>VLOOKUP(Table257519913140103[[#This Row],[PEG]],Table1016[#All],2,FALSE)</f>
        <v>#N/A</v>
      </c>
      <c r="D11" s="128"/>
      <c r="E11" s="125" t="e">
        <f>VLOOKUP(Table257519913140103[[#This Row],[PEG]],Table1016[#All],3,FALSE)</f>
        <v>#N/A</v>
      </c>
    </row>
    <row r="12" spans="1:5" x14ac:dyDescent="0.35">
      <c r="A12" s="118">
        <v>5</v>
      </c>
      <c r="B12" s="114" t="s">
        <v>114</v>
      </c>
      <c r="C12" s="109" t="e">
        <f>VLOOKUP(Table257519913140103[[#This Row],[PEG]],Table1016[#All],2,FALSE)</f>
        <v>#N/A</v>
      </c>
      <c r="D12" s="128"/>
      <c r="E12" s="125" t="e">
        <f>VLOOKUP(Table257519913140103[[#This Row],[PEG]],Table1016[#All],3,FALSE)</f>
        <v>#N/A</v>
      </c>
    </row>
    <row r="13" spans="1:5" x14ac:dyDescent="0.35">
      <c r="A13" s="118">
        <v>6</v>
      </c>
      <c r="B13" s="114" t="s">
        <v>115</v>
      </c>
      <c r="C13" s="109" t="e">
        <f>VLOOKUP(Table257519913140103[[#This Row],[PEG]],Table1016[#All],2,FALSE)</f>
        <v>#N/A</v>
      </c>
      <c r="D13" s="128"/>
      <c r="E13" s="125" t="e">
        <f>VLOOKUP(Table257519913140103[[#This Row],[PEG]],Table1016[#All],3,FALSE)</f>
        <v>#N/A</v>
      </c>
    </row>
    <row r="14" spans="1:5" x14ac:dyDescent="0.35">
      <c r="A14" s="118">
        <v>7</v>
      </c>
      <c r="B14" s="114" t="s">
        <v>114</v>
      </c>
      <c r="C14" s="109" t="e">
        <f>VLOOKUP(Table257519913140103[[#This Row],[PEG]],Table1016[#All],2,FALSE)</f>
        <v>#N/A</v>
      </c>
      <c r="D14" s="128"/>
      <c r="E14" s="125" t="e">
        <f>VLOOKUP(Table257519913140103[[#This Row],[PEG]],Table1016[#All],3,FALSE)</f>
        <v>#N/A</v>
      </c>
    </row>
    <row r="15" spans="1:5" x14ac:dyDescent="0.35">
      <c r="A15" s="118">
        <v>8</v>
      </c>
      <c r="B15" s="114" t="s">
        <v>115</v>
      </c>
      <c r="C15" s="109" t="e">
        <f>VLOOKUP(Table257519913140103[[#This Row],[PEG]],Table1016[#All],2,FALSE)</f>
        <v>#N/A</v>
      </c>
      <c r="D15" s="116"/>
      <c r="E15" s="125" t="e">
        <f>VLOOKUP(Table257519913140103[[#This Row],[PEG]],Table1016[#All],3,FALSE)</f>
        <v>#N/A</v>
      </c>
    </row>
    <row r="16" spans="1:5" x14ac:dyDescent="0.35">
      <c r="A16" s="118">
        <v>9</v>
      </c>
      <c r="B16" s="114" t="s">
        <v>12</v>
      </c>
      <c r="C16" s="109" t="e">
        <f>VLOOKUP(Table257519913140103[[#This Row],[PEG]],Table1016[#All],2,FALSE)</f>
        <v>#N/A</v>
      </c>
      <c r="D16" s="116"/>
      <c r="E16" s="125" t="e">
        <f>VLOOKUP(Table257519913140103[[#This Row],[PEG]],Table1016[#All],3,FALSE)</f>
        <v>#N/A</v>
      </c>
    </row>
    <row r="17" spans="1:5" x14ac:dyDescent="0.35">
      <c r="A17" s="118">
        <v>10</v>
      </c>
      <c r="B17" s="114" t="s">
        <v>12</v>
      </c>
      <c r="C17" s="109" t="e">
        <f>VLOOKUP(Table257519913140103[[#This Row],[PEG]],Table1016[#All],2,FALSE)</f>
        <v>#N/A</v>
      </c>
      <c r="D17" s="117"/>
      <c r="E17" s="125" t="e">
        <f>VLOOKUP(Table257519913140103[[#This Row],[PEG]],Table1016[#All],3,FALSE)</f>
        <v>#N/A</v>
      </c>
    </row>
    <row r="18" spans="1:5" x14ac:dyDescent="0.35">
      <c r="A18" s="118">
        <v>11</v>
      </c>
      <c r="B18" s="114" t="s">
        <v>115</v>
      </c>
      <c r="C18" s="109" t="e">
        <f>VLOOKUP(Table257519913140103[[#This Row],[PEG]],Table1016[#All],2,FALSE)</f>
        <v>#N/A</v>
      </c>
      <c r="D18" s="117"/>
      <c r="E18" s="125" t="e">
        <f>VLOOKUP(Table257519913140103[[#This Row],[PEG]],Table1016[#All],3,FALSE)</f>
        <v>#N/A</v>
      </c>
    </row>
    <row r="19" spans="1:5" x14ac:dyDescent="0.35">
      <c r="A19" s="118">
        <v>12</v>
      </c>
      <c r="B19" s="114" t="s">
        <v>115</v>
      </c>
      <c r="C19" s="109" t="e">
        <f>VLOOKUP(Table257519913140103[[#This Row],[PEG]],Table1016[#All],2,FALSE)</f>
        <v>#N/A</v>
      </c>
      <c r="D19" s="117"/>
      <c r="E19" s="125" t="e">
        <f>VLOOKUP(Table257519913140103[[#This Row],[PEG]],Table1016[#All],3,FALSE)</f>
        <v>#N/A</v>
      </c>
    </row>
    <row r="20" spans="1:5" x14ac:dyDescent="0.35">
      <c r="A20" s="118">
        <v>13</v>
      </c>
      <c r="B20" s="114" t="s">
        <v>114</v>
      </c>
      <c r="C20" s="109" t="e">
        <f>VLOOKUP(Table257519913140103[[#This Row],[PEG]],Table1016[#All],2,FALSE)</f>
        <v>#N/A</v>
      </c>
      <c r="D20" s="117"/>
      <c r="E20" s="125" t="e">
        <f>VLOOKUP(Table257519913140103[[#This Row],[PEG]],Table1016[#All],3,FALSE)</f>
        <v>#N/A</v>
      </c>
    </row>
    <row r="21" spans="1:5" x14ac:dyDescent="0.35">
      <c r="A21" s="118">
        <v>14</v>
      </c>
      <c r="B21" s="114" t="s">
        <v>12</v>
      </c>
      <c r="C21" s="109" t="e">
        <f>VLOOKUP(Table257519913140103[[#This Row],[PEG]],Table1016[#All],2,FALSE)</f>
        <v>#N/A</v>
      </c>
      <c r="D21" s="117"/>
      <c r="E21" s="125" t="e">
        <f>VLOOKUP(Table257519913140103[[#This Row],[PEG]],Table1016[#All],3,FALSE)</f>
        <v>#N/A</v>
      </c>
    </row>
    <row r="22" spans="1:5" x14ac:dyDescent="0.35">
      <c r="A22" s="118">
        <v>15</v>
      </c>
      <c r="B22" s="114" t="s">
        <v>12</v>
      </c>
      <c r="C22" s="109" t="e">
        <f>VLOOKUP(Table257519913140103[[#This Row],[PEG]],Table1016[#All],2,FALSE)</f>
        <v>#N/A</v>
      </c>
      <c r="D22" s="117"/>
      <c r="E22" s="125" t="e">
        <f>VLOOKUP(Table257519913140103[[#This Row],[PEG]],Table1016[#All],3,FALSE)</f>
        <v>#N/A</v>
      </c>
    </row>
    <row r="23" spans="1:5" x14ac:dyDescent="0.35">
      <c r="A23" s="118">
        <v>16</v>
      </c>
      <c r="B23" s="114" t="s">
        <v>115</v>
      </c>
      <c r="C23" s="109" t="e">
        <f>VLOOKUP(Table257519913140103[[#This Row],[PEG]],Table1016[#All],2,FALSE)</f>
        <v>#N/A</v>
      </c>
      <c r="D23" s="117"/>
      <c r="E23" s="125" t="e">
        <f>VLOOKUP(Table257519913140103[[#This Row],[PEG]],Table1016[#All],3,FALSE)</f>
        <v>#N/A</v>
      </c>
    </row>
    <row r="24" spans="1:5" x14ac:dyDescent="0.35">
      <c r="A24" s="118">
        <v>17</v>
      </c>
      <c r="B24" s="114" t="s">
        <v>114</v>
      </c>
      <c r="C24" s="109" t="e">
        <f>VLOOKUP(Table257519913140103[[#This Row],[PEG]],Table1016[#All],2,FALSE)</f>
        <v>#N/A</v>
      </c>
      <c r="D24" s="117"/>
      <c r="E24" s="125" t="e">
        <f>VLOOKUP(Table257519913140103[[#This Row],[PEG]],Table1016[#All],3,FALSE)</f>
        <v>#N/A</v>
      </c>
    </row>
    <row r="25" spans="1:5" x14ac:dyDescent="0.35">
      <c r="A25" s="118">
        <v>18</v>
      </c>
      <c r="B25" s="114" t="s">
        <v>12</v>
      </c>
      <c r="C25" s="109" t="e">
        <f>VLOOKUP(Table257519913140103[[#This Row],[PEG]],Table1016[#All],2,FALSE)</f>
        <v>#N/A</v>
      </c>
      <c r="D25" s="117"/>
      <c r="E25" s="125" t="e">
        <f>VLOOKUP(Table257519913140103[[#This Row],[PEG]],Table1016[#All],3,FALSE)</f>
        <v>#N/A</v>
      </c>
    </row>
    <row r="26" spans="1:5" x14ac:dyDescent="0.35">
      <c r="A26" s="118">
        <v>19</v>
      </c>
      <c r="B26" s="114" t="s">
        <v>12</v>
      </c>
      <c r="C26" s="109" t="e">
        <f>VLOOKUP(Table257519913140103[[#This Row],[PEG]],Table1016[#All],2,FALSE)</f>
        <v>#N/A</v>
      </c>
      <c r="D26" s="117"/>
      <c r="E26" s="125" t="e">
        <f>VLOOKUP(Table257519913140103[[#This Row],[PEG]],Table1016[#All],3,FALSE)</f>
        <v>#N/A</v>
      </c>
    </row>
    <row r="27" spans="1:5" x14ac:dyDescent="0.35">
      <c r="A27" s="118">
        <v>20</v>
      </c>
      <c r="B27" s="114" t="s">
        <v>115</v>
      </c>
      <c r="C27" s="109" t="e">
        <f>VLOOKUP(Table257519913140103[[#This Row],[PEG]],Table1016[#All],2,FALSE)</f>
        <v>#N/A</v>
      </c>
      <c r="D27" s="117"/>
      <c r="E27" s="125" t="e">
        <f>VLOOKUP(Table257519913140103[[#This Row],[PEG]],Table1016[#All],3,FALSE)</f>
        <v>#N/A</v>
      </c>
    </row>
    <row r="28" spans="1:5" x14ac:dyDescent="0.35">
      <c r="A28" s="118">
        <v>21</v>
      </c>
      <c r="B28" s="114" t="s">
        <v>114</v>
      </c>
      <c r="C28" s="109" t="e">
        <f>VLOOKUP(Table257519913140103[[#This Row],[PEG]],Table1016[#All],2,FALSE)</f>
        <v>#N/A</v>
      </c>
      <c r="D28" s="117"/>
      <c r="E28" s="125" t="e">
        <f>VLOOKUP(Table257519913140103[[#This Row],[PEG]],Table1016[#All],3,FALSE)</f>
        <v>#N/A</v>
      </c>
    </row>
    <row r="29" spans="1:5" x14ac:dyDescent="0.35">
      <c r="A29" s="118">
        <v>22</v>
      </c>
      <c r="B29" s="114" t="s">
        <v>12</v>
      </c>
      <c r="C29" s="109" t="e">
        <f>VLOOKUP(Table257519913140103[[#This Row],[PEG]],Table1016[#All],2,FALSE)</f>
        <v>#N/A</v>
      </c>
      <c r="D29" s="117"/>
      <c r="E29" s="125" t="e">
        <f>VLOOKUP(Table257519913140103[[#This Row],[PEG]],Table1016[#All],3,FALSE)</f>
        <v>#N/A</v>
      </c>
    </row>
    <row r="30" spans="1:5" x14ac:dyDescent="0.35">
      <c r="A30" s="118">
        <v>23</v>
      </c>
      <c r="B30" s="114" t="s">
        <v>12</v>
      </c>
      <c r="C30" s="109" t="e">
        <f>VLOOKUP(Table257519913140103[[#This Row],[PEG]],Table1016[#All],2,FALSE)</f>
        <v>#N/A</v>
      </c>
      <c r="D30" s="117"/>
      <c r="E30" s="125" t="e">
        <f>VLOOKUP(Table257519913140103[[#This Row],[PEG]],Table1016[#All],3,FALSE)</f>
        <v>#N/A</v>
      </c>
    </row>
    <row r="31" spans="1:5" x14ac:dyDescent="0.35">
      <c r="A31" s="118">
        <v>24</v>
      </c>
      <c r="B31" s="114" t="s">
        <v>115</v>
      </c>
      <c r="C31" s="109" t="e">
        <f>VLOOKUP(Table257519913140103[[#This Row],[PEG]],Table1016[#All],2,FALSE)</f>
        <v>#N/A</v>
      </c>
      <c r="D31" s="117"/>
      <c r="E31" s="125" t="e">
        <f>VLOOKUP(Table257519913140103[[#This Row],[PEG]],Table1016[#All],3,FALSE)</f>
        <v>#N/A</v>
      </c>
    </row>
    <row r="32" spans="1:5" x14ac:dyDescent="0.35">
      <c r="A32" s="118">
        <v>25</v>
      </c>
      <c r="B32" s="114" t="s">
        <v>115</v>
      </c>
      <c r="C32" s="109" t="e">
        <f>VLOOKUP(Table257519913140103[[#This Row],[PEG]],Table1016[#All],2,FALSE)</f>
        <v>#N/A</v>
      </c>
      <c r="D32" s="117"/>
      <c r="E32" s="125" t="e">
        <f>VLOOKUP(Table257519913140103[[#This Row],[PEG]],Table1016[#All],3,FALSE)</f>
        <v>#N/A</v>
      </c>
    </row>
    <row r="33" spans="1:5" x14ac:dyDescent="0.35">
      <c r="A33" s="118">
        <v>26</v>
      </c>
      <c r="B33" s="114" t="s">
        <v>124</v>
      </c>
      <c r="C33" s="109" t="e">
        <f>VLOOKUP(Table257519913140103[[#This Row],[PEG]],Table1016[#All],2,FALSE)</f>
        <v>#N/A</v>
      </c>
      <c r="D33" s="117"/>
      <c r="E33" s="125" t="e">
        <f>VLOOKUP(Table257519913140103[[#This Row],[PEG]],Table1016[#All],3,FALSE)</f>
        <v>#N/A</v>
      </c>
    </row>
    <row r="34" spans="1:5" x14ac:dyDescent="0.35">
      <c r="A34" s="118">
        <v>27</v>
      </c>
      <c r="B34" s="114" t="s">
        <v>115</v>
      </c>
      <c r="C34" s="109" t="e">
        <f>VLOOKUP(Table257519913140103[[#This Row],[PEG]],Table1016[#All],2,FALSE)</f>
        <v>#N/A</v>
      </c>
      <c r="D34" s="117"/>
      <c r="E34" s="125" t="e">
        <f>VLOOKUP(Table257519913140103[[#This Row],[PEG]],Table1016[#All],3,FALSE)</f>
        <v>#N/A</v>
      </c>
    </row>
    <row r="35" spans="1:5" x14ac:dyDescent="0.35">
      <c r="A35" s="118">
        <v>28</v>
      </c>
      <c r="B35" s="114" t="s">
        <v>124</v>
      </c>
      <c r="C35" s="109" t="e">
        <f>VLOOKUP(Table257519913140103[[#This Row],[PEG]],Table1016[#All],2,FALSE)</f>
        <v>#N/A</v>
      </c>
      <c r="D35" s="117"/>
      <c r="E35" s="125" t="e">
        <f>VLOOKUP(Table257519913140103[[#This Row],[PEG]],Table1016[#All],3,FALSE)</f>
        <v>#N/A</v>
      </c>
    </row>
    <row r="36" spans="1:5" x14ac:dyDescent="0.35">
      <c r="A36" s="118">
        <v>29</v>
      </c>
      <c r="B36" s="114" t="s">
        <v>115</v>
      </c>
      <c r="C36" s="109" t="e">
        <f>VLOOKUP(Table257519913140103[[#This Row],[PEG]],Table1016[#All],2,FALSE)</f>
        <v>#N/A</v>
      </c>
      <c r="D36" s="117"/>
      <c r="E36" s="125" t="e">
        <f>VLOOKUP(Table257519913140103[[#This Row],[PEG]],Table1016[#All],3,FALSE)</f>
        <v>#N/A</v>
      </c>
    </row>
    <row r="37" spans="1:5" x14ac:dyDescent="0.35">
      <c r="A37" s="118">
        <v>30</v>
      </c>
      <c r="B37" s="114" t="s">
        <v>12</v>
      </c>
      <c r="C37" s="109" t="e">
        <f>VLOOKUP(Table257519913140103[[#This Row],[PEG]],Table1016[#All],2,FALSE)</f>
        <v>#N/A</v>
      </c>
      <c r="D37" s="117"/>
      <c r="E37" s="125" t="e">
        <f>VLOOKUP(Table257519913140103[[#This Row],[PEG]],Table1016[#All],3,FALSE)</f>
        <v>#N/A</v>
      </c>
    </row>
    <row r="38" spans="1:5" x14ac:dyDescent="0.35">
      <c r="A38" s="118">
        <v>31</v>
      </c>
      <c r="B38" s="114" t="s">
        <v>12</v>
      </c>
      <c r="C38" s="109" t="e">
        <f>VLOOKUP(Table257519913140103[[#This Row],[PEG]],Table1016[#All],2,FALSE)</f>
        <v>#N/A</v>
      </c>
      <c r="D38" s="117"/>
      <c r="E38" s="125" t="e">
        <f>VLOOKUP(Table257519913140103[[#This Row],[PEG]],Table1016[#All],3,FALSE)</f>
        <v>#N/A</v>
      </c>
    </row>
    <row r="39" spans="1:5" x14ac:dyDescent="0.35">
      <c r="A39" s="118">
        <v>32</v>
      </c>
      <c r="B39" s="114" t="s">
        <v>12</v>
      </c>
      <c r="C39" s="109" t="e">
        <f>VLOOKUP(Table257519913140103[[#This Row],[PEG]],Table1016[#All],2,FALSE)</f>
        <v>#N/A</v>
      </c>
      <c r="D39" s="117"/>
      <c r="E39" s="125" t="e">
        <f>VLOOKUP(Table257519913140103[[#This Row],[PEG]],Table1016[#All],3,FALSE)</f>
        <v>#N/A</v>
      </c>
    </row>
    <row r="40" spans="1:5" x14ac:dyDescent="0.35">
      <c r="A40" s="118">
        <v>33</v>
      </c>
      <c r="B40" s="114" t="s">
        <v>12</v>
      </c>
      <c r="C40" s="109" t="e">
        <f>VLOOKUP(Table257519913140103[[#This Row],[PEG]],Table1016[#All],2,FALSE)</f>
        <v>#N/A</v>
      </c>
      <c r="D40" s="117"/>
      <c r="E40" s="125" t="e">
        <f>VLOOKUP(Table257519913140103[[#This Row],[PEG]],Table1016[#All],3,FALSE)</f>
        <v>#N/A</v>
      </c>
    </row>
    <row r="41" spans="1:5" x14ac:dyDescent="0.35">
      <c r="A41" s="118">
        <v>34</v>
      </c>
      <c r="B41" s="114" t="s">
        <v>115</v>
      </c>
      <c r="C41" s="109" t="e">
        <f>VLOOKUP(Table257519913140103[[#This Row],[PEG]],Table1016[#All],2,FALSE)</f>
        <v>#N/A</v>
      </c>
      <c r="D41" s="117"/>
      <c r="E41" s="125" t="e">
        <f>VLOOKUP(Table257519913140103[[#This Row],[PEG]],Table1016[#All],3,FALSE)</f>
        <v>#N/A</v>
      </c>
    </row>
    <row r="42" spans="1:5" x14ac:dyDescent="0.35">
      <c r="A42" s="118">
        <v>35</v>
      </c>
      <c r="B42" s="114" t="s">
        <v>12</v>
      </c>
      <c r="C42" s="109" t="e">
        <f>VLOOKUP(Table257519913140103[[#This Row],[PEG]],Table1016[#All],2,FALSE)</f>
        <v>#N/A</v>
      </c>
      <c r="D42" s="115"/>
      <c r="E42" s="125" t="e">
        <f>VLOOKUP(Table257519913140103[[#This Row],[PEG]],Table1016[#All],3,FALSE)</f>
        <v>#N/A</v>
      </c>
    </row>
    <row r="43" spans="1:5" x14ac:dyDescent="0.35">
      <c r="A43" s="118">
        <v>36</v>
      </c>
      <c r="B43" s="114" t="s">
        <v>115</v>
      </c>
      <c r="C43" s="109" t="e">
        <f>VLOOKUP(Table257519913140103[[#This Row],[PEG]],Table1016[#All],2,FALSE)</f>
        <v>#N/A</v>
      </c>
      <c r="D43" s="115"/>
      <c r="E43" s="125" t="e">
        <f>VLOOKUP(Table257519913140103[[#This Row],[PEG]],Table1016[#All],3,FALSE)</f>
        <v>#N/A</v>
      </c>
    </row>
    <row r="44" spans="1:5" x14ac:dyDescent="0.35">
      <c r="A44" s="118">
        <v>37</v>
      </c>
      <c r="B44" s="114" t="s">
        <v>13</v>
      </c>
      <c r="C44" s="18" t="s">
        <v>13</v>
      </c>
      <c r="D44" s="115"/>
      <c r="E44" s="32"/>
    </row>
  </sheetData>
  <mergeCells count="1">
    <mergeCell ref="A1:B1"/>
  </mergeCells>
  <conditionalFormatting sqref="B8:B18">
    <cfRule type="containsText" dxfId="2473" priority="1" operator="containsText" text="Hear">
      <formula>NOT(ISERROR(SEARCH("Hear",B8)))</formula>
    </cfRule>
  </conditionalFormatting>
  <conditionalFormatting sqref="B30">
    <cfRule type="containsText" dxfId="2472" priority="4" operator="containsText" text="Hear">
      <formula>NOT(ISERROR(SEARCH("Hear",B30)))</formula>
    </cfRule>
  </conditionalFormatting>
  <conditionalFormatting sqref="B43:B44">
    <cfRule type="containsText" dxfId="2471" priority="14" operator="containsText" text="Hear">
      <formula>NOT(ISERROR(SEARCH("Hear",B43)))</formula>
    </cfRule>
  </conditionalFormatting>
  <conditionalFormatting sqref="E44">
    <cfRule type="containsText" dxfId="2470" priority="12" operator="containsText" text="WEB SERVICE">
      <formula>NOT(ISERROR(SEARCH("WEB SERVICE",E44)))</formula>
    </cfRule>
    <cfRule type="containsText" dxfId="2469" priority="13" operator="containsText" text="DB">
      <formula>NOT(ISERROR(SEARCH("DB",E44)))</formula>
    </cfRule>
  </conditionalFormatting>
  <conditionalFormatting sqref="C44">
    <cfRule type="expression" dxfId="2468" priority="15">
      <formula>$B44="Dial"</formula>
    </cfRule>
    <cfRule type="expression" dxfId="2467" priority="17">
      <formula>$B44="HANGUP"</formula>
    </cfRule>
  </conditionalFormatting>
  <conditionalFormatting sqref="C44">
    <cfRule type="expression" dxfId="2466" priority="16">
      <formula>$B44="Speak"</formula>
    </cfRule>
  </conditionalFormatting>
  <conditionalFormatting sqref="B36:B38 B40:B41">
    <cfRule type="containsText" dxfId="2465" priority="3" operator="containsText" text="Hear">
      <formula>NOT(ISERROR(SEARCH("Hear",B36)))</formula>
    </cfRule>
  </conditionalFormatting>
  <conditionalFormatting sqref="B19:B29 B31:B35 B42">
    <cfRule type="containsText" dxfId="2464" priority="5" operator="containsText" text="Hear">
      <formula>NOT(ISERROR(SEARCH("Hear",B19)))</formula>
    </cfRule>
  </conditionalFormatting>
  <hyperlinks>
    <hyperlink ref="A1" location="'Test Case Overview'!A1" display="Return to Test Case Overview" xr:uid="{25D69FCC-FC93-459E-8E2A-DFCE9845E622}"/>
  </hyperlinks>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expression" priority="2" id="{423B8913-7136-4447-8301-67E59485398C}">
            <xm:f>'TC1'!$B8="Dial"</xm:f>
            <x14:dxf>
              <font>
                <b/>
                <i val="0"/>
                <color rgb="FFFF0000"/>
              </font>
            </x14:dxf>
          </x14:cfRule>
          <x14:cfRule type="expression" priority="18" id="{C948589A-6055-4406-8AAB-C2268A8D0C3D}">
            <xm:f>'TC1'!$B8="HANGUP"</xm:f>
            <x14:dxf>
              <font>
                <b/>
                <i val="0"/>
              </font>
            </x14:dxf>
          </x14:cfRule>
          <xm:sqref>C8</xm:sqref>
        </x14:conditionalFormatting>
        <x14:conditionalFormatting xmlns:xm="http://schemas.microsoft.com/office/excel/2006/main">
          <x14:cfRule type="expression" priority="19" id="{244E13D7-16C4-4F4A-90CA-234E1BEC259A}">
            <xm:f>'TC1'!$B8="Speak"</xm:f>
            <x14:dxf>
              <font>
                <b/>
                <i val="0"/>
                <color rgb="FFFF0000"/>
              </font>
            </x14:dxf>
          </x14:cfRule>
          <xm:sqref>C8</xm:sqref>
        </x14:conditionalFormatting>
        <x14:conditionalFormatting xmlns:xm="http://schemas.microsoft.com/office/excel/2006/main">
          <x14:cfRule type="containsText" priority="22" operator="containsText" text="Hear" id="{9C989A56-2516-48E7-A02B-C9E2DF3E2743}">
            <xm:f>NOT(ISERROR(SEARCH("Hear",'TC3'!B34)))</xm:f>
            <x14:dxf>
              <font>
                <color theme="9" tint="-0.24994659260841701"/>
              </font>
              <fill>
                <patternFill>
                  <bgColor theme="9" tint="0.59996337778862885"/>
                </patternFill>
              </fill>
            </x14:dxf>
          </x14:cfRule>
          <xm:sqref>B41</xm:sqref>
        </x14:conditionalFormatting>
        <x14:conditionalFormatting xmlns:xm="http://schemas.microsoft.com/office/excel/2006/main">
          <x14:cfRule type="expression" priority="2423" id="{423B8913-7136-4447-8301-67E59485398C}">
            <xm:f>'TC1'!$B16="Dial"</xm:f>
            <x14:dxf>
              <font>
                <b/>
                <i val="0"/>
                <color rgb="FFFF0000"/>
              </font>
            </x14:dxf>
          </x14:cfRule>
          <x14:cfRule type="expression" priority="2424" id="{C948589A-6055-4406-8AAB-C2268A8D0C3D}">
            <xm:f>'TC1'!$B16="HANGUP"</xm:f>
            <x14:dxf>
              <font>
                <b/>
                <i val="0"/>
              </font>
            </x14:dxf>
          </x14:cfRule>
          <xm:sqref>C34:C43</xm:sqref>
        </x14:conditionalFormatting>
        <x14:conditionalFormatting xmlns:xm="http://schemas.microsoft.com/office/excel/2006/main">
          <x14:cfRule type="expression" priority="2425" id="{423B8913-7136-4447-8301-67E59485398C}">
            <xm:f>'TC1'!#REF!="Dial"</xm:f>
            <x14:dxf>
              <font>
                <b/>
                <i val="0"/>
                <color rgb="FFFF0000"/>
              </font>
            </x14:dxf>
          </x14:cfRule>
          <x14:cfRule type="expression" priority="2426" id="{C948589A-6055-4406-8AAB-C2268A8D0C3D}">
            <xm:f>'TC1'!#REF!="HANGUP"</xm:f>
            <x14:dxf>
              <font>
                <b/>
                <i val="0"/>
              </font>
            </x14:dxf>
          </x14:cfRule>
          <xm:sqref>C17:C33</xm:sqref>
        </x14:conditionalFormatting>
        <x14:conditionalFormatting xmlns:xm="http://schemas.microsoft.com/office/excel/2006/main">
          <x14:cfRule type="expression" priority="2430" id="{244E13D7-16C4-4F4A-90CA-234E1BEC259A}">
            <xm:f>'TC1'!$B16="Speak"</xm:f>
            <x14:dxf>
              <font>
                <b/>
                <i val="0"/>
                <color rgb="FFFF0000"/>
              </font>
            </x14:dxf>
          </x14:cfRule>
          <xm:sqref>C34:C43</xm:sqref>
        </x14:conditionalFormatting>
        <x14:conditionalFormatting xmlns:xm="http://schemas.microsoft.com/office/excel/2006/main">
          <x14:cfRule type="expression" priority="2431" id="{244E13D7-16C4-4F4A-90CA-234E1BEC259A}">
            <xm:f>'TC1'!#REF!="Speak"</xm:f>
            <x14:dxf>
              <font>
                <b/>
                <i val="0"/>
                <color rgb="FFFF0000"/>
              </font>
            </x14:dxf>
          </x14:cfRule>
          <xm:sqref>C17:C33</xm:sqref>
        </x14:conditionalFormatting>
        <x14:conditionalFormatting xmlns:xm="http://schemas.microsoft.com/office/excel/2006/main">
          <x14:cfRule type="containsText" priority="2435" operator="containsText" text="DB" id="{865CD895-3E5C-49FA-AAE4-01DEE3C7415F}">
            <xm:f>NOT(ISERROR(SEARCH("DB",'TC1'!E16)))</xm:f>
            <x14:dxf>
              <font>
                <color rgb="FF006100"/>
              </font>
              <fill>
                <patternFill>
                  <bgColor rgb="FFC6EFCE"/>
                </patternFill>
              </fill>
            </x14:dxf>
          </x14:cfRule>
          <x14:cfRule type="containsText" priority="2436" operator="containsText" text="WEB SERVICE" id="{321DC2B0-DF71-418A-8CEA-09B04EBCB1C4}">
            <xm:f>NOT(ISERROR(SEARCH("WEB SERVICE",'TC1'!E16)))</xm:f>
            <x14:dxf>
              <font>
                <color rgb="FF9C0006"/>
              </font>
              <fill>
                <patternFill>
                  <bgColor rgb="FFFFC7CE"/>
                </patternFill>
              </fill>
            </x14:dxf>
          </x14:cfRule>
          <xm:sqref>E34:E43</xm:sqref>
        </x14:conditionalFormatting>
        <x14:conditionalFormatting xmlns:xm="http://schemas.microsoft.com/office/excel/2006/main">
          <x14:cfRule type="containsText" priority="2437" operator="containsText" text="DB" id="{865CD895-3E5C-49FA-AAE4-01DEE3C7415F}">
            <xm:f>NOT(ISERROR(SEARCH("DB",'TC1'!#REF!)))</xm:f>
            <x14:dxf>
              <font>
                <color rgb="FF006100"/>
              </font>
              <fill>
                <patternFill>
                  <bgColor rgb="FFC6EFCE"/>
                </patternFill>
              </fill>
            </x14:dxf>
          </x14:cfRule>
          <x14:cfRule type="containsText" priority="2438" operator="containsText" text="WEB SERVICE" id="{321DC2B0-DF71-418A-8CEA-09B04EBCB1C4}">
            <xm:f>NOT(ISERROR(SEARCH("WEB SERVICE",'TC1'!#REF!)))</xm:f>
            <x14:dxf>
              <font>
                <color rgb="FF9C0006"/>
              </font>
              <fill>
                <patternFill>
                  <bgColor rgb="FFFFC7CE"/>
                </patternFill>
              </fill>
            </x14:dxf>
          </x14:cfRule>
          <xm:sqref>E17:E33</xm:sqref>
        </x14:conditionalFormatting>
        <x14:conditionalFormatting xmlns:xm="http://schemas.microsoft.com/office/excel/2006/main">
          <x14:cfRule type="expression" priority="5119" id="{423B8913-7136-4447-8301-67E59485398C}">
            <xm:f>'TC1'!$B9="Dial"</xm:f>
            <x14:dxf>
              <font>
                <b/>
                <i val="0"/>
                <color rgb="FFFF0000"/>
              </font>
            </x14:dxf>
          </x14:cfRule>
          <x14:cfRule type="expression" priority="5120" id="{C948589A-6055-4406-8AAB-C2268A8D0C3D}">
            <xm:f>'TC1'!$B9="HANGUP"</xm:f>
            <x14:dxf>
              <font>
                <b/>
                <i val="0"/>
              </font>
            </x14:dxf>
          </x14:cfRule>
          <xm:sqref>C12:C15</xm:sqref>
        </x14:conditionalFormatting>
        <x14:conditionalFormatting xmlns:xm="http://schemas.microsoft.com/office/excel/2006/main">
          <x14:cfRule type="expression" priority="5121" id="{423B8913-7136-4447-8301-67E59485398C}">
            <xm:f>'TC1'!#REF!="Dial"</xm:f>
            <x14:dxf>
              <font>
                <b/>
                <i val="0"/>
                <color rgb="FFFF0000"/>
              </font>
            </x14:dxf>
          </x14:cfRule>
          <x14:cfRule type="expression" priority="5122" id="{C948589A-6055-4406-8AAB-C2268A8D0C3D}">
            <xm:f>'TC1'!#REF!="HANGUP"</xm:f>
            <x14:dxf>
              <font>
                <b/>
                <i val="0"/>
              </font>
            </x14:dxf>
          </x14:cfRule>
          <xm:sqref>C9:C11</xm:sqref>
        </x14:conditionalFormatting>
        <x14:conditionalFormatting xmlns:xm="http://schemas.microsoft.com/office/excel/2006/main">
          <x14:cfRule type="expression" priority="5126" id="{244E13D7-16C4-4F4A-90CA-234E1BEC259A}">
            <xm:f>'TC1'!$B9="Speak"</xm:f>
            <x14:dxf>
              <font>
                <b/>
                <i val="0"/>
                <color rgb="FFFF0000"/>
              </font>
            </x14:dxf>
          </x14:cfRule>
          <xm:sqref>C12:C15</xm:sqref>
        </x14:conditionalFormatting>
        <x14:conditionalFormatting xmlns:xm="http://schemas.microsoft.com/office/excel/2006/main">
          <x14:cfRule type="expression" priority="5127" id="{244E13D7-16C4-4F4A-90CA-234E1BEC259A}">
            <xm:f>'TC1'!#REF!="Speak"</xm:f>
            <x14:dxf>
              <font>
                <b/>
                <i val="0"/>
                <color rgb="FFFF0000"/>
              </font>
            </x14:dxf>
          </x14:cfRule>
          <xm:sqref>C9:C11</xm:sqref>
        </x14:conditionalFormatting>
        <x14:conditionalFormatting xmlns:xm="http://schemas.microsoft.com/office/excel/2006/main">
          <x14:cfRule type="containsText" priority="5129" operator="containsText" text="DB" id="{865CD895-3E5C-49FA-AAE4-01DEE3C7415F}">
            <xm:f>NOT(ISERROR(SEARCH("DB",'TC1'!#REF!)))</xm:f>
            <x14:dxf>
              <font>
                <color rgb="FF006100"/>
              </font>
              <fill>
                <patternFill>
                  <bgColor rgb="FFC6EFCE"/>
                </patternFill>
              </fill>
            </x14:dxf>
          </x14:cfRule>
          <x14:cfRule type="containsText" priority="5130" operator="containsText" text="WEB SERVICE" id="{321DC2B0-DF71-418A-8CEA-09B04EBCB1C4}">
            <xm:f>NOT(ISERROR(SEARCH("WEB SERVICE",'TC1'!#REF!)))</xm:f>
            <x14:dxf>
              <font>
                <color rgb="FF9C0006"/>
              </font>
              <fill>
                <patternFill>
                  <bgColor rgb="FFFFC7CE"/>
                </patternFill>
              </fill>
            </x14:dxf>
          </x14:cfRule>
          <xm:sqref>E9:E11</xm:sqref>
        </x14:conditionalFormatting>
        <x14:conditionalFormatting xmlns:xm="http://schemas.microsoft.com/office/excel/2006/main">
          <x14:cfRule type="containsText" priority="5131" operator="containsText" text="DB" id="{865CD895-3E5C-49FA-AAE4-01DEE3C7415F}">
            <xm:f>NOT(ISERROR(SEARCH("DB",'TC1'!E9)))</xm:f>
            <x14:dxf>
              <font>
                <color rgb="FF006100"/>
              </font>
              <fill>
                <patternFill>
                  <bgColor rgb="FFC6EFCE"/>
                </patternFill>
              </fill>
            </x14:dxf>
          </x14:cfRule>
          <x14:cfRule type="containsText" priority="5132" operator="containsText" text="WEB SERVICE" id="{321DC2B0-DF71-418A-8CEA-09B04EBCB1C4}">
            <xm:f>NOT(ISERROR(SEARCH("WEB SERVICE",'TC1'!E9)))</xm:f>
            <x14:dxf>
              <font>
                <color rgb="FF9C0006"/>
              </font>
              <fill>
                <patternFill>
                  <bgColor rgb="FFFFC7CE"/>
                </patternFill>
              </fill>
            </x14:dxf>
          </x14:cfRule>
          <xm:sqref>E12:E15</xm:sqref>
        </x14:conditionalFormatting>
        <x14:conditionalFormatting xmlns:xm="http://schemas.microsoft.com/office/excel/2006/main">
          <x14:cfRule type="expression" priority="7445" id="{423B8913-7136-4447-8301-67E59485398C}">
            <xm:f>'TC1'!$B15="Dial"</xm:f>
            <x14:dxf>
              <font>
                <b/>
                <i val="0"/>
                <color rgb="FFFF0000"/>
              </font>
            </x14:dxf>
          </x14:cfRule>
          <x14:cfRule type="expression" priority="7446" id="{C948589A-6055-4406-8AAB-C2268A8D0C3D}">
            <xm:f>'TC1'!$B15="HANGUP"</xm:f>
            <x14:dxf>
              <font>
                <b/>
                <i val="0"/>
              </font>
            </x14:dxf>
          </x14:cfRule>
          <xm:sqref>C16</xm:sqref>
        </x14:conditionalFormatting>
        <x14:conditionalFormatting xmlns:xm="http://schemas.microsoft.com/office/excel/2006/main">
          <x14:cfRule type="expression" priority="7448" id="{244E13D7-16C4-4F4A-90CA-234E1BEC259A}">
            <xm:f>'TC1'!$B15="Speak"</xm:f>
            <x14:dxf>
              <font>
                <b/>
                <i val="0"/>
                <color rgb="FFFF0000"/>
              </font>
            </x14:dxf>
          </x14:cfRule>
          <xm:sqref>C16</xm:sqref>
        </x14:conditionalFormatting>
        <x14:conditionalFormatting xmlns:xm="http://schemas.microsoft.com/office/excel/2006/main">
          <x14:cfRule type="containsText" priority="7451" operator="containsText" text="DB" id="{865CD895-3E5C-49FA-AAE4-01DEE3C7415F}">
            <xm:f>NOT(ISERROR(SEARCH("DB",'TC1'!E15)))</xm:f>
            <x14:dxf>
              <font>
                <color rgb="FF006100"/>
              </font>
              <fill>
                <patternFill>
                  <bgColor rgb="FFC6EFCE"/>
                </patternFill>
              </fill>
            </x14:dxf>
          </x14:cfRule>
          <x14:cfRule type="containsText" priority="7452" operator="containsText" text="WEB SERVICE" id="{321DC2B0-DF71-418A-8CEA-09B04EBCB1C4}">
            <xm:f>NOT(ISERROR(SEARCH("WEB SERVICE",'TC1'!E15)))</xm:f>
            <x14:dxf>
              <font>
                <color rgb="FF9C0006"/>
              </font>
              <fill>
                <patternFill>
                  <bgColor rgb="FFFFC7CE"/>
                </patternFill>
              </fill>
            </x14:dxf>
          </x14:cfRule>
          <xm:sqref>E16</xm:sqref>
        </x14:conditionalFormatting>
        <x14:conditionalFormatting xmlns:xm="http://schemas.microsoft.com/office/excel/2006/main">
          <x14:cfRule type="containsText" priority="9994" operator="containsText" text="Hear" id="{DE97319A-5BC5-4DC2-B378-0EDD4D0495F3}">
            <xm:f>NOT(ISERROR(SEARCH("Hear",'TC26'!#REF!)))</xm:f>
            <x14:dxf>
              <font>
                <color theme="9" tint="-0.24994659260841701"/>
              </font>
              <fill>
                <patternFill>
                  <bgColor theme="9" tint="0.59996337778862885"/>
                </patternFill>
              </fill>
            </x14:dxf>
          </x14:cfRule>
          <xm:sqref>B39</xm:sqref>
        </x14:conditionalFormatting>
      </x14:conditionalFormatting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2"/>
  <dimension ref="A1:E50"/>
  <sheetViews>
    <sheetView topLeftCell="A12" zoomScaleNormal="100" workbookViewId="0">
      <selection activeCell="D27" sqref="D27"/>
    </sheetView>
  </sheetViews>
  <sheetFormatPr defaultRowHeight="14.5" x14ac:dyDescent="0.35"/>
  <cols>
    <col min="1" max="1" width="14.453125" style="97" bestFit="1" customWidth="1"/>
    <col min="2" max="2" width="42.6328125" style="97" customWidth="1"/>
    <col min="3" max="3" width="106.1796875" style="98" customWidth="1"/>
    <col min="4" max="4" width="21.81640625" style="111" bestFit="1" customWidth="1"/>
    <col min="5" max="5" width="20.6328125" style="97" customWidth="1"/>
  </cols>
  <sheetData>
    <row r="1" spans="1:5" ht="18.5" x14ac:dyDescent="0.35">
      <c r="A1" s="192" t="s">
        <v>4</v>
      </c>
      <c r="B1" s="192"/>
      <c r="C1" s="105"/>
    </row>
    <row r="2" spans="1:5" x14ac:dyDescent="0.35">
      <c r="A2" s="106" t="s">
        <v>5</v>
      </c>
      <c r="B2" s="107" t="str">
        <f ca="1">MID(CELL("filename",A1),FIND("]",CELL("filename",A1))+1,LEN(CELL("filename",A1))-FIND("]",CELL("filename",A1)))</f>
        <v>TC10</v>
      </c>
    </row>
    <row r="3" spans="1:5" x14ac:dyDescent="0.35">
      <c r="A3" s="104" t="s">
        <v>19</v>
      </c>
      <c r="B3" s="112">
        <f ca="1">VLOOKUP(B2,Table1[#All],2,FALSE)</f>
        <v>0</v>
      </c>
    </row>
    <row r="4" spans="1:5" ht="29" x14ac:dyDescent="0.35">
      <c r="A4" s="113" t="s">
        <v>20</v>
      </c>
      <c r="B4" s="99" t="str">
        <f ca="1">VLOOKUP(B2,Table1[#All],4,FALSE)</f>
        <v>Not declined, Last Pmt, Update Debit, Setup Card-No</v>
      </c>
    </row>
    <row r="5" spans="1:5" x14ac:dyDescent="0.35">
      <c r="A5" s="104" t="s">
        <v>6</v>
      </c>
      <c r="B5" s="93" t="str">
        <f ca="1">VLOOKUP(B2,Table1[#All],3,FALSE)</f>
        <v>Recurring Update Information - Debit</v>
      </c>
    </row>
    <row r="7" spans="1:5" ht="15.5" x14ac:dyDescent="0.35">
      <c r="A7" s="100" t="s">
        <v>7</v>
      </c>
      <c r="B7" s="101" t="s">
        <v>8</v>
      </c>
      <c r="C7" s="102" t="s">
        <v>9</v>
      </c>
      <c r="D7" s="102" t="s">
        <v>14</v>
      </c>
      <c r="E7" s="103" t="s">
        <v>10</v>
      </c>
    </row>
    <row r="8" spans="1:5" x14ac:dyDescent="0.35">
      <c r="A8" s="118">
        <v>1</v>
      </c>
      <c r="B8" s="114" t="s">
        <v>114</v>
      </c>
      <c r="C8" s="127" t="s">
        <v>240</v>
      </c>
      <c r="D8" s="128"/>
      <c r="E8" s="125" t="s">
        <v>11</v>
      </c>
    </row>
    <row r="9" spans="1:5" x14ac:dyDescent="0.35">
      <c r="A9" s="118">
        <v>2</v>
      </c>
      <c r="B9" s="114" t="s">
        <v>115</v>
      </c>
      <c r="C9" s="109" t="str">
        <f>VLOOKUP(Table25755252691024[[#This Row],[PEG]],Table1016[#All],2,FALSE)</f>
        <v>To get started, tell me your Account Number</v>
      </c>
      <c r="D9" s="141" t="s">
        <v>245</v>
      </c>
      <c r="E9" s="125" t="str">
        <f>VLOOKUP(Table25755252691024[[#This Row],[PEG]],Table1016[#All],3,FALSE)</f>
        <v>Prompt</v>
      </c>
    </row>
    <row r="10" spans="1:5" x14ac:dyDescent="0.35">
      <c r="A10" s="118">
        <v>3</v>
      </c>
      <c r="B10" s="114" t="s">
        <v>124</v>
      </c>
      <c r="C10" s="109" t="s">
        <v>412</v>
      </c>
      <c r="D10" s="151"/>
      <c r="E10" s="125" t="e">
        <f>VLOOKUP(Table25755252691024[[#This Row],[PEG]],Table1016[#All],3,FALSE)</f>
        <v>#N/A</v>
      </c>
    </row>
    <row r="11" spans="1:5" ht="174" x14ac:dyDescent="0.35">
      <c r="A11" s="118">
        <v>4</v>
      </c>
      <c r="B11" s="114" t="s">
        <v>12</v>
      </c>
      <c r="C11" s="109" t="str">
        <f>VLOOKUP(Table25755252691024[[#This Row],[PEG]],Table1016[#All],2,FALSE)</f>
        <v>SAP HANA – SAP01_GetMember
inputs:
idnumber = iIdnumber	T
idtype 	= iIdtype
outputs:
~ Billing Reference
~ Enrollment Details
~ Billing Details
~ Last Payment
~ Recurring Payment Method
~ Stored Payment Method</v>
      </c>
      <c r="D11" s="152" t="s">
        <v>371</v>
      </c>
      <c r="E11" s="125" t="str">
        <f>VLOOKUP(Table25755252691024[[#This Row],[PEG]],Table1016[#All],3,FALSE)</f>
        <v>DB</v>
      </c>
    </row>
    <row r="12" spans="1:5" x14ac:dyDescent="0.35">
      <c r="A12" s="118">
        <v>5</v>
      </c>
      <c r="B12" s="114" t="s">
        <v>115</v>
      </c>
      <c r="C12" s="109" t="str">
        <f>VLOOKUP(Table25755252691024[[#This Row],[PEG]],Table1016[#All],2,FALSE)</f>
        <v>Thanks, I found your account!</v>
      </c>
      <c r="D12" s="141" t="s">
        <v>248</v>
      </c>
      <c r="E12" s="125" t="str">
        <f>VLOOKUP(Table25755252691024[[#This Row],[PEG]],Table1016[#All],3,FALSE)</f>
        <v>Prompt</v>
      </c>
    </row>
    <row r="13" spans="1:5" ht="29" x14ac:dyDescent="0.35">
      <c r="A13" s="118">
        <v>6</v>
      </c>
      <c r="B13" s="114" t="s">
        <v>115</v>
      </c>
      <c r="C13" s="109" t="str">
        <f>VLOOKUP(Table25755252691024[[#This Row],[PEG]],Table1016[#All],2,FALSE)</f>
        <v>You are already setup for recurring payments in the amount of &lt;SAP01_CurrentDue&gt; to be deducted on the last day of each month.</v>
      </c>
      <c r="D13" s="142" t="s">
        <v>266</v>
      </c>
      <c r="E13" s="125" t="str">
        <f>VLOOKUP(Table25755252691024[[#This Row],[PEG]],Table1016[#All],3,FALSE)</f>
        <v>Prompt</v>
      </c>
    </row>
    <row r="14" spans="1:5" x14ac:dyDescent="0.35">
      <c r="A14" s="118">
        <v>7</v>
      </c>
      <c r="B14" s="114" t="s">
        <v>115</v>
      </c>
      <c r="C14" s="130" t="str">
        <f>VLOOKUP(Table25755252691024[[#This Row],[PEG]],Table1016[#All],2,FALSE)</f>
        <v>Your last payment was posted on &lt;SAP01_ivrLastPaymentDate&gt;.</v>
      </c>
      <c r="D14" s="143" t="s">
        <v>271</v>
      </c>
      <c r="E14" s="125" t="str">
        <f>VLOOKUP(Table25755252691024[[#This Row],[PEG]],Table1016[#All],3,FALSE)</f>
        <v>Prompt</v>
      </c>
    </row>
    <row r="15" spans="1:5" x14ac:dyDescent="0.35">
      <c r="A15" s="118">
        <v>8</v>
      </c>
      <c r="B15" s="114" t="s">
        <v>115</v>
      </c>
      <c r="C15" s="109" t="str">
        <f>VLOOKUP(Table25755252691024[[#This Row],[PEG]],Table1016[#All],2,FALSE)</f>
        <v>Do you need to update your payment information?</v>
      </c>
      <c r="D15" s="143" t="s">
        <v>272</v>
      </c>
      <c r="E15" s="125" t="str">
        <f>VLOOKUP(Table25755252691024[[#This Row],[PEG]],Table1016[#All],3,FALSE)</f>
        <v>Prompt</v>
      </c>
    </row>
    <row r="16" spans="1:5" x14ac:dyDescent="0.35">
      <c r="A16" s="118">
        <v>9</v>
      </c>
      <c r="B16" s="114" t="s">
        <v>124</v>
      </c>
      <c r="C16" s="127" t="s">
        <v>388</v>
      </c>
      <c r="D16" s="143"/>
      <c r="E16" s="125" t="e">
        <f>VLOOKUP(Table25755252691024[[#This Row],[PEG]],Table1016[#All],3,FALSE)</f>
        <v>#N/A</v>
      </c>
    </row>
    <row r="17" spans="1:5" x14ac:dyDescent="0.35">
      <c r="A17" s="118">
        <v>10</v>
      </c>
      <c r="B17" s="114" t="s">
        <v>115</v>
      </c>
      <c r="C17" s="109" t="str">
        <f>VLOOKUP(Table25755252691024[[#This Row],[PEG]],Table1016[#All],2,FALSE)</f>
        <v>Ok, are you using Credit, Debit, Checking or Savings?</v>
      </c>
      <c r="D17" s="143" t="s">
        <v>286</v>
      </c>
      <c r="E17" s="125" t="str">
        <f>VLOOKUP(Table25755252691024[[#This Row],[PEG]],Table1016[#All],3,FALSE)</f>
        <v>Prompt</v>
      </c>
    </row>
    <row r="18" spans="1:5" x14ac:dyDescent="0.35">
      <c r="A18" s="118">
        <v>11</v>
      </c>
      <c r="B18" s="114" t="s">
        <v>124</v>
      </c>
      <c r="C18" s="109" t="s">
        <v>413</v>
      </c>
      <c r="D18" s="143"/>
      <c r="E18" s="125" t="e">
        <f>VLOOKUP(Table25755252691024[[#This Row],[PEG]],Table1016[#All],3,FALSE)</f>
        <v>#N/A</v>
      </c>
    </row>
    <row r="19" spans="1:5" x14ac:dyDescent="0.35">
      <c r="A19" s="118">
        <v>12</v>
      </c>
      <c r="B19" s="114" t="s">
        <v>115</v>
      </c>
      <c r="C19" s="109" t="str">
        <f>VLOOKUP(Table25755252691024[[#This Row],[PEG]],Table1016[#All],2,FALSE)</f>
        <v>Tell me the card number you wish to use.</v>
      </c>
      <c r="D19" s="143" t="s">
        <v>318</v>
      </c>
      <c r="E19" s="125" t="str">
        <f>VLOOKUP(Table25755252691024[[#This Row],[PEG]],Table1016[#All],3,FALSE)</f>
        <v>Prompt</v>
      </c>
    </row>
    <row r="20" spans="1:5" s="97" customFormat="1" x14ac:dyDescent="0.35">
      <c r="A20" s="118">
        <v>13</v>
      </c>
      <c r="B20" s="114" t="s">
        <v>124</v>
      </c>
      <c r="C20" s="109" t="s">
        <v>414</v>
      </c>
      <c r="D20" s="143"/>
      <c r="E20" s="125" t="e">
        <f>VLOOKUP(Table25755252691024[[#This Row],[PEG]],Table1016[#All],3,FALSE)</f>
        <v>#N/A</v>
      </c>
    </row>
    <row r="21" spans="1:5" s="97" customFormat="1" x14ac:dyDescent="0.35">
      <c r="A21" s="118">
        <v>14</v>
      </c>
      <c r="B21" s="114" t="s">
        <v>115</v>
      </c>
      <c r="C21" s="109" t="str">
        <f>VLOOKUP(Table25755252691024[[#This Row],[PEG]],Table1016[#All],2,FALSE)</f>
        <v>Is &lt;ivrCardNbr&gt; the right number?</v>
      </c>
      <c r="D21" s="143" t="s">
        <v>320</v>
      </c>
      <c r="E21" s="125">
        <f>VLOOKUP(Table25755252691024[[#This Row],[PEG]],Table1016[#All],3,FALSE)</f>
        <v>0</v>
      </c>
    </row>
    <row r="22" spans="1:5" s="97" customFormat="1" x14ac:dyDescent="0.35">
      <c r="A22" s="118">
        <v>15</v>
      </c>
      <c r="B22" s="114" t="s">
        <v>124</v>
      </c>
      <c r="C22" s="109" t="s">
        <v>415</v>
      </c>
      <c r="D22" s="143"/>
      <c r="E22" s="125" t="e">
        <f>VLOOKUP(Table25755252691024[[#This Row],[PEG]],Table1016[#All],3,FALSE)</f>
        <v>#N/A</v>
      </c>
    </row>
    <row r="23" spans="1:5" s="97" customFormat="1" x14ac:dyDescent="0.35">
      <c r="A23" s="118">
        <v>16</v>
      </c>
      <c r="B23" s="114" t="s">
        <v>115</v>
      </c>
      <c r="C23" s="109" t="str">
        <f>VLOOKUP(Table25755252691024[[#This Row],[PEG]],Table1016[#All],2,FALSE)</f>
        <v>Tell me the card number you wish to use.</v>
      </c>
      <c r="D23" s="143" t="s">
        <v>318</v>
      </c>
      <c r="E23" s="125" t="str">
        <f>VLOOKUP(Table25755252691024[[#This Row],[PEG]],Table1016[#All],3,FALSE)</f>
        <v>Prompt</v>
      </c>
    </row>
    <row r="24" spans="1:5" x14ac:dyDescent="0.35">
      <c r="A24" s="118">
        <v>17</v>
      </c>
      <c r="B24" s="114" t="s">
        <v>124</v>
      </c>
      <c r="C24" s="109" t="s">
        <v>414</v>
      </c>
      <c r="D24" s="143"/>
      <c r="E24" s="125" t="e">
        <f>VLOOKUP(Table25755252691024[[#This Row],[PEG]],Table1016[#All],3,FALSE)</f>
        <v>#N/A</v>
      </c>
    </row>
    <row r="25" spans="1:5" x14ac:dyDescent="0.35">
      <c r="A25" s="118">
        <v>18</v>
      </c>
      <c r="B25" s="114" t="s">
        <v>115</v>
      </c>
      <c r="C25" s="130" t="str">
        <f>VLOOKUP(Table25755252691024[[#This Row],[PEG]],Table1016[#All],2,FALSE)</f>
        <v>Is &lt;ivrCardNbr&gt; the right number?</v>
      </c>
      <c r="D25" s="143" t="s">
        <v>320</v>
      </c>
      <c r="E25" s="125">
        <f>VLOOKUP(Table25755252691024[[#This Row],[PEG]],Table1016[#All],3,FALSE)</f>
        <v>0</v>
      </c>
    </row>
    <row r="26" spans="1:5" x14ac:dyDescent="0.35">
      <c r="A26" s="118">
        <v>19</v>
      </c>
      <c r="B26" s="114" t="s">
        <v>124</v>
      </c>
      <c r="C26" s="127" t="s">
        <v>388</v>
      </c>
      <c r="D26" s="143"/>
      <c r="E26" s="125" t="e">
        <f>VLOOKUP(Table25755252691024[[#This Row],[PEG]],Table1016[#All],3,FALSE)</f>
        <v>#N/A</v>
      </c>
    </row>
    <row r="27" spans="1:5" ht="29" x14ac:dyDescent="0.35">
      <c r="A27" s="118">
        <v>20</v>
      </c>
      <c r="B27" s="114" t="s">
        <v>115</v>
      </c>
      <c r="C27" s="109" t="str">
        <f>VLOOKUP(Table25755252691024[[#This Row],[PEG]],Table1016[#All],2,FALSE)</f>
        <v>Now, what is the expiration date?  Just say it like this, March &lt;Current Year +3&gt; 
Now go ahead.</v>
      </c>
      <c r="D27" s="143" t="s">
        <v>323</v>
      </c>
      <c r="E27" s="125" t="str">
        <f>VLOOKUP(Table25755252691024[[#This Row],[PEG]],Table1016[#All],3,FALSE)</f>
        <v>Prompt</v>
      </c>
    </row>
    <row r="28" spans="1:5" x14ac:dyDescent="0.35">
      <c r="A28" s="118">
        <v>21</v>
      </c>
      <c r="B28" s="114" t="s">
        <v>124</v>
      </c>
      <c r="C28" s="109" t="s">
        <v>399</v>
      </c>
      <c r="D28" s="143" t="s">
        <v>379</v>
      </c>
      <c r="E28" s="125" t="str">
        <f>VLOOKUP(Table25755252691024[[#This Row],[PEG]],Table1016[#All],3,FALSE)</f>
        <v>DB</v>
      </c>
    </row>
    <row r="29" spans="1:5" ht="29" x14ac:dyDescent="0.35">
      <c r="A29" s="118">
        <v>22</v>
      </c>
      <c r="B29" s="114" t="s">
        <v>115</v>
      </c>
      <c r="C29" s="109" t="str">
        <f>VLOOKUP(Table25755252691024[[#This Row],[PEG]],Table1016[#All],2,FALSE)</f>
        <v>To confirm, you want to update your account with a card ending in &lt;last 4 digits of ivrCardNbr&gt;.
Is that right?</v>
      </c>
      <c r="D29" s="143" t="s">
        <v>334</v>
      </c>
      <c r="E29" s="125" t="str">
        <f>VLOOKUP(Table25755252691024[[#This Row],[PEG]],Table1016[#All],3,FALSE)</f>
        <v>Prompt</v>
      </c>
    </row>
    <row r="30" spans="1:5" s="97" customFormat="1" x14ac:dyDescent="0.35">
      <c r="A30" s="118">
        <v>23</v>
      </c>
      <c r="B30" s="114" t="s">
        <v>124</v>
      </c>
      <c r="C30" s="109" t="s">
        <v>390</v>
      </c>
      <c r="D30" s="143"/>
      <c r="E30" s="125" t="e">
        <f>VLOOKUP(Table25755252691024[[#This Row],[PEG]],Table1016[#All],3,FALSE)</f>
        <v>#N/A</v>
      </c>
    </row>
    <row r="31" spans="1:5" ht="29" x14ac:dyDescent="0.35">
      <c r="A31" s="118">
        <v>24</v>
      </c>
      <c r="B31" s="114" t="s">
        <v>115</v>
      </c>
      <c r="C31" s="109" t="str">
        <f>VLOOKUP(Table25755252691024[[#This Row],[PEG]],Table1016[#All],2,FALSE)</f>
        <v>Ok, your payment information will not be updated.</v>
      </c>
      <c r="D31" s="143" t="s">
        <v>338</v>
      </c>
      <c r="E31" s="125" t="str">
        <f>VLOOKUP(Table25755252691024[[#This Row],[PEG]],Table1016[#All],3,FALSE)</f>
        <v>Prompt</v>
      </c>
    </row>
    <row r="32" spans="1:5" s="97" customFormat="1" ht="29" x14ac:dyDescent="0.35">
      <c r="A32" s="118">
        <v>25</v>
      </c>
      <c r="B32" s="114" t="s">
        <v>115</v>
      </c>
      <c r="C32" s="109" t="str">
        <f>VLOOKUP(Table25755252691024[[#This Row],[PEG]],Table1016[#All],2,FALSE)</f>
        <v>For future transactions you can also access your plan details, or manage your account online anytime at members.lacare.com.  Thank you for calling.</v>
      </c>
      <c r="D32" s="143" t="s">
        <v>362</v>
      </c>
      <c r="E32" s="125" t="str">
        <f>VLOOKUP(Table25755252691024[[#This Row],[PEG]],Table1016[#All],3,FALSE)</f>
        <v>Prompt</v>
      </c>
    </row>
    <row r="33" spans="1:5" s="97" customFormat="1" x14ac:dyDescent="0.35">
      <c r="A33" s="118">
        <v>26</v>
      </c>
      <c r="B33" s="114" t="s">
        <v>13</v>
      </c>
      <c r="C33" s="109" t="s">
        <v>13</v>
      </c>
      <c r="D33" s="143"/>
      <c r="E33" s="125" t="e">
        <f>VLOOKUP(Table25755252691024[[#This Row],[PEG]],Table1016[#All],3,FALSE)</f>
        <v>#N/A</v>
      </c>
    </row>
    <row r="34" spans="1:5" x14ac:dyDescent="0.35">
      <c r="C34" s="26"/>
    </row>
    <row r="35" spans="1:5" x14ac:dyDescent="0.35">
      <c r="C35" s="26"/>
    </row>
    <row r="36" spans="1:5" x14ac:dyDescent="0.35">
      <c r="C36" s="26"/>
    </row>
    <row r="37" spans="1:5" x14ac:dyDescent="0.35">
      <c r="C37" s="26"/>
    </row>
    <row r="38" spans="1:5" x14ac:dyDescent="0.35">
      <c r="C38" s="26"/>
    </row>
    <row r="39" spans="1:5" x14ac:dyDescent="0.35">
      <c r="C39" s="26"/>
    </row>
    <row r="40" spans="1:5" x14ac:dyDescent="0.35">
      <c r="C40" s="26"/>
    </row>
    <row r="41" spans="1:5" x14ac:dyDescent="0.35">
      <c r="C41" s="26"/>
    </row>
    <row r="42" spans="1:5" x14ac:dyDescent="0.35">
      <c r="C42" s="26"/>
    </row>
    <row r="43" spans="1:5" x14ac:dyDescent="0.35">
      <c r="C43" s="26"/>
    </row>
    <row r="44" spans="1:5" x14ac:dyDescent="0.35">
      <c r="C44" s="26"/>
    </row>
    <row r="45" spans="1:5" x14ac:dyDescent="0.35">
      <c r="C45" s="26"/>
    </row>
    <row r="46" spans="1:5" x14ac:dyDescent="0.35">
      <c r="C46" s="26"/>
    </row>
    <row r="47" spans="1:5" x14ac:dyDescent="0.35">
      <c r="C47" s="26"/>
    </row>
    <row r="48" spans="1:5" x14ac:dyDescent="0.35">
      <c r="C48" s="27"/>
    </row>
    <row r="49" spans="3:3" x14ac:dyDescent="0.35">
      <c r="C49" s="27"/>
    </row>
    <row r="50" spans="3:3" x14ac:dyDescent="0.35">
      <c r="C50" s="27"/>
    </row>
  </sheetData>
  <mergeCells count="1">
    <mergeCell ref="A1:B1"/>
  </mergeCells>
  <conditionalFormatting sqref="C9:C13 C31 C33:C9989">
    <cfRule type="expression" dxfId="5776" priority="50">
      <formula>$B9="Dial"</formula>
    </cfRule>
    <cfRule type="expression" dxfId="5775" priority="52">
      <formula>$B9="HANGUP"</formula>
    </cfRule>
  </conditionalFormatting>
  <conditionalFormatting sqref="C26 C16">
    <cfRule type="expression" dxfId="5774" priority="19">
      <formula>$B16="Dial"</formula>
    </cfRule>
    <cfRule type="expression" dxfId="5773" priority="20">
      <formula>$B16="HANGUP"</formula>
    </cfRule>
  </conditionalFormatting>
  <conditionalFormatting sqref="B8:B31 B33">
    <cfRule type="containsText" dxfId="5772" priority="23" operator="containsText" text="Hear">
      <formula>NOT(ISERROR(SEARCH("Hear",B8)))</formula>
    </cfRule>
  </conditionalFormatting>
  <conditionalFormatting sqref="C15 C17:C24 C27:C30">
    <cfRule type="expression" dxfId="5771" priority="24">
      <formula>$B15="Dial"</formula>
    </cfRule>
    <cfRule type="expression" dxfId="5770" priority="26">
      <formula>$B15="HANGUP"</formula>
    </cfRule>
  </conditionalFormatting>
  <conditionalFormatting sqref="C15 C17:C24 C9:C13 C27:C31 C33">
    <cfRule type="expression" dxfId="5769" priority="25">
      <formula>$B9="Speak"</formula>
    </cfRule>
  </conditionalFormatting>
  <conditionalFormatting sqref="C14 C25">
    <cfRule type="expression" dxfId="5768" priority="21">
      <formula>$B14="Dial"</formula>
    </cfRule>
    <cfRule type="expression" dxfId="5767" priority="22">
      <formula>$B14="HANGUP"</formula>
    </cfRule>
  </conditionalFormatting>
  <conditionalFormatting sqref="C31">
    <cfRule type="expression" dxfId="5766" priority="17">
      <formula>$B31="Dial"</formula>
    </cfRule>
    <cfRule type="expression" dxfId="5765" priority="18">
      <formula>$B31="HANGUP"</formula>
    </cfRule>
  </conditionalFormatting>
  <conditionalFormatting sqref="C8">
    <cfRule type="expression" dxfId="5764" priority="9">
      <formula>$B8="Dial"</formula>
    </cfRule>
    <cfRule type="expression" dxfId="5763" priority="10">
      <formula>$B8="HANGUP"</formula>
    </cfRule>
  </conditionalFormatting>
  <conditionalFormatting sqref="C32">
    <cfRule type="expression" dxfId="5762" priority="7">
      <formula>$B32="Dial"</formula>
    </cfRule>
    <cfRule type="expression" dxfId="5761" priority="8">
      <formula>$B32="HANGUP"</formula>
    </cfRule>
  </conditionalFormatting>
  <conditionalFormatting sqref="B32">
    <cfRule type="containsText" dxfId="5760" priority="5" operator="containsText" text="Hear">
      <formula>NOT(ISERROR(SEARCH("Hear",B32)))</formula>
    </cfRule>
  </conditionalFormatting>
  <conditionalFormatting sqref="C32">
    <cfRule type="expression" dxfId="5759" priority="6">
      <formula>$B32="Speak"</formula>
    </cfRule>
  </conditionalFormatting>
  <conditionalFormatting sqref="C32">
    <cfRule type="expression" dxfId="5758" priority="3">
      <formula>$B32="Dial"</formula>
    </cfRule>
    <cfRule type="expression" dxfId="5757" priority="4">
      <formula>$B32="HANGUP"</formula>
    </cfRule>
  </conditionalFormatting>
  <hyperlinks>
    <hyperlink ref="A1" location="'Test Case Overview'!A1" display="Return to Test Case Overview" xr:uid="{00000000-0004-0000-0A00-000000000000}"/>
  </hyperlinks>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containsText" priority="742" operator="containsText" text="WEB SERVICE" id="{EBA37E15-2A54-4BF4-8F58-2EC5CC108388}">
            <xm:f>NOT(ISERROR(SEARCH("WEB SERVICE",'TC1'!#REF!)))</xm:f>
            <x14:dxf>
              <font>
                <color rgb="FF9C0006"/>
              </font>
              <fill>
                <patternFill>
                  <bgColor rgb="FFFFC7CE"/>
                </patternFill>
              </fill>
            </x14:dxf>
          </x14:cfRule>
          <x14:cfRule type="containsText" priority="743" operator="containsText" text="DB" id="{DB85D878-41C9-4D73-AF8A-5765ABDC6C4A}">
            <xm:f>NOT(ISERROR(SEARCH("DB",'TC1'!#REF!)))</xm:f>
            <x14:dxf>
              <font>
                <color rgb="FF006100"/>
              </font>
              <fill>
                <patternFill>
                  <bgColor rgb="FFC6EFCE"/>
                </patternFill>
              </fill>
            </x14:dxf>
          </x14:cfRule>
          <xm:sqref>E14:E28</xm:sqref>
        </x14:conditionalFormatting>
        <x14:conditionalFormatting xmlns:xm="http://schemas.microsoft.com/office/excel/2006/main">
          <x14:cfRule type="containsText" priority="3597" operator="containsText" text="WEB SERVICE" id="{EBA37E15-2A54-4BF4-8F58-2EC5CC108388}">
            <xm:f>NOT(ISERROR(SEARCH("WEB SERVICE",'TC1'!E9)))</xm:f>
            <x14:dxf>
              <font>
                <color rgb="FF9C0006"/>
              </font>
              <fill>
                <patternFill>
                  <bgColor rgb="FFFFC7CE"/>
                </patternFill>
              </fill>
            </x14:dxf>
          </x14:cfRule>
          <x14:cfRule type="containsText" priority="3598" operator="containsText" text="DB" id="{DB85D878-41C9-4D73-AF8A-5765ABDC6C4A}">
            <xm:f>NOT(ISERROR(SEARCH("DB",'TC1'!E9)))</xm:f>
            <x14:dxf>
              <font>
                <color rgb="FF006100"/>
              </font>
              <fill>
                <patternFill>
                  <bgColor rgb="FFC6EFCE"/>
                </patternFill>
              </fill>
            </x14:dxf>
          </x14:cfRule>
          <xm:sqref>E9:E12</xm:sqref>
        </x14:conditionalFormatting>
        <x14:conditionalFormatting xmlns:xm="http://schemas.microsoft.com/office/excel/2006/main">
          <x14:cfRule type="containsText" priority="6169" operator="containsText" text="WEB SERVICE" id="{EBA37E15-2A54-4BF4-8F58-2EC5CC108388}">
            <xm:f>NOT(ISERROR(SEARCH("WEB SERVICE",'TC1'!E15)))</xm:f>
            <x14:dxf>
              <font>
                <color rgb="FF9C0006"/>
              </font>
              <fill>
                <patternFill>
                  <bgColor rgb="FFFFC7CE"/>
                </patternFill>
              </fill>
            </x14:dxf>
          </x14:cfRule>
          <x14:cfRule type="containsText" priority="6170" operator="containsText" text="DB" id="{DB85D878-41C9-4D73-AF8A-5765ABDC6C4A}">
            <xm:f>NOT(ISERROR(SEARCH("DB",'TC1'!E15)))</xm:f>
            <x14:dxf>
              <font>
                <color rgb="FF006100"/>
              </font>
              <fill>
                <patternFill>
                  <bgColor rgb="FFC6EFCE"/>
                </patternFill>
              </fill>
            </x14:dxf>
          </x14:cfRule>
          <xm:sqref>E13</xm:sqref>
        </x14:conditionalFormatting>
        <x14:conditionalFormatting xmlns:xm="http://schemas.microsoft.com/office/excel/2006/main">
          <x14:cfRule type="containsText" priority="1" operator="containsText" text="WEB SERVICE" id="{72FD9F90-CDF5-4EA8-B3E2-A137FBC2F6AE}">
            <xm:f>NOT(ISERROR(SEARCH("WEB SERVICE",'TC1'!#REF!)))</xm:f>
            <x14:dxf>
              <font>
                <color rgb="FF9C0006"/>
              </font>
              <fill>
                <patternFill>
                  <bgColor rgb="FFFFC7CE"/>
                </patternFill>
              </fill>
            </x14:dxf>
          </x14:cfRule>
          <x14:cfRule type="containsText" priority="2" operator="containsText" text="DB" id="{4583EFC9-069A-49CC-B9A6-57307A53CEA7}">
            <xm:f>NOT(ISERROR(SEARCH("DB",'TC1'!#REF!)))</xm:f>
            <x14:dxf>
              <font>
                <color rgb="FF006100"/>
              </font>
              <fill>
                <patternFill>
                  <bgColor rgb="FFC6EFCE"/>
                </patternFill>
              </fill>
            </x14:dxf>
          </x14:cfRule>
          <xm:sqref>E29:E33</xm:sqref>
        </x14:conditionalFormatting>
      </x14:conditionalFormattings>
    </ext>
  </extLst>
</worksheet>
</file>

<file path=xl/worksheets/sheet1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D00-000000000000}">
  <sheetPr codeName="Sheet111"/>
  <dimension ref="A1:E44"/>
  <sheetViews>
    <sheetView zoomScaleNormal="100" workbookViewId="0">
      <selection sqref="A1:E44"/>
    </sheetView>
  </sheetViews>
  <sheetFormatPr defaultRowHeight="14.5" x14ac:dyDescent="0.35"/>
  <cols>
    <col min="1" max="1" width="14.453125" bestFit="1" customWidth="1"/>
    <col min="2" max="2" width="42.6328125" customWidth="1"/>
    <col min="3" max="3" width="106.1796875" customWidth="1"/>
    <col min="4" max="4" width="21.81640625" bestFit="1" customWidth="1"/>
    <col min="5" max="5" width="20.6328125" customWidth="1"/>
  </cols>
  <sheetData>
    <row r="1" spans="1:5" ht="18.5" x14ac:dyDescent="0.35">
      <c r="A1" s="192" t="s">
        <v>4</v>
      </c>
      <c r="B1" s="192"/>
      <c r="C1" s="105"/>
      <c r="D1" s="111"/>
      <c r="E1" s="97"/>
    </row>
    <row r="2" spans="1:5" x14ac:dyDescent="0.35">
      <c r="A2" s="106" t="s">
        <v>5</v>
      </c>
      <c r="B2" s="107" t="str">
        <f ca="1">MID(CELL("filename",A1),FIND("]",CELL("filename",A1))+1,LEN(CELL("filename",A1))-FIND("]",CELL("filename",A1)))</f>
        <v>TC109</v>
      </c>
      <c r="C2" s="98"/>
      <c r="D2" s="111"/>
      <c r="E2" s="97"/>
    </row>
    <row r="3" spans="1:5" x14ac:dyDescent="0.35">
      <c r="A3" s="104" t="s">
        <v>19</v>
      </c>
      <c r="B3" s="112">
        <f ca="1">VLOOKUP(B2,Table53[#All],2,FALSE)</f>
        <v>0</v>
      </c>
      <c r="C3" s="98"/>
      <c r="D3" s="111"/>
      <c r="E3" s="97"/>
    </row>
    <row r="4" spans="1:5" ht="29" x14ac:dyDescent="0.35">
      <c r="A4" s="113" t="s">
        <v>20</v>
      </c>
      <c r="B4" s="99">
        <f ca="1">VLOOKUP(B2,Table53[#All],4,FALSE)</f>
        <v>0</v>
      </c>
      <c r="C4" s="98"/>
      <c r="D4" s="111"/>
      <c r="E4" s="97"/>
    </row>
    <row r="5" spans="1:5" x14ac:dyDescent="0.35">
      <c r="A5" s="104" t="s">
        <v>6</v>
      </c>
      <c r="B5" s="77">
        <f ca="1">VLOOKUP(B2,Table53[#All],3,FALSE)</f>
        <v>0</v>
      </c>
      <c r="C5" s="98"/>
      <c r="D5" s="111"/>
      <c r="E5" s="97"/>
    </row>
    <row r="6" spans="1:5" x14ac:dyDescent="0.35">
      <c r="A6" s="97"/>
      <c r="B6" s="97"/>
      <c r="C6" s="98"/>
      <c r="D6" s="111"/>
      <c r="E6" s="97"/>
    </row>
    <row r="7" spans="1:5" ht="15.5" x14ac:dyDescent="0.35">
      <c r="A7" s="100" t="s">
        <v>7</v>
      </c>
      <c r="B7" s="101" t="s">
        <v>8</v>
      </c>
      <c r="C7" s="102" t="s">
        <v>9</v>
      </c>
      <c r="D7" s="102" t="s">
        <v>14</v>
      </c>
      <c r="E7" s="103" t="s">
        <v>10</v>
      </c>
    </row>
    <row r="8" spans="1:5" x14ac:dyDescent="0.35">
      <c r="A8" s="118">
        <v>1</v>
      </c>
      <c r="B8" s="114" t="s">
        <v>114</v>
      </c>
      <c r="C8" s="109" t="s">
        <v>125</v>
      </c>
      <c r="D8" s="128"/>
      <c r="E8" s="125" t="s">
        <v>11</v>
      </c>
    </row>
    <row r="9" spans="1:5" x14ac:dyDescent="0.35">
      <c r="A9" s="118">
        <v>2</v>
      </c>
      <c r="B9" s="114" t="s">
        <v>12</v>
      </c>
      <c r="C9" s="109" t="e">
        <f>VLOOKUP(Table257519913140106[[#This Row],[PEG]],Table1016[#All],2,FALSE)</f>
        <v>#N/A</v>
      </c>
      <c r="D9" s="128"/>
      <c r="E9" s="125" t="e">
        <f>VLOOKUP(Table257519913140106[[#This Row],[PEG]],Table1016[#All],3,FALSE)</f>
        <v>#N/A</v>
      </c>
    </row>
    <row r="10" spans="1:5" x14ac:dyDescent="0.35">
      <c r="A10" s="118">
        <v>3</v>
      </c>
      <c r="B10" s="114" t="s">
        <v>115</v>
      </c>
      <c r="C10" s="109" t="e">
        <f>VLOOKUP(Table257519913140106[[#This Row],[PEG]],Table1016[#All],2,FALSE)</f>
        <v>#N/A</v>
      </c>
      <c r="D10" s="128"/>
      <c r="E10" s="125" t="e">
        <f>VLOOKUP(Table257519913140106[[#This Row],[PEG]],Table1016[#All],3,FALSE)</f>
        <v>#N/A</v>
      </c>
    </row>
    <row r="11" spans="1:5" x14ac:dyDescent="0.35">
      <c r="A11" s="118">
        <v>4</v>
      </c>
      <c r="B11" s="114" t="s">
        <v>115</v>
      </c>
      <c r="C11" s="109" t="e">
        <f>VLOOKUP(Table257519913140106[[#This Row],[PEG]],Table1016[#All],2,FALSE)</f>
        <v>#N/A</v>
      </c>
      <c r="D11" s="128"/>
      <c r="E11" s="125" t="e">
        <f>VLOOKUP(Table257519913140106[[#This Row],[PEG]],Table1016[#All],3,FALSE)</f>
        <v>#N/A</v>
      </c>
    </row>
    <row r="12" spans="1:5" x14ac:dyDescent="0.35">
      <c r="A12" s="118">
        <v>5</v>
      </c>
      <c r="B12" s="114" t="s">
        <v>114</v>
      </c>
      <c r="C12" s="109" t="e">
        <f>VLOOKUP(Table257519913140106[[#This Row],[PEG]],Table1016[#All],2,FALSE)</f>
        <v>#N/A</v>
      </c>
      <c r="D12" s="128"/>
      <c r="E12" s="125" t="e">
        <f>VLOOKUP(Table257519913140106[[#This Row],[PEG]],Table1016[#All],3,FALSE)</f>
        <v>#N/A</v>
      </c>
    </row>
    <row r="13" spans="1:5" x14ac:dyDescent="0.35">
      <c r="A13" s="118">
        <v>6</v>
      </c>
      <c r="B13" s="114" t="s">
        <v>115</v>
      </c>
      <c r="C13" s="109" t="e">
        <f>VLOOKUP(Table257519913140106[[#This Row],[PEG]],Table1016[#All],2,FALSE)</f>
        <v>#N/A</v>
      </c>
      <c r="D13" s="128"/>
      <c r="E13" s="125" t="e">
        <f>VLOOKUP(Table257519913140106[[#This Row],[PEG]],Table1016[#All],3,FALSE)</f>
        <v>#N/A</v>
      </c>
    </row>
    <row r="14" spans="1:5" x14ac:dyDescent="0.35">
      <c r="A14" s="118">
        <v>7</v>
      </c>
      <c r="B14" s="114" t="s">
        <v>114</v>
      </c>
      <c r="C14" s="109" t="e">
        <f>VLOOKUP(Table257519913140106[[#This Row],[PEG]],Table1016[#All],2,FALSE)</f>
        <v>#N/A</v>
      </c>
      <c r="D14" s="128"/>
      <c r="E14" s="125" t="e">
        <f>VLOOKUP(Table257519913140106[[#This Row],[PEG]],Table1016[#All],3,FALSE)</f>
        <v>#N/A</v>
      </c>
    </row>
    <row r="15" spans="1:5" x14ac:dyDescent="0.35">
      <c r="A15" s="118">
        <v>8</v>
      </c>
      <c r="B15" s="114" t="s">
        <v>115</v>
      </c>
      <c r="C15" s="109" t="e">
        <f>VLOOKUP(Table257519913140106[[#This Row],[PEG]],Table1016[#All],2,FALSE)</f>
        <v>#N/A</v>
      </c>
      <c r="D15" s="116"/>
      <c r="E15" s="125" t="e">
        <f>VLOOKUP(Table257519913140106[[#This Row],[PEG]],Table1016[#All],3,FALSE)</f>
        <v>#N/A</v>
      </c>
    </row>
    <row r="16" spans="1:5" x14ac:dyDescent="0.35">
      <c r="A16" s="118">
        <v>9</v>
      </c>
      <c r="B16" s="114" t="s">
        <v>12</v>
      </c>
      <c r="C16" s="109" t="e">
        <f>VLOOKUP(Table257519913140106[[#This Row],[PEG]],Table1016[#All],2,FALSE)</f>
        <v>#N/A</v>
      </c>
      <c r="D16" s="116"/>
      <c r="E16" s="125" t="e">
        <f>VLOOKUP(Table257519913140106[[#This Row],[PEG]],Table1016[#All],3,FALSE)</f>
        <v>#N/A</v>
      </c>
    </row>
    <row r="17" spans="1:5" x14ac:dyDescent="0.35">
      <c r="A17" s="118">
        <v>10</v>
      </c>
      <c r="B17" s="114" t="s">
        <v>12</v>
      </c>
      <c r="C17" s="109" t="e">
        <f>VLOOKUP(Table257519913140106[[#This Row],[PEG]],Table1016[#All],2,FALSE)</f>
        <v>#N/A</v>
      </c>
      <c r="D17" s="117"/>
      <c r="E17" s="125" t="e">
        <f>VLOOKUP(Table257519913140106[[#This Row],[PEG]],Table1016[#All],3,FALSE)</f>
        <v>#N/A</v>
      </c>
    </row>
    <row r="18" spans="1:5" x14ac:dyDescent="0.35">
      <c r="A18" s="118">
        <v>11</v>
      </c>
      <c r="B18" s="114" t="s">
        <v>115</v>
      </c>
      <c r="C18" s="109" t="e">
        <f>VLOOKUP(Table257519913140106[[#This Row],[PEG]],Table1016[#All],2,FALSE)</f>
        <v>#N/A</v>
      </c>
      <c r="D18" s="117"/>
      <c r="E18" s="125" t="e">
        <f>VLOOKUP(Table257519913140106[[#This Row],[PEG]],Table1016[#All],3,FALSE)</f>
        <v>#N/A</v>
      </c>
    </row>
    <row r="19" spans="1:5" x14ac:dyDescent="0.35">
      <c r="A19" s="118">
        <v>12</v>
      </c>
      <c r="B19" s="114" t="s">
        <v>115</v>
      </c>
      <c r="C19" s="109" t="e">
        <f>VLOOKUP(Table257519913140106[[#This Row],[PEG]],Table1016[#All],2,FALSE)</f>
        <v>#N/A</v>
      </c>
      <c r="D19" s="117"/>
      <c r="E19" s="125" t="e">
        <f>VLOOKUP(Table257519913140106[[#This Row],[PEG]],Table1016[#All],3,FALSE)</f>
        <v>#N/A</v>
      </c>
    </row>
    <row r="20" spans="1:5" x14ac:dyDescent="0.35">
      <c r="A20" s="118">
        <v>13</v>
      </c>
      <c r="B20" s="114" t="s">
        <v>114</v>
      </c>
      <c r="C20" s="109" t="e">
        <f>VLOOKUP(Table257519913140106[[#This Row],[PEG]],Table1016[#All],2,FALSE)</f>
        <v>#N/A</v>
      </c>
      <c r="D20" s="117"/>
      <c r="E20" s="125" t="e">
        <f>VLOOKUP(Table257519913140106[[#This Row],[PEG]],Table1016[#All],3,FALSE)</f>
        <v>#N/A</v>
      </c>
    </row>
    <row r="21" spans="1:5" x14ac:dyDescent="0.35">
      <c r="A21" s="118">
        <v>14</v>
      </c>
      <c r="B21" s="114" t="s">
        <v>12</v>
      </c>
      <c r="C21" s="109" t="e">
        <f>VLOOKUP(Table257519913140106[[#This Row],[PEG]],Table1016[#All],2,FALSE)</f>
        <v>#N/A</v>
      </c>
      <c r="D21" s="117"/>
      <c r="E21" s="125" t="e">
        <f>VLOOKUP(Table257519913140106[[#This Row],[PEG]],Table1016[#All],3,FALSE)</f>
        <v>#N/A</v>
      </c>
    </row>
    <row r="22" spans="1:5" x14ac:dyDescent="0.35">
      <c r="A22" s="118">
        <v>15</v>
      </c>
      <c r="B22" s="114" t="s">
        <v>12</v>
      </c>
      <c r="C22" s="109" t="e">
        <f>VLOOKUP(Table257519913140106[[#This Row],[PEG]],Table1016[#All],2,FALSE)</f>
        <v>#N/A</v>
      </c>
      <c r="D22" s="117"/>
      <c r="E22" s="125" t="e">
        <f>VLOOKUP(Table257519913140106[[#This Row],[PEG]],Table1016[#All],3,FALSE)</f>
        <v>#N/A</v>
      </c>
    </row>
    <row r="23" spans="1:5" x14ac:dyDescent="0.35">
      <c r="A23" s="118">
        <v>16</v>
      </c>
      <c r="B23" s="114" t="s">
        <v>115</v>
      </c>
      <c r="C23" s="109" t="e">
        <f>VLOOKUP(Table257519913140106[[#This Row],[PEG]],Table1016[#All],2,FALSE)</f>
        <v>#N/A</v>
      </c>
      <c r="D23" s="117"/>
      <c r="E23" s="125" t="e">
        <f>VLOOKUP(Table257519913140106[[#This Row],[PEG]],Table1016[#All],3,FALSE)</f>
        <v>#N/A</v>
      </c>
    </row>
    <row r="24" spans="1:5" x14ac:dyDescent="0.35">
      <c r="A24" s="118">
        <v>17</v>
      </c>
      <c r="B24" s="114" t="s">
        <v>114</v>
      </c>
      <c r="C24" s="109" t="e">
        <f>VLOOKUP(Table257519913140106[[#This Row],[PEG]],Table1016[#All],2,FALSE)</f>
        <v>#N/A</v>
      </c>
      <c r="D24" s="117"/>
      <c r="E24" s="125" t="e">
        <f>VLOOKUP(Table257519913140106[[#This Row],[PEG]],Table1016[#All],3,FALSE)</f>
        <v>#N/A</v>
      </c>
    </row>
    <row r="25" spans="1:5" x14ac:dyDescent="0.35">
      <c r="A25" s="118">
        <v>18</v>
      </c>
      <c r="B25" s="114" t="s">
        <v>12</v>
      </c>
      <c r="C25" s="109" t="e">
        <f>VLOOKUP(Table257519913140106[[#This Row],[PEG]],Table1016[#All],2,FALSE)</f>
        <v>#N/A</v>
      </c>
      <c r="D25" s="117"/>
      <c r="E25" s="125" t="e">
        <f>VLOOKUP(Table257519913140106[[#This Row],[PEG]],Table1016[#All],3,FALSE)</f>
        <v>#N/A</v>
      </c>
    </row>
    <row r="26" spans="1:5" x14ac:dyDescent="0.35">
      <c r="A26" s="118">
        <v>19</v>
      </c>
      <c r="B26" s="114" t="s">
        <v>12</v>
      </c>
      <c r="C26" s="109" t="e">
        <f>VLOOKUP(Table257519913140106[[#This Row],[PEG]],Table1016[#All],2,FALSE)</f>
        <v>#N/A</v>
      </c>
      <c r="D26" s="117"/>
      <c r="E26" s="125" t="e">
        <f>VLOOKUP(Table257519913140106[[#This Row],[PEG]],Table1016[#All],3,FALSE)</f>
        <v>#N/A</v>
      </c>
    </row>
    <row r="27" spans="1:5" x14ac:dyDescent="0.35">
      <c r="A27" s="118">
        <v>20</v>
      </c>
      <c r="B27" s="114" t="s">
        <v>115</v>
      </c>
      <c r="C27" s="109" t="e">
        <f>VLOOKUP(Table257519913140106[[#This Row],[PEG]],Table1016[#All],2,FALSE)</f>
        <v>#N/A</v>
      </c>
      <c r="D27" s="117"/>
      <c r="E27" s="125" t="e">
        <f>VLOOKUP(Table257519913140106[[#This Row],[PEG]],Table1016[#All],3,FALSE)</f>
        <v>#N/A</v>
      </c>
    </row>
    <row r="28" spans="1:5" x14ac:dyDescent="0.35">
      <c r="A28" s="118">
        <v>21</v>
      </c>
      <c r="B28" s="114" t="s">
        <v>114</v>
      </c>
      <c r="C28" s="109" t="e">
        <f>VLOOKUP(Table257519913140106[[#This Row],[PEG]],Table1016[#All],2,FALSE)</f>
        <v>#N/A</v>
      </c>
      <c r="D28" s="117"/>
      <c r="E28" s="125" t="e">
        <f>VLOOKUP(Table257519913140106[[#This Row],[PEG]],Table1016[#All],3,FALSE)</f>
        <v>#N/A</v>
      </c>
    </row>
    <row r="29" spans="1:5" x14ac:dyDescent="0.35">
      <c r="A29" s="118">
        <v>22</v>
      </c>
      <c r="B29" s="114" t="s">
        <v>12</v>
      </c>
      <c r="C29" s="109" t="e">
        <f>VLOOKUP(Table257519913140106[[#This Row],[PEG]],Table1016[#All],2,FALSE)</f>
        <v>#N/A</v>
      </c>
      <c r="D29" s="117"/>
      <c r="E29" s="125" t="e">
        <f>VLOOKUP(Table257519913140106[[#This Row],[PEG]],Table1016[#All],3,FALSE)</f>
        <v>#N/A</v>
      </c>
    </row>
    <row r="30" spans="1:5" x14ac:dyDescent="0.35">
      <c r="A30" s="118">
        <v>23</v>
      </c>
      <c r="B30" s="114" t="s">
        <v>12</v>
      </c>
      <c r="C30" s="109" t="e">
        <f>VLOOKUP(Table257519913140106[[#This Row],[PEG]],Table1016[#All],2,FALSE)</f>
        <v>#N/A</v>
      </c>
      <c r="D30" s="117"/>
      <c r="E30" s="125" t="e">
        <f>VLOOKUP(Table257519913140106[[#This Row],[PEG]],Table1016[#All],3,FALSE)</f>
        <v>#N/A</v>
      </c>
    </row>
    <row r="31" spans="1:5" x14ac:dyDescent="0.35">
      <c r="A31" s="118">
        <v>24</v>
      </c>
      <c r="B31" s="114" t="s">
        <v>115</v>
      </c>
      <c r="C31" s="109" t="e">
        <f>VLOOKUP(Table257519913140106[[#This Row],[PEG]],Table1016[#All],2,FALSE)</f>
        <v>#N/A</v>
      </c>
      <c r="D31" s="117"/>
      <c r="E31" s="125" t="e">
        <f>VLOOKUP(Table257519913140106[[#This Row],[PEG]],Table1016[#All],3,FALSE)</f>
        <v>#N/A</v>
      </c>
    </row>
    <row r="32" spans="1:5" x14ac:dyDescent="0.35">
      <c r="A32" s="118">
        <v>25</v>
      </c>
      <c r="B32" s="114" t="s">
        <v>115</v>
      </c>
      <c r="C32" s="109" t="e">
        <f>VLOOKUP(Table257519913140106[[#This Row],[PEG]],Table1016[#All],2,FALSE)</f>
        <v>#N/A</v>
      </c>
      <c r="D32" s="117"/>
      <c r="E32" s="125" t="e">
        <f>VLOOKUP(Table257519913140106[[#This Row],[PEG]],Table1016[#All],3,FALSE)</f>
        <v>#N/A</v>
      </c>
    </row>
    <row r="33" spans="1:5" x14ac:dyDescent="0.35">
      <c r="A33" s="118">
        <v>26</v>
      </c>
      <c r="B33" s="114" t="s">
        <v>124</v>
      </c>
      <c r="C33" s="109" t="e">
        <f>VLOOKUP(Table257519913140106[[#This Row],[PEG]],Table1016[#All],2,FALSE)</f>
        <v>#N/A</v>
      </c>
      <c r="D33" s="117"/>
      <c r="E33" s="125" t="e">
        <f>VLOOKUP(Table257519913140106[[#This Row],[PEG]],Table1016[#All],3,FALSE)</f>
        <v>#N/A</v>
      </c>
    </row>
    <row r="34" spans="1:5" x14ac:dyDescent="0.35">
      <c r="A34" s="118">
        <v>27</v>
      </c>
      <c r="B34" s="114" t="s">
        <v>115</v>
      </c>
      <c r="C34" s="109" t="e">
        <f>VLOOKUP(Table257519913140106[[#This Row],[PEG]],Table1016[#All],2,FALSE)</f>
        <v>#N/A</v>
      </c>
      <c r="D34" s="117"/>
      <c r="E34" s="125" t="e">
        <f>VLOOKUP(Table257519913140106[[#This Row],[PEG]],Table1016[#All],3,FALSE)</f>
        <v>#N/A</v>
      </c>
    </row>
    <row r="35" spans="1:5" x14ac:dyDescent="0.35">
      <c r="A35" s="118">
        <v>28</v>
      </c>
      <c r="B35" s="114" t="s">
        <v>124</v>
      </c>
      <c r="C35" s="109" t="e">
        <f>VLOOKUP(Table257519913140106[[#This Row],[PEG]],Table1016[#All],2,FALSE)</f>
        <v>#N/A</v>
      </c>
      <c r="D35" s="117"/>
      <c r="E35" s="125" t="e">
        <f>VLOOKUP(Table257519913140106[[#This Row],[PEG]],Table1016[#All],3,FALSE)</f>
        <v>#N/A</v>
      </c>
    </row>
    <row r="36" spans="1:5" x14ac:dyDescent="0.35">
      <c r="A36" s="118">
        <v>29</v>
      </c>
      <c r="B36" s="114" t="s">
        <v>115</v>
      </c>
      <c r="C36" s="109" t="e">
        <f>VLOOKUP(Table257519913140106[[#This Row],[PEG]],Table1016[#All],2,FALSE)</f>
        <v>#N/A</v>
      </c>
      <c r="D36" s="117"/>
      <c r="E36" s="125" t="e">
        <f>VLOOKUP(Table257519913140106[[#This Row],[PEG]],Table1016[#All],3,FALSE)</f>
        <v>#N/A</v>
      </c>
    </row>
    <row r="37" spans="1:5" x14ac:dyDescent="0.35">
      <c r="A37" s="118">
        <v>30</v>
      </c>
      <c r="B37" s="114" t="s">
        <v>12</v>
      </c>
      <c r="C37" s="109" t="e">
        <f>VLOOKUP(Table257519913140106[[#This Row],[PEG]],Table1016[#All],2,FALSE)</f>
        <v>#N/A</v>
      </c>
      <c r="D37" s="117"/>
      <c r="E37" s="125" t="e">
        <f>VLOOKUP(Table257519913140106[[#This Row],[PEG]],Table1016[#All],3,FALSE)</f>
        <v>#N/A</v>
      </c>
    </row>
    <row r="38" spans="1:5" x14ac:dyDescent="0.35">
      <c r="A38" s="118">
        <v>31</v>
      </c>
      <c r="B38" s="114" t="s">
        <v>12</v>
      </c>
      <c r="C38" s="109" t="e">
        <f>VLOOKUP(Table257519913140106[[#This Row],[PEG]],Table1016[#All],2,FALSE)</f>
        <v>#N/A</v>
      </c>
      <c r="D38" s="117"/>
      <c r="E38" s="125" t="e">
        <f>VLOOKUP(Table257519913140106[[#This Row],[PEG]],Table1016[#All],3,FALSE)</f>
        <v>#N/A</v>
      </c>
    </row>
    <row r="39" spans="1:5" x14ac:dyDescent="0.35">
      <c r="A39" s="118">
        <v>32</v>
      </c>
      <c r="B39" s="114" t="s">
        <v>12</v>
      </c>
      <c r="C39" s="109" t="e">
        <f>VLOOKUP(Table257519913140106[[#This Row],[PEG]],Table1016[#All],2,FALSE)</f>
        <v>#N/A</v>
      </c>
      <c r="D39" s="117"/>
      <c r="E39" s="125" t="e">
        <f>VLOOKUP(Table257519913140106[[#This Row],[PEG]],Table1016[#All],3,FALSE)</f>
        <v>#N/A</v>
      </c>
    </row>
    <row r="40" spans="1:5" x14ac:dyDescent="0.35">
      <c r="A40" s="118">
        <v>33</v>
      </c>
      <c r="B40" s="114" t="s">
        <v>12</v>
      </c>
      <c r="C40" s="109" t="e">
        <f>VLOOKUP(Table257519913140106[[#This Row],[PEG]],Table1016[#All],2,FALSE)</f>
        <v>#N/A</v>
      </c>
      <c r="D40" s="117"/>
      <c r="E40" s="125" t="e">
        <f>VLOOKUP(Table257519913140106[[#This Row],[PEG]],Table1016[#All],3,FALSE)</f>
        <v>#N/A</v>
      </c>
    </row>
    <row r="41" spans="1:5" x14ac:dyDescent="0.35">
      <c r="A41" s="118">
        <v>34</v>
      </c>
      <c r="B41" s="114" t="s">
        <v>115</v>
      </c>
      <c r="C41" s="109" t="e">
        <f>VLOOKUP(Table257519913140106[[#This Row],[PEG]],Table1016[#All],2,FALSE)</f>
        <v>#N/A</v>
      </c>
      <c r="D41" s="117"/>
      <c r="E41" s="125" t="e">
        <f>VLOOKUP(Table257519913140106[[#This Row],[PEG]],Table1016[#All],3,FALSE)</f>
        <v>#N/A</v>
      </c>
    </row>
    <row r="42" spans="1:5" x14ac:dyDescent="0.35">
      <c r="A42" s="118">
        <v>35</v>
      </c>
      <c r="B42" s="114" t="s">
        <v>12</v>
      </c>
      <c r="C42" s="109" t="e">
        <f>VLOOKUP(Table257519913140106[[#This Row],[PEG]],Table1016[#All],2,FALSE)</f>
        <v>#N/A</v>
      </c>
      <c r="D42" s="115"/>
      <c r="E42" s="125" t="e">
        <f>VLOOKUP(Table257519913140106[[#This Row],[PEG]],Table1016[#All],3,FALSE)</f>
        <v>#N/A</v>
      </c>
    </row>
    <row r="43" spans="1:5" x14ac:dyDescent="0.35">
      <c r="A43" s="118">
        <v>36</v>
      </c>
      <c r="B43" s="114" t="s">
        <v>115</v>
      </c>
      <c r="C43" s="109" t="e">
        <f>VLOOKUP(Table257519913140106[[#This Row],[PEG]],Table1016[#All],2,FALSE)</f>
        <v>#N/A</v>
      </c>
      <c r="D43" s="115"/>
      <c r="E43" s="125" t="e">
        <f>VLOOKUP(Table257519913140106[[#This Row],[PEG]],Table1016[#All],3,FALSE)</f>
        <v>#N/A</v>
      </c>
    </row>
    <row r="44" spans="1:5" x14ac:dyDescent="0.35">
      <c r="A44" s="118">
        <v>37</v>
      </c>
      <c r="B44" s="114" t="s">
        <v>13</v>
      </c>
      <c r="C44" s="18" t="s">
        <v>13</v>
      </c>
      <c r="D44" s="115"/>
      <c r="E44" s="32"/>
    </row>
  </sheetData>
  <mergeCells count="1">
    <mergeCell ref="A1:B1"/>
  </mergeCells>
  <conditionalFormatting sqref="B8:B18">
    <cfRule type="containsText" dxfId="2433" priority="1" operator="containsText" text="Hear">
      <formula>NOT(ISERROR(SEARCH("Hear",B8)))</formula>
    </cfRule>
  </conditionalFormatting>
  <conditionalFormatting sqref="B30">
    <cfRule type="containsText" dxfId="2432" priority="4" operator="containsText" text="Hear">
      <formula>NOT(ISERROR(SEARCH("Hear",B30)))</formula>
    </cfRule>
  </conditionalFormatting>
  <conditionalFormatting sqref="B43:B44">
    <cfRule type="containsText" dxfId="2431" priority="14" operator="containsText" text="Hear">
      <formula>NOT(ISERROR(SEARCH("Hear",B43)))</formula>
    </cfRule>
  </conditionalFormatting>
  <conditionalFormatting sqref="E44">
    <cfRule type="containsText" dxfId="2430" priority="12" operator="containsText" text="WEB SERVICE">
      <formula>NOT(ISERROR(SEARCH("WEB SERVICE",E44)))</formula>
    </cfRule>
    <cfRule type="containsText" dxfId="2429" priority="13" operator="containsText" text="DB">
      <formula>NOT(ISERROR(SEARCH("DB",E44)))</formula>
    </cfRule>
  </conditionalFormatting>
  <conditionalFormatting sqref="C44">
    <cfRule type="expression" dxfId="2428" priority="15">
      <formula>$B44="Dial"</formula>
    </cfRule>
    <cfRule type="expression" dxfId="2427" priority="17">
      <formula>$B44="HANGUP"</formula>
    </cfRule>
  </conditionalFormatting>
  <conditionalFormatting sqref="C44">
    <cfRule type="expression" dxfId="2426" priority="16">
      <formula>$B44="Speak"</formula>
    </cfRule>
  </conditionalFormatting>
  <conditionalFormatting sqref="B36:B38 B40:B41">
    <cfRule type="containsText" dxfId="2425" priority="3" operator="containsText" text="Hear">
      <formula>NOT(ISERROR(SEARCH("Hear",B36)))</formula>
    </cfRule>
  </conditionalFormatting>
  <conditionalFormatting sqref="B19:B29 B31:B35 B42">
    <cfRule type="containsText" dxfId="2424" priority="5" operator="containsText" text="Hear">
      <formula>NOT(ISERROR(SEARCH("Hear",B19)))</formula>
    </cfRule>
  </conditionalFormatting>
  <hyperlinks>
    <hyperlink ref="A1" location="'Test Case Overview'!A1" display="Return to Test Case Overview" xr:uid="{415CC549-2745-4FD4-93C4-0344F98F7936}"/>
  </hyperlinks>
  <pageMargins left="0.7" right="0.7" top="0.75" bottom="0.75" header="0.3" footer="0.3"/>
  <pageSetup orientation="portrait" verticalDpi="0" r:id="rId1"/>
  <tableParts count="1">
    <tablePart r:id="rId2"/>
  </tableParts>
  <extLst>
    <ext xmlns:x14="http://schemas.microsoft.com/office/spreadsheetml/2009/9/main" uri="{78C0D931-6437-407d-A8EE-F0AAD7539E65}">
      <x14:conditionalFormattings>
        <x14:conditionalFormatting xmlns:xm="http://schemas.microsoft.com/office/excel/2006/main">
          <x14:cfRule type="expression" priority="2" id="{F3AE7E60-8DD0-4031-888A-0332C6A55E05}">
            <xm:f>'TC1'!$B8="Dial"</xm:f>
            <x14:dxf>
              <font>
                <b/>
                <i val="0"/>
                <color rgb="FFFF0000"/>
              </font>
            </x14:dxf>
          </x14:cfRule>
          <x14:cfRule type="expression" priority="18" id="{77F4146B-7D8B-434B-9109-7410D41E6D36}">
            <xm:f>'TC1'!$B8="HANGUP"</xm:f>
            <x14:dxf>
              <font>
                <b/>
                <i val="0"/>
              </font>
            </x14:dxf>
          </x14:cfRule>
          <xm:sqref>C8</xm:sqref>
        </x14:conditionalFormatting>
        <x14:conditionalFormatting xmlns:xm="http://schemas.microsoft.com/office/excel/2006/main">
          <x14:cfRule type="expression" priority="19" id="{A9FA9BDE-424A-4739-9B5C-5C59819E082A}">
            <xm:f>'TC1'!$B8="Speak"</xm:f>
            <x14:dxf>
              <font>
                <b/>
                <i val="0"/>
                <color rgb="FFFF0000"/>
              </font>
            </x14:dxf>
          </x14:cfRule>
          <xm:sqref>C8</xm:sqref>
        </x14:conditionalFormatting>
        <x14:conditionalFormatting xmlns:xm="http://schemas.microsoft.com/office/excel/2006/main">
          <x14:cfRule type="containsText" priority="22" operator="containsText" text="Hear" id="{B1525C1C-169E-47C8-B757-5A6C2252CF7F}">
            <xm:f>NOT(ISERROR(SEARCH("Hear",'TC3'!B34)))</xm:f>
            <x14:dxf>
              <font>
                <color theme="9" tint="-0.24994659260841701"/>
              </font>
              <fill>
                <patternFill>
                  <bgColor theme="9" tint="0.59996337778862885"/>
                </patternFill>
              </fill>
            </x14:dxf>
          </x14:cfRule>
          <xm:sqref>B41</xm:sqref>
        </x14:conditionalFormatting>
        <x14:conditionalFormatting xmlns:xm="http://schemas.microsoft.com/office/excel/2006/main">
          <x14:cfRule type="expression" priority="2443" id="{F3AE7E60-8DD0-4031-888A-0332C6A55E05}">
            <xm:f>'TC1'!$B16="Dial"</xm:f>
            <x14:dxf>
              <font>
                <b/>
                <i val="0"/>
                <color rgb="FFFF0000"/>
              </font>
            </x14:dxf>
          </x14:cfRule>
          <x14:cfRule type="expression" priority="2444" id="{77F4146B-7D8B-434B-9109-7410D41E6D36}">
            <xm:f>'TC1'!$B16="HANGUP"</xm:f>
            <x14:dxf>
              <font>
                <b/>
                <i val="0"/>
              </font>
            </x14:dxf>
          </x14:cfRule>
          <xm:sqref>C34:C43</xm:sqref>
        </x14:conditionalFormatting>
        <x14:conditionalFormatting xmlns:xm="http://schemas.microsoft.com/office/excel/2006/main">
          <x14:cfRule type="expression" priority="2445" id="{F3AE7E60-8DD0-4031-888A-0332C6A55E05}">
            <xm:f>'TC1'!#REF!="Dial"</xm:f>
            <x14:dxf>
              <font>
                <b/>
                <i val="0"/>
                <color rgb="FFFF0000"/>
              </font>
            </x14:dxf>
          </x14:cfRule>
          <x14:cfRule type="expression" priority="2446" id="{77F4146B-7D8B-434B-9109-7410D41E6D36}">
            <xm:f>'TC1'!#REF!="HANGUP"</xm:f>
            <x14:dxf>
              <font>
                <b/>
                <i val="0"/>
              </font>
            </x14:dxf>
          </x14:cfRule>
          <xm:sqref>C17:C33</xm:sqref>
        </x14:conditionalFormatting>
        <x14:conditionalFormatting xmlns:xm="http://schemas.microsoft.com/office/excel/2006/main">
          <x14:cfRule type="expression" priority="2450" id="{A9FA9BDE-424A-4739-9B5C-5C59819E082A}">
            <xm:f>'TC1'!$B16="Speak"</xm:f>
            <x14:dxf>
              <font>
                <b/>
                <i val="0"/>
                <color rgb="FFFF0000"/>
              </font>
            </x14:dxf>
          </x14:cfRule>
          <xm:sqref>C34:C43</xm:sqref>
        </x14:conditionalFormatting>
        <x14:conditionalFormatting xmlns:xm="http://schemas.microsoft.com/office/excel/2006/main">
          <x14:cfRule type="expression" priority="2451" id="{A9FA9BDE-424A-4739-9B5C-5C59819E082A}">
            <xm:f>'TC1'!#REF!="Speak"</xm:f>
            <x14:dxf>
              <font>
                <b/>
                <i val="0"/>
                <color rgb="FFFF0000"/>
              </font>
            </x14:dxf>
          </x14:cfRule>
          <xm:sqref>C17:C33</xm:sqref>
        </x14:conditionalFormatting>
        <x14:conditionalFormatting xmlns:xm="http://schemas.microsoft.com/office/excel/2006/main">
          <x14:cfRule type="containsText" priority="2455" operator="containsText" text="DB" id="{0EEC8BBE-DDC7-4ADC-AF95-6539A6C1FFCF}">
            <xm:f>NOT(ISERROR(SEARCH("DB",'TC1'!E16)))</xm:f>
            <x14:dxf>
              <font>
                <color rgb="FF006100"/>
              </font>
              <fill>
                <patternFill>
                  <bgColor rgb="FFC6EFCE"/>
                </patternFill>
              </fill>
            </x14:dxf>
          </x14:cfRule>
          <x14:cfRule type="containsText" priority="2456" operator="containsText" text="WEB SERVICE" id="{A677FB74-EDCA-48A3-BEB4-FA2F1EF28C81}">
            <xm:f>NOT(ISERROR(SEARCH("WEB SERVICE",'TC1'!E16)))</xm:f>
            <x14:dxf>
              <font>
                <color rgb="FF9C0006"/>
              </font>
              <fill>
                <patternFill>
                  <bgColor rgb="FFFFC7CE"/>
                </patternFill>
              </fill>
            </x14:dxf>
          </x14:cfRule>
          <xm:sqref>E34:E43</xm:sqref>
        </x14:conditionalFormatting>
        <x14:conditionalFormatting xmlns:xm="http://schemas.microsoft.com/office/excel/2006/main">
          <x14:cfRule type="containsText" priority="2457" operator="containsText" text="DB" id="{0EEC8BBE-DDC7-4ADC-AF95-6539A6C1FFCF}">
            <xm:f>NOT(ISERROR(SEARCH("DB",'TC1'!#REF!)))</xm:f>
            <x14:dxf>
              <font>
                <color rgb="FF006100"/>
              </font>
              <fill>
                <patternFill>
                  <bgColor rgb="FFC6EFCE"/>
                </patternFill>
              </fill>
            </x14:dxf>
          </x14:cfRule>
          <x14:cfRule type="containsText" priority="2458" operator="containsText" text="WEB SERVICE" id="{A677FB74-EDCA-48A3-BEB4-FA2F1EF28C81}">
            <xm:f>NOT(ISERROR(SEARCH("WEB SERVICE",'TC1'!#REF!)))</xm:f>
            <x14:dxf>
              <font>
                <color rgb="FF9C0006"/>
              </font>
              <fill>
                <patternFill>
                  <bgColor rgb="FFFFC7CE"/>
                </patternFill>
              </fill>
            </x14:dxf>
          </x14:cfRule>
          <xm:sqref>E17:E33</xm:sqref>
        </x14:conditionalFormatting>
        <x14:conditionalFormatting xmlns:xm="http://schemas.microsoft.com/office/excel/2006/main">
          <x14:cfRule type="expression" priority="5137" id="{F3AE7E60-8DD0-4031-888A-0332C6A55E05}">
            <xm:f>'TC1'!$B9="Dial"</xm:f>
            <x14:dxf>
              <font>
                <b/>
                <i val="0"/>
                <color rgb="FFFF0000"/>
              </font>
            </x14:dxf>
          </x14:cfRule>
          <x14:cfRule type="expression" priority="5138" id="{77F4146B-7D8B-434B-9109-7410D41E6D36}">
            <xm:f>'TC1'!$B9="HANGUP"</xm:f>
            <x14:dxf>
              <font>
                <b/>
                <i val="0"/>
              </font>
            </x14:dxf>
          </x14:cfRule>
          <xm:sqref>C12:C15</xm:sqref>
        </x14:conditionalFormatting>
        <x14:conditionalFormatting xmlns:xm="http://schemas.microsoft.com/office/excel/2006/main">
          <x14:cfRule type="expression" priority="5139" id="{F3AE7E60-8DD0-4031-888A-0332C6A55E05}">
            <xm:f>'TC1'!#REF!="Dial"</xm:f>
            <x14:dxf>
              <font>
                <b/>
                <i val="0"/>
                <color rgb="FFFF0000"/>
              </font>
            </x14:dxf>
          </x14:cfRule>
          <x14:cfRule type="expression" priority="5140" id="{77F4146B-7D8B-434B-9109-7410D41E6D36}">
            <xm:f>'TC1'!#REF!="HANGUP"</xm:f>
            <x14:dxf>
              <font>
                <b/>
                <i val="0"/>
              </font>
            </x14:dxf>
          </x14:cfRule>
          <xm:sqref>C9:C11</xm:sqref>
        </x14:conditionalFormatting>
        <x14:conditionalFormatting xmlns:xm="http://schemas.microsoft.com/office/excel/2006/main">
          <x14:cfRule type="expression" priority="5144" id="{A9FA9BDE-424A-4739-9B5C-5C59819E082A}">
            <xm:f>'TC1'!$B9="Speak"</xm:f>
            <x14:dxf>
              <font>
                <b/>
                <i val="0"/>
                <color rgb="FFFF0000"/>
              </font>
            </x14:dxf>
          </x14:cfRule>
          <xm:sqref>C12:C15</xm:sqref>
        </x14:conditionalFormatting>
        <x14:conditionalFormatting xmlns:xm="http://schemas.microsoft.com/office/excel/2006/main">
          <x14:cfRule type="expression" priority="5145" id="{A9FA9BDE-424A-4739-9B5C-5C59819E082A}">
            <xm:f>'TC1'!#REF!="Speak"</xm:f>
            <x14:dxf>
              <font>
                <b/>
                <i val="0"/>
                <color rgb="FFFF0000"/>
              </font>
            </x14:dxf>
          </x14:cfRule>
          <xm:sqref>C9:C11</xm:sqref>
        </x14:conditionalFormatting>
        <x14:conditionalFormatting xmlns:xm="http://schemas.microsoft.com/office/excel/2006/main">
          <x14:cfRule type="containsText" priority="5147" operator="containsText" text="DB" id="{0EEC8BBE-DDC7-4ADC-AF95-6539A6C1FFCF}">
            <xm:f>NOT(ISERROR(SEARCH("DB",'TC1'!#REF!)))</xm:f>
            <x14:dxf>
              <font>
                <color rgb="FF006100"/>
              </font>
              <fill>
                <patternFill>
                  <bgColor rgb="FFC6EFCE"/>
                </patternFill>
              </fill>
            </x14:dxf>
          </x14:cfRule>
          <x14:cfRule type="containsText" priority="5148" operator="containsText" text="WEB SERVICE" id="{A677FB74-EDCA-48A3-BEB4-FA2F1EF28C81}">
            <xm:f>NOT(ISERROR(SEARCH("WEB SERVICE",'TC1'!#REF!)))</xm:f>
            <x14:dxf>
              <font>
                <color rgb="FF9C0006"/>
              </font>
              <fill>
                <patternFill>
                  <bgColor rgb="FFFFC7CE"/>
                </patternFill>
              </fill>
            </x14:dxf>
          </x14:cfRule>
          <xm:sqref>E9:E11</xm:sqref>
        </x14:conditionalFormatting>
        <x14:conditionalFormatting xmlns:xm="http://schemas.microsoft.com/office/excel/2006/main">
          <x14:cfRule type="containsText" priority="5149" operator="containsText" text="DB" id="{0EEC8BBE-DDC7-4ADC-AF95-6539A6C1FFCF}">
            <xm:f>NOT(ISERROR(SEARCH("DB",'TC1'!E9)))</xm:f>
            <x14:dxf>
              <font>
                <color rgb="FF006100"/>
              </font>
              <fill>
                <patternFill>
                  <bgColor rgb="FFC6EFCE"/>
                </patternFill>
              </fill>
            </x14:dxf>
          </x14:cfRule>
          <x14:cfRule type="containsText" priority="5150" operator="containsText" text="WEB SERVICE" id="{A677FB74-EDCA-48A3-BEB4-FA2F1EF28C81}">
            <xm:f>NOT(ISERROR(SEARCH("WEB SERVICE",'TC1'!E9)))</xm:f>
            <x14:dxf>
              <font>
                <color rgb="FF9C0006"/>
              </font>
              <fill>
                <patternFill>
                  <bgColor rgb="FFFFC7CE"/>
                </patternFill>
              </fill>
            </x14:dxf>
          </x14:cfRule>
          <xm:sqref>E12:E15</xm:sqref>
        </x14:conditionalFormatting>
        <x14:conditionalFormatting xmlns:xm="http://schemas.microsoft.com/office/excel/2006/main">
          <x14:cfRule type="expression" priority="7460" id="{F3AE7E60-8DD0-4031-888A-0332C6A55E05}">
            <xm:f>'TC1'!$B15="Dial"</xm:f>
            <x14:dxf>
              <font>
                <b/>
                <i val="0"/>
                <color rgb="FFFF0000"/>
              </font>
            </x14:dxf>
          </x14:cfRule>
          <x14:cfRule type="expression" priority="7461" id="{77F4146B-7D8B-434B-9109-7410D41E6D36}">
            <xm:f>'TC1'!$B15="HANGUP"</xm:f>
            <x14:dxf>
              <font>
                <b/>
                <i val="0"/>
              </font>
            </x14:dxf>
          </x14:cfRule>
          <xm:sqref>C16</xm:sqref>
        </x14:conditionalFormatting>
        <x14:conditionalFormatting xmlns:xm="http://schemas.microsoft.com/office/excel/2006/main">
          <x14:cfRule type="expression" priority="7463" id="{A9FA9BDE-424A-4739-9B5C-5C59819E082A}">
            <xm:f>'TC1'!$B15="Speak"</xm:f>
            <x14:dxf>
              <font>
                <b/>
                <i val="0"/>
                <color rgb="FFFF0000"/>
              </font>
            </x14:dxf>
          </x14:cfRule>
          <xm:sqref>C16</xm:sqref>
        </x14:conditionalFormatting>
        <x14:conditionalFormatting xmlns:xm="http://schemas.microsoft.com/office/excel/2006/main">
          <x14:cfRule type="containsText" priority="7466" operator="containsText" text="DB" id="{0EEC8BBE-DDC7-4ADC-AF95-6539A6C1FFCF}">
            <xm:f>NOT(ISERROR(SEARCH("DB",'TC1'!E15)))</xm:f>
            <x14:dxf>
              <font>
                <color rgb="FF006100"/>
              </font>
              <fill>
                <patternFill>
                  <bgColor rgb="FFC6EFCE"/>
                </patternFill>
              </fill>
            </x14:dxf>
          </x14:cfRule>
          <x14:cfRule type="containsText" priority="7467" operator="containsText" text="WEB SERVICE" id="{A677FB74-EDCA-48A3-BEB4-FA2F1EF28C81}">
            <xm:f>NOT(ISERROR(SEARCH("WEB SERVICE",'TC1'!E15)))</xm:f>
            <x14:dxf>
              <font>
                <color rgb="FF9C0006"/>
              </font>
              <fill>
                <patternFill>
                  <bgColor rgb="FFFFC7CE"/>
                </patternFill>
              </fill>
            </x14:dxf>
          </x14:cfRule>
          <xm:sqref>E16</xm:sqref>
        </x14:conditionalFormatting>
        <x14:conditionalFormatting xmlns:xm="http://schemas.microsoft.com/office/excel/2006/main">
          <x14:cfRule type="containsText" priority="10014" operator="containsText" text="Hear" id="{475D1E75-2027-46B0-A1DB-059614D8EC2A}">
            <xm:f>NOT(ISERROR(SEARCH("Hear",'TC26'!#REF!)))</xm:f>
            <x14:dxf>
              <font>
                <color theme="9" tint="-0.24994659260841701"/>
              </font>
              <fill>
                <patternFill>
                  <bgColor theme="9" tint="0.59996337778862885"/>
                </patternFill>
              </fill>
            </x14:dxf>
          </x14:cfRule>
          <xm:sqref>B39</xm:sqref>
        </x14:conditionalFormatting>
      </x14:conditionalFormattings>
    </ext>
  </extLst>
</worksheet>
</file>

<file path=xl/worksheets/sheet1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E00-000000000000}">
  <sheetPr codeName="Sheet112"/>
  <dimension ref="A1:E44"/>
  <sheetViews>
    <sheetView topLeftCell="A7" zoomScaleNormal="100" workbookViewId="0">
      <selection sqref="A1:E44"/>
    </sheetView>
  </sheetViews>
  <sheetFormatPr defaultRowHeight="14.5" x14ac:dyDescent="0.35"/>
  <cols>
    <col min="1" max="1" width="14.453125" bestFit="1" customWidth="1"/>
    <col min="2" max="2" width="42.6328125" customWidth="1"/>
    <col min="3" max="3" width="106.1796875" customWidth="1"/>
    <col min="4" max="4" width="21.81640625" bestFit="1" customWidth="1"/>
    <col min="5" max="5" width="20.6328125" customWidth="1"/>
  </cols>
  <sheetData>
    <row r="1" spans="1:5" ht="18.5" x14ac:dyDescent="0.35">
      <c r="A1" s="192" t="s">
        <v>4</v>
      </c>
      <c r="B1" s="192"/>
      <c r="C1" s="105"/>
      <c r="D1" s="111"/>
      <c r="E1" s="97"/>
    </row>
    <row r="2" spans="1:5" x14ac:dyDescent="0.35">
      <c r="A2" s="106" t="s">
        <v>5</v>
      </c>
      <c r="B2" s="107" t="str">
        <f ca="1">MID(CELL("filename",A1),FIND("]",CELL("filename",A1))+1,LEN(CELL("filename",A1))-FIND("]",CELL("filename",A1)))</f>
        <v>TC110</v>
      </c>
      <c r="C2" s="98"/>
      <c r="D2" s="111"/>
      <c r="E2" s="97"/>
    </row>
    <row r="3" spans="1:5" x14ac:dyDescent="0.35">
      <c r="A3" s="104" t="s">
        <v>19</v>
      </c>
      <c r="B3" s="112">
        <f ca="1">VLOOKUP(B2,Table53[#All],2,FALSE)</f>
        <v>0</v>
      </c>
      <c r="C3" s="98"/>
      <c r="D3" s="111"/>
      <c r="E3" s="97"/>
    </row>
    <row r="4" spans="1:5" ht="29" x14ac:dyDescent="0.35">
      <c r="A4" s="113" t="s">
        <v>20</v>
      </c>
      <c r="B4" s="99">
        <f ca="1">VLOOKUP(B2,Table53[#All],4,FALSE)</f>
        <v>0</v>
      </c>
      <c r="C4" s="98"/>
      <c r="D4" s="111"/>
      <c r="E4" s="97"/>
    </row>
    <row r="5" spans="1:5" x14ac:dyDescent="0.35">
      <c r="A5" s="104" t="s">
        <v>6</v>
      </c>
      <c r="B5" s="77">
        <f ca="1">VLOOKUP(B2,Table53[#All],3,FALSE)</f>
        <v>0</v>
      </c>
      <c r="C5" s="98"/>
      <c r="D5" s="111"/>
      <c r="E5" s="97"/>
    </row>
    <row r="6" spans="1:5" x14ac:dyDescent="0.35">
      <c r="A6" s="97"/>
      <c r="B6" s="97"/>
      <c r="C6" s="98"/>
      <c r="D6" s="111"/>
      <c r="E6" s="97"/>
    </row>
    <row r="7" spans="1:5" ht="15.5" x14ac:dyDescent="0.35">
      <c r="A7" s="100" t="s">
        <v>7</v>
      </c>
      <c r="B7" s="101" t="s">
        <v>8</v>
      </c>
      <c r="C7" s="102" t="s">
        <v>9</v>
      </c>
      <c r="D7" s="102" t="s">
        <v>14</v>
      </c>
      <c r="E7" s="103" t="s">
        <v>10</v>
      </c>
    </row>
    <row r="8" spans="1:5" x14ac:dyDescent="0.35">
      <c r="A8" s="118">
        <v>1</v>
      </c>
      <c r="B8" s="114" t="s">
        <v>114</v>
      </c>
      <c r="C8" s="109" t="s">
        <v>125</v>
      </c>
      <c r="D8" s="128"/>
      <c r="E8" s="125" t="s">
        <v>11</v>
      </c>
    </row>
    <row r="9" spans="1:5" x14ac:dyDescent="0.35">
      <c r="A9" s="118">
        <v>2</v>
      </c>
      <c r="B9" s="114" t="s">
        <v>12</v>
      </c>
      <c r="C9" s="109" t="e">
        <f>VLOOKUP(Table257519913140106110[[#This Row],[PEG]],Table1016[#All],2,FALSE)</f>
        <v>#N/A</v>
      </c>
      <c r="D9" s="128"/>
      <c r="E9" s="125" t="e">
        <f>VLOOKUP(Table257519913140106110[[#This Row],[PEG]],Table1016[#All],3,FALSE)</f>
        <v>#N/A</v>
      </c>
    </row>
    <row r="10" spans="1:5" x14ac:dyDescent="0.35">
      <c r="A10" s="118">
        <v>3</v>
      </c>
      <c r="B10" s="114" t="s">
        <v>115</v>
      </c>
      <c r="C10" s="109" t="e">
        <f>VLOOKUP(Table257519913140106110[[#This Row],[PEG]],Table1016[#All],2,FALSE)</f>
        <v>#N/A</v>
      </c>
      <c r="D10" s="128"/>
      <c r="E10" s="125" t="e">
        <f>VLOOKUP(Table257519913140106110[[#This Row],[PEG]],Table1016[#All],3,FALSE)</f>
        <v>#N/A</v>
      </c>
    </row>
    <row r="11" spans="1:5" x14ac:dyDescent="0.35">
      <c r="A11" s="118">
        <v>4</v>
      </c>
      <c r="B11" s="114" t="s">
        <v>115</v>
      </c>
      <c r="C11" s="109" t="e">
        <f>VLOOKUP(Table257519913140106110[[#This Row],[PEG]],Table1016[#All],2,FALSE)</f>
        <v>#N/A</v>
      </c>
      <c r="D11" s="128"/>
      <c r="E11" s="125" t="e">
        <f>VLOOKUP(Table257519913140106110[[#This Row],[PEG]],Table1016[#All],3,FALSE)</f>
        <v>#N/A</v>
      </c>
    </row>
    <row r="12" spans="1:5" x14ac:dyDescent="0.35">
      <c r="A12" s="118">
        <v>5</v>
      </c>
      <c r="B12" s="114" t="s">
        <v>114</v>
      </c>
      <c r="C12" s="109" t="e">
        <f>VLOOKUP(Table257519913140106110[[#This Row],[PEG]],Table1016[#All],2,FALSE)</f>
        <v>#N/A</v>
      </c>
      <c r="D12" s="128"/>
      <c r="E12" s="125" t="e">
        <f>VLOOKUP(Table257519913140106110[[#This Row],[PEG]],Table1016[#All],3,FALSE)</f>
        <v>#N/A</v>
      </c>
    </row>
    <row r="13" spans="1:5" x14ac:dyDescent="0.35">
      <c r="A13" s="118">
        <v>6</v>
      </c>
      <c r="B13" s="114" t="s">
        <v>115</v>
      </c>
      <c r="C13" s="109" t="e">
        <f>VLOOKUP(Table257519913140106110[[#This Row],[PEG]],Table1016[#All],2,FALSE)</f>
        <v>#N/A</v>
      </c>
      <c r="D13" s="128"/>
      <c r="E13" s="125" t="e">
        <f>VLOOKUP(Table257519913140106110[[#This Row],[PEG]],Table1016[#All],3,FALSE)</f>
        <v>#N/A</v>
      </c>
    </row>
    <row r="14" spans="1:5" x14ac:dyDescent="0.35">
      <c r="A14" s="118">
        <v>7</v>
      </c>
      <c r="B14" s="114" t="s">
        <v>114</v>
      </c>
      <c r="C14" s="109" t="e">
        <f>VLOOKUP(Table257519913140106110[[#This Row],[PEG]],Table1016[#All],2,FALSE)</f>
        <v>#N/A</v>
      </c>
      <c r="D14" s="128"/>
      <c r="E14" s="125" t="e">
        <f>VLOOKUP(Table257519913140106110[[#This Row],[PEG]],Table1016[#All],3,FALSE)</f>
        <v>#N/A</v>
      </c>
    </row>
    <row r="15" spans="1:5" x14ac:dyDescent="0.35">
      <c r="A15" s="118">
        <v>8</v>
      </c>
      <c r="B15" s="114" t="s">
        <v>115</v>
      </c>
      <c r="C15" s="109" t="e">
        <f>VLOOKUP(Table257519913140106110[[#This Row],[PEG]],Table1016[#All],2,FALSE)</f>
        <v>#N/A</v>
      </c>
      <c r="D15" s="116"/>
      <c r="E15" s="125" t="e">
        <f>VLOOKUP(Table257519913140106110[[#This Row],[PEG]],Table1016[#All],3,FALSE)</f>
        <v>#N/A</v>
      </c>
    </row>
    <row r="16" spans="1:5" x14ac:dyDescent="0.35">
      <c r="A16" s="118">
        <v>9</v>
      </c>
      <c r="B16" s="114" t="s">
        <v>12</v>
      </c>
      <c r="C16" s="109" t="e">
        <f>VLOOKUP(Table257519913140106110[[#This Row],[PEG]],Table1016[#All],2,FALSE)</f>
        <v>#N/A</v>
      </c>
      <c r="D16" s="116"/>
      <c r="E16" s="125" t="e">
        <f>VLOOKUP(Table257519913140106110[[#This Row],[PEG]],Table1016[#All],3,FALSE)</f>
        <v>#N/A</v>
      </c>
    </row>
    <row r="17" spans="1:5" x14ac:dyDescent="0.35">
      <c r="A17" s="118">
        <v>10</v>
      </c>
      <c r="B17" s="114" t="s">
        <v>12</v>
      </c>
      <c r="C17" s="109" t="e">
        <f>VLOOKUP(Table257519913140106110[[#This Row],[PEG]],Table1016[#All],2,FALSE)</f>
        <v>#N/A</v>
      </c>
      <c r="D17" s="117"/>
      <c r="E17" s="125" t="e">
        <f>VLOOKUP(Table257519913140106110[[#This Row],[PEG]],Table1016[#All],3,FALSE)</f>
        <v>#N/A</v>
      </c>
    </row>
    <row r="18" spans="1:5" x14ac:dyDescent="0.35">
      <c r="A18" s="118">
        <v>11</v>
      </c>
      <c r="B18" s="114" t="s">
        <v>115</v>
      </c>
      <c r="C18" s="109" t="e">
        <f>VLOOKUP(Table257519913140106110[[#This Row],[PEG]],Table1016[#All],2,FALSE)</f>
        <v>#N/A</v>
      </c>
      <c r="D18" s="117"/>
      <c r="E18" s="125" t="e">
        <f>VLOOKUP(Table257519913140106110[[#This Row],[PEG]],Table1016[#All],3,FALSE)</f>
        <v>#N/A</v>
      </c>
    </row>
    <row r="19" spans="1:5" x14ac:dyDescent="0.35">
      <c r="A19" s="118">
        <v>12</v>
      </c>
      <c r="B19" s="114" t="s">
        <v>115</v>
      </c>
      <c r="C19" s="109" t="e">
        <f>VLOOKUP(Table257519913140106110[[#This Row],[PEG]],Table1016[#All],2,FALSE)</f>
        <v>#N/A</v>
      </c>
      <c r="D19" s="117"/>
      <c r="E19" s="125" t="e">
        <f>VLOOKUP(Table257519913140106110[[#This Row],[PEG]],Table1016[#All],3,FALSE)</f>
        <v>#N/A</v>
      </c>
    </row>
    <row r="20" spans="1:5" x14ac:dyDescent="0.35">
      <c r="A20" s="118">
        <v>13</v>
      </c>
      <c r="B20" s="114" t="s">
        <v>114</v>
      </c>
      <c r="C20" s="109" t="e">
        <f>VLOOKUP(Table257519913140106110[[#This Row],[PEG]],Table1016[#All],2,FALSE)</f>
        <v>#N/A</v>
      </c>
      <c r="D20" s="117"/>
      <c r="E20" s="125" t="e">
        <f>VLOOKUP(Table257519913140106110[[#This Row],[PEG]],Table1016[#All],3,FALSE)</f>
        <v>#N/A</v>
      </c>
    </row>
    <row r="21" spans="1:5" x14ac:dyDescent="0.35">
      <c r="A21" s="118">
        <v>14</v>
      </c>
      <c r="B21" s="114" t="s">
        <v>12</v>
      </c>
      <c r="C21" s="109" t="e">
        <f>VLOOKUP(Table257519913140106110[[#This Row],[PEG]],Table1016[#All],2,FALSE)</f>
        <v>#N/A</v>
      </c>
      <c r="D21" s="117"/>
      <c r="E21" s="125" t="e">
        <f>VLOOKUP(Table257519913140106110[[#This Row],[PEG]],Table1016[#All],3,FALSE)</f>
        <v>#N/A</v>
      </c>
    </row>
    <row r="22" spans="1:5" x14ac:dyDescent="0.35">
      <c r="A22" s="118">
        <v>15</v>
      </c>
      <c r="B22" s="114" t="s">
        <v>12</v>
      </c>
      <c r="C22" s="109" t="e">
        <f>VLOOKUP(Table257519913140106110[[#This Row],[PEG]],Table1016[#All],2,FALSE)</f>
        <v>#N/A</v>
      </c>
      <c r="D22" s="117"/>
      <c r="E22" s="125" t="e">
        <f>VLOOKUP(Table257519913140106110[[#This Row],[PEG]],Table1016[#All],3,FALSE)</f>
        <v>#N/A</v>
      </c>
    </row>
    <row r="23" spans="1:5" x14ac:dyDescent="0.35">
      <c r="A23" s="118">
        <v>16</v>
      </c>
      <c r="B23" s="114" t="s">
        <v>115</v>
      </c>
      <c r="C23" s="109" t="e">
        <f>VLOOKUP(Table257519913140106110[[#This Row],[PEG]],Table1016[#All],2,FALSE)</f>
        <v>#N/A</v>
      </c>
      <c r="D23" s="117"/>
      <c r="E23" s="125" t="e">
        <f>VLOOKUP(Table257519913140106110[[#This Row],[PEG]],Table1016[#All],3,FALSE)</f>
        <v>#N/A</v>
      </c>
    </row>
    <row r="24" spans="1:5" x14ac:dyDescent="0.35">
      <c r="A24" s="118">
        <v>17</v>
      </c>
      <c r="B24" s="114" t="s">
        <v>114</v>
      </c>
      <c r="C24" s="109" t="e">
        <f>VLOOKUP(Table257519913140106110[[#This Row],[PEG]],Table1016[#All],2,FALSE)</f>
        <v>#N/A</v>
      </c>
      <c r="D24" s="117"/>
      <c r="E24" s="125" t="e">
        <f>VLOOKUP(Table257519913140106110[[#This Row],[PEG]],Table1016[#All],3,FALSE)</f>
        <v>#N/A</v>
      </c>
    </row>
    <row r="25" spans="1:5" x14ac:dyDescent="0.35">
      <c r="A25" s="118">
        <v>18</v>
      </c>
      <c r="B25" s="114" t="s">
        <v>12</v>
      </c>
      <c r="C25" s="109" t="e">
        <f>VLOOKUP(Table257519913140106110[[#This Row],[PEG]],Table1016[#All],2,FALSE)</f>
        <v>#N/A</v>
      </c>
      <c r="D25" s="117"/>
      <c r="E25" s="125" t="e">
        <f>VLOOKUP(Table257519913140106110[[#This Row],[PEG]],Table1016[#All],3,FALSE)</f>
        <v>#N/A</v>
      </c>
    </row>
    <row r="26" spans="1:5" x14ac:dyDescent="0.35">
      <c r="A26" s="118">
        <v>19</v>
      </c>
      <c r="B26" s="114" t="s">
        <v>12</v>
      </c>
      <c r="C26" s="109" t="e">
        <f>VLOOKUP(Table257519913140106110[[#This Row],[PEG]],Table1016[#All],2,FALSE)</f>
        <v>#N/A</v>
      </c>
      <c r="D26" s="117"/>
      <c r="E26" s="125" t="e">
        <f>VLOOKUP(Table257519913140106110[[#This Row],[PEG]],Table1016[#All],3,FALSE)</f>
        <v>#N/A</v>
      </c>
    </row>
    <row r="27" spans="1:5" x14ac:dyDescent="0.35">
      <c r="A27" s="118">
        <v>20</v>
      </c>
      <c r="B27" s="114" t="s">
        <v>115</v>
      </c>
      <c r="C27" s="109" t="e">
        <f>VLOOKUP(Table257519913140106110[[#This Row],[PEG]],Table1016[#All],2,FALSE)</f>
        <v>#N/A</v>
      </c>
      <c r="D27" s="117"/>
      <c r="E27" s="125" t="e">
        <f>VLOOKUP(Table257519913140106110[[#This Row],[PEG]],Table1016[#All],3,FALSE)</f>
        <v>#N/A</v>
      </c>
    </row>
    <row r="28" spans="1:5" x14ac:dyDescent="0.35">
      <c r="A28" s="118">
        <v>21</v>
      </c>
      <c r="B28" s="114" t="s">
        <v>114</v>
      </c>
      <c r="C28" s="109" t="e">
        <f>VLOOKUP(Table257519913140106110[[#This Row],[PEG]],Table1016[#All],2,FALSE)</f>
        <v>#N/A</v>
      </c>
      <c r="D28" s="117"/>
      <c r="E28" s="125" t="e">
        <f>VLOOKUP(Table257519913140106110[[#This Row],[PEG]],Table1016[#All],3,FALSE)</f>
        <v>#N/A</v>
      </c>
    </row>
    <row r="29" spans="1:5" x14ac:dyDescent="0.35">
      <c r="A29" s="118">
        <v>22</v>
      </c>
      <c r="B29" s="114" t="s">
        <v>12</v>
      </c>
      <c r="C29" s="109" t="e">
        <f>VLOOKUP(Table257519913140106110[[#This Row],[PEG]],Table1016[#All],2,FALSE)</f>
        <v>#N/A</v>
      </c>
      <c r="D29" s="117"/>
      <c r="E29" s="125" t="e">
        <f>VLOOKUP(Table257519913140106110[[#This Row],[PEG]],Table1016[#All],3,FALSE)</f>
        <v>#N/A</v>
      </c>
    </row>
    <row r="30" spans="1:5" x14ac:dyDescent="0.35">
      <c r="A30" s="118">
        <v>23</v>
      </c>
      <c r="B30" s="114" t="s">
        <v>12</v>
      </c>
      <c r="C30" s="109" t="e">
        <f>VLOOKUP(Table257519913140106110[[#This Row],[PEG]],Table1016[#All],2,FALSE)</f>
        <v>#N/A</v>
      </c>
      <c r="D30" s="117"/>
      <c r="E30" s="125" t="e">
        <f>VLOOKUP(Table257519913140106110[[#This Row],[PEG]],Table1016[#All],3,FALSE)</f>
        <v>#N/A</v>
      </c>
    </row>
    <row r="31" spans="1:5" x14ac:dyDescent="0.35">
      <c r="A31" s="118">
        <v>24</v>
      </c>
      <c r="B31" s="114" t="s">
        <v>115</v>
      </c>
      <c r="C31" s="109" t="e">
        <f>VLOOKUP(Table257519913140106110[[#This Row],[PEG]],Table1016[#All],2,FALSE)</f>
        <v>#N/A</v>
      </c>
      <c r="D31" s="117"/>
      <c r="E31" s="125" t="e">
        <f>VLOOKUP(Table257519913140106110[[#This Row],[PEG]],Table1016[#All],3,FALSE)</f>
        <v>#N/A</v>
      </c>
    </row>
    <row r="32" spans="1:5" x14ac:dyDescent="0.35">
      <c r="A32" s="118">
        <v>25</v>
      </c>
      <c r="B32" s="114" t="s">
        <v>115</v>
      </c>
      <c r="C32" s="109" t="e">
        <f>VLOOKUP(Table257519913140106110[[#This Row],[PEG]],Table1016[#All],2,FALSE)</f>
        <v>#N/A</v>
      </c>
      <c r="D32" s="117"/>
      <c r="E32" s="125" t="e">
        <f>VLOOKUP(Table257519913140106110[[#This Row],[PEG]],Table1016[#All],3,FALSE)</f>
        <v>#N/A</v>
      </c>
    </row>
    <row r="33" spans="1:5" x14ac:dyDescent="0.35">
      <c r="A33" s="118">
        <v>26</v>
      </c>
      <c r="B33" s="114" t="s">
        <v>124</v>
      </c>
      <c r="C33" s="109" t="e">
        <f>VLOOKUP(Table257519913140106110[[#This Row],[PEG]],Table1016[#All],2,FALSE)</f>
        <v>#N/A</v>
      </c>
      <c r="D33" s="117"/>
      <c r="E33" s="125" t="e">
        <f>VLOOKUP(Table257519913140106110[[#This Row],[PEG]],Table1016[#All],3,FALSE)</f>
        <v>#N/A</v>
      </c>
    </row>
    <row r="34" spans="1:5" x14ac:dyDescent="0.35">
      <c r="A34" s="118">
        <v>27</v>
      </c>
      <c r="B34" s="114" t="s">
        <v>115</v>
      </c>
      <c r="C34" s="109" t="e">
        <f>VLOOKUP(Table257519913140106110[[#This Row],[PEG]],Table1016[#All],2,FALSE)</f>
        <v>#N/A</v>
      </c>
      <c r="D34" s="117"/>
      <c r="E34" s="125" t="e">
        <f>VLOOKUP(Table257519913140106110[[#This Row],[PEG]],Table1016[#All],3,FALSE)</f>
        <v>#N/A</v>
      </c>
    </row>
    <row r="35" spans="1:5" x14ac:dyDescent="0.35">
      <c r="A35" s="118">
        <v>28</v>
      </c>
      <c r="B35" s="114" t="s">
        <v>124</v>
      </c>
      <c r="C35" s="109" t="e">
        <f>VLOOKUP(Table257519913140106110[[#This Row],[PEG]],Table1016[#All],2,FALSE)</f>
        <v>#N/A</v>
      </c>
      <c r="D35" s="117"/>
      <c r="E35" s="125" t="e">
        <f>VLOOKUP(Table257519913140106110[[#This Row],[PEG]],Table1016[#All],3,FALSE)</f>
        <v>#N/A</v>
      </c>
    </row>
    <row r="36" spans="1:5" x14ac:dyDescent="0.35">
      <c r="A36" s="118">
        <v>29</v>
      </c>
      <c r="B36" s="114" t="s">
        <v>115</v>
      </c>
      <c r="C36" s="109" t="e">
        <f>VLOOKUP(Table257519913140106110[[#This Row],[PEG]],Table1016[#All],2,FALSE)</f>
        <v>#N/A</v>
      </c>
      <c r="D36" s="117"/>
      <c r="E36" s="125" t="e">
        <f>VLOOKUP(Table257519913140106110[[#This Row],[PEG]],Table1016[#All],3,FALSE)</f>
        <v>#N/A</v>
      </c>
    </row>
    <row r="37" spans="1:5" x14ac:dyDescent="0.35">
      <c r="A37" s="118">
        <v>30</v>
      </c>
      <c r="B37" s="114" t="s">
        <v>12</v>
      </c>
      <c r="C37" s="109" t="e">
        <f>VLOOKUP(Table257519913140106110[[#This Row],[PEG]],Table1016[#All],2,FALSE)</f>
        <v>#N/A</v>
      </c>
      <c r="D37" s="117"/>
      <c r="E37" s="125" t="e">
        <f>VLOOKUP(Table257519913140106110[[#This Row],[PEG]],Table1016[#All],3,FALSE)</f>
        <v>#N/A</v>
      </c>
    </row>
    <row r="38" spans="1:5" x14ac:dyDescent="0.35">
      <c r="A38" s="118">
        <v>31</v>
      </c>
      <c r="B38" s="114" t="s">
        <v>12</v>
      </c>
      <c r="C38" s="109" t="e">
        <f>VLOOKUP(Table257519913140106110[[#This Row],[PEG]],Table1016[#All],2,FALSE)</f>
        <v>#N/A</v>
      </c>
      <c r="D38" s="117"/>
      <c r="E38" s="125" t="e">
        <f>VLOOKUP(Table257519913140106110[[#This Row],[PEG]],Table1016[#All],3,FALSE)</f>
        <v>#N/A</v>
      </c>
    </row>
    <row r="39" spans="1:5" x14ac:dyDescent="0.35">
      <c r="A39" s="118">
        <v>32</v>
      </c>
      <c r="B39" s="114" t="s">
        <v>12</v>
      </c>
      <c r="C39" s="109" t="e">
        <f>VLOOKUP(Table257519913140106110[[#This Row],[PEG]],Table1016[#All],2,FALSE)</f>
        <v>#N/A</v>
      </c>
      <c r="D39" s="117"/>
      <c r="E39" s="125" t="e">
        <f>VLOOKUP(Table257519913140106110[[#This Row],[PEG]],Table1016[#All],3,FALSE)</f>
        <v>#N/A</v>
      </c>
    </row>
    <row r="40" spans="1:5" x14ac:dyDescent="0.35">
      <c r="A40" s="118">
        <v>33</v>
      </c>
      <c r="B40" s="114" t="s">
        <v>12</v>
      </c>
      <c r="C40" s="109" t="e">
        <f>VLOOKUP(Table257519913140106110[[#This Row],[PEG]],Table1016[#All],2,FALSE)</f>
        <v>#N/A</v>
      </c>
      <c r="D40" s="117"/>
      <c r="E40" s="125" t="e">
        <f>VLOOKUP(Table257519913140106110[[#This Row],[PEG]],Table1016[#All],3,FALSE)</f>
        <v>#N/A</v>
      </c>
    </row>
    <row r="41" spans="1:5" x14ac:dyDescent="0.35">
      <c r="A41" s="118">
        <v>34</v>
      </c>
      <c r="B41" s="114" t="s">
        <v>115</v>
      </c>
      <c r="C41" s="109" t="e">
        <f>VLOOKUP(Table257519913140106110[[#This Row],[PEG]],Table1016[#All],2,FALSE)</f>
        <v>#N/A</v>
      </c>
      <c r="D41" s="117"/>
      <c r="E41" s="125" t="e">
        <f>VLOOKUP(Table257519913140106110[[#This Row],[PEG]],Table1016[#All],3,FALSE)</f>
        <v>#N/A</v>
      </c>
    </row>
    <row r="42" spans="1:5" x14ac:dyDescent="0.35">
      <c r="A42" s="118">
        <v>35</v>
      </c>
      <c r="B42" s="114" t="s">
        <v>12</v>
      </c>
      <c r="C42" s="109" t="e">
        <f>VLOOKUP(Table257519913140106110[[#This Row],[PEG]],Table1016[#All],2,FALSE)</f>
        <v>#N/A</v>
      </c>
      <c r="D42" s="115"/>
      <c r="E42" s="125" t="e">
        <f>VLOOKUP(Table257519913140106110[[#This Row],[PEG]],Table1016[#All],3,FALSE)</f>
        <v>#N/A</v>
      </c>
    </row>
    <row r="43" spans="1:5" x14ac:dyDescent="0.35">
      <c r="A43" s="118">
        <v>36</v>
      </c>
      <c r="B43" s="114" t="s">
        <v>115</v>
      </c>
      <c r="C43" s="109" t="e">
        <f>VLOOKUP(Table257519913140106110[[#This Row],[PEG]],Table1016[#All],2,FALSE)</f>
        <v>#N/A</v>
      </c>
      <c r="D43" s="115"/>
      <c r="E43" s="125" t="e">
        <f>VLOOKUP(Table257519913140106110[[#This Row],[PEG]],Table1016[#All],3,FALSE)</f>
        <v>#N/A</v>
      </c>
    </row>
    <row r="44" spans="1:5" x14ac:dyDescent="0.35">
      <c r="A44" s="118">
        <v>37</v>
      </c>
      <c r="B44" s="114" t="s">
        <v>13</v>
      </c>
      <c r="C44" s="18" t="s">
        <v>13</v>
      </c>
      <c r="D44" s="115"/>
      <c r="E44" s="32"/>
    </row>
  </sheetData>
  <mergeCells count="1">
    <mergeCell ref="A1:B1"/>
  </mergeCells>
  <conditionalFormatting sqref="B30">
    <cfRule type="containsText" dxfId="2393" priority="4" operator="containsText" text="Hear">
      <formula>NOT(ISERROR(SEARCH("Hear",B30)))</formula>
    </cfRule>
  </conditionalFormatting>
  <conditionalFormatting sqref="B8:B18">
    <cfRule type="containsText" dxfId="2392" priority="1" operator="containsText" text="Hear">
      <formula>NOT(ISERROR(SEARCH("Hear",B8)))</formula>
    </cfRule>
  </conditionalFormatting>
  <conditionalFormatting sqref="B36:B38 B40:B41">
    <cfRule type="containsText" dxfId="2391" priority="3" operator="containsText" text="Hear">
      <formula>NOT(ISERROR(SEARCH("Hear",B36)))</formula>
    </cfRule>
  </conditionalFormatting>
  <conditionalFormatting sqref="B19:B29 B31:B35 B42">
    <cfRule type="containsText" dxfId="2390" priority="5" operator="containsText" text="Hear">
      <formula>NOT(ISERROR(SEARCH("Hear",B19)))</formula>
    </cfRule>
  </conditionalFormatting>
  <conditionalFormatting sqref="B43:B44">
    <cfRule type="containsText" dxfId="2389" priority="8" operator="containsText" text="Hear">
      <formula>NOT(ISERROR(SEARCH("Hear",B43)))</formula>
    </cfRule>
  </conditionalFormatting>
  <conditionalFormatting sqref="E44">
    <cfRule type="containsText" dxfId="2388" priority="6" operator="containsText" text="WEB SERVICE">
      <formula>NOT(ISERROR(SEARCH("WEB SERVICE",E44)))</formula>
    </cfRule>
    <cfRule type="containsText" dxfId="2387" priority="7" operator="containsText" text="DB">
      <formula>NOT(ISERROR(SEARCH("DB",E44)))</formula>
    </cfRule>
  </conditionalFormatting>
  <conditionalFormatting sqref="C44">
    <cfRule type="expression" dxfId="2386" priority="9">
      <formula>$B44="Dial"</formula>
    </cfRule>
    <cfRule type="expression" dxfId="2385" priority="11">
      <formula>$B44="HANGUP"</formula>
    </cfRule>
  </conditionalFormatting>
  <conditionalFormatting sqref="C44">
    <cfRule type="expression" dxfId="2384" priority="10">
      <formula>$B44="Speak"</formula>
    </cfRule>
  </conditionalFormatting>
  <hyperlinks>
    <hyperlink ref="A1" location="'Test Case Overview'!A1" display="Return to Test Case Overview" xr:uid="{1D350E96-D3A1-4AE0-8DDF-1626DEE6B3BB}"/>
  </hyperlinks>
  <pageMargins left="0.7" right="0.7" top="0.75" bottom="0.75" header="0.3" footer="0.3"/>
  <pageSetup orientation="portrait" verticalDpi="0" r:id="rId1"/>
  <tableParts count="1">
    <tablePart r:id="rId2"/>
  </tableParts>
  <extLst>
    <ext xmlns:x14="http://schemas.microsoft.com/office/spreadsheetml/2009/9/main" uri="{78C0D931-6437-407d-A8EE-F0AAD7539E65}">
      <x14:conditionalFormattings>
        <x14:conditionalFormatting xmlns:xm="http://schemas.microsoft.com/office/excel/2006/main">
          <x14:cfRule type="expression" priority="12" id="{DFFD147E-4F48-47FE-889C-C776C8FC190E}">
            <xm:f>'TC1'!$B8="HANGUP"</xm:f>
            <x14:dxf>
              <font>
                <b/>
                <i val="0"/>
              </font>
            </x14:dxf>
          </x14:cfRule>
          <x14:cfRule type="expression" priority="12" id="{84962CC2-04BF-4D7F-B9F8-CF79D074FDF7}">
            <xm:f>'TC1'!$B8="Dial"</xm:f>
            <x14:dxf>
              <font>
                <b/>
                <i val="0"/>
                <color rgb="FFFF0000"/>
              </font>
            </x14:dxf>
          </x14:cfRule>
          <xm:sqref>C8</xm:sqref>
        </x14:conditionalFormatting>
        <x14:conditionalFormatting xmlns:xm="http://schemas.microsoft.com/office/excel/2006/main">
          <x14:cfRule type="expression" priority="13" id="{908132ED-8DDD-4029-9187-9AEC4D3BBC48}">
            <xm:f>'TC1'!$B8="Speak"</xm:f>
            <x14:dxf>
              <font>
                <b/>
                <i val="0"/>
                <color rgb="FFFF0000"/>
              </font>
            </x14:dxf>
          </x14:cfRule>
          <xm:sqref>C8</xm:sqref>
        </x14:conditionalFormatting>
        <x14:conditionalFormatting xmlns:xm="http://schemas.microsoft.com/office/excel/2006/main">
          <x14:cfRule type="containsText" priority="2" operator="containsText" text="Hear" id="{87F85FC6-9DF8-4454-BA24-457641E49E83}">
            <xm:f>NOT(ISERROR(SEARCH("Hear",'TC3'!B34)))</xm:f>
            <x14:dxf>
              <font>
                <color theme="9" tint="-0.24994659260841701"/>
              </font>
              <fill>
                <patternFill>
                  <bgColor theme="9" tint="0.59996337778862885"/>
                </patternFill>
              </fill>
            </x14:dxf>
          </x14:cfRule>
          <xm:sqref>B41</xm:sqref>
        </x14:conditionalFormatting>
        <x14:conditionalFormatting xmlns:xm="http://schemas.microsoft.com/office/excel/2006/main">
          <x14:cfRule type="expression" priority="2463" id="{DFFD147E-4F48-47FE-889C-C776C8FC190E}">
            <xm:f>'TC1'!$B16="HANGUP"</xm:f>
            <x14:dxf>
              <font>
                <b/>
                <i val="0"/>
              </font>
            </x14:dxf>
          </x14:cfRule>
          <x14:cfRule type="expression" priority="2464" id="{84962CC2-04BF-4D7F-B9F8-CF79D074FDF7}">
            <xm:f>'TC1'!$B16="Dial"</xm:f>
            <x14:dxf>
              <font>
                <b/>
                <i val="0"/>
                <color rgb="FFFF0000"/>
              </font>
            </x14:dxf>
          </x14:cfRule>
          <xm:sqref>C34:C43</xm:sqref>
        </x14:conditionalFormatting>
        <x14:conditionalFormatting xmlns:xm="http://schemas.microsoft.com/office/excel/2006/main">
          <x14:cfRule type="expression" priority="2465" id="{DFFD147E-4F48-47FE-889C-C776C8FC190E}">
            <xm:f>'TC1'!#REF!="HANGUP"</xm:f>
            <x14:dxf>
              <font>
                <b/>
                <i val="0"/>
              </font>
            </x14:dxf>
          </x14:cfRule>
          <x14:cfRule type="expression" priority="2466" id="{84962CC2-04BF-4D7F-B9F8-CF79D074FDF7}">
            <xm:f>'TC1'!#REF!="Dial"</xm:f>
            <x14:dxf>
              <font>
                <b/>
                <i val="0"/>
                <color rgb="FFFF0000"/>
              </font>
            </x14:dxf>
          </x14:cfRule>
          <xm:sqref>C17:C33</xm:sqref>
        </x14:conditionalFormatting>
        <x14:conditionalFormatting xmlns:xm="http://schemas.microsoft.com/office/excel/2006/main">
          <x14:cfRule type="expression" priority="2470" id="{908132ED-8DDD-4029-9187-9AEC4D3BBC48}">
            <xm:f>'TC1'!$B16="Speak"</xm:f>
            <x14:dxf>
              <font>
                <b/>
                <i val="0"/>
                <color rgb="FFFF0000"/>
              </font>
            </x14:dxf>
          </x14:cfRule>
          <xm:sqref>C34:C43</xm:sqref>
        </x14:conditionalFormatting>
        <x14:conditionalFormatting xmlns:xm="http://schemas.microsoft.com/office/excel/2006/main">
          <x14:cfRule type="expression" priority="2471" id="{908132ED-8DDD-4029-9187-9AEC4D3BBC48}">
            <xm:f>'TC1'!#REF!="Speak"</xm:f>
            <x14:dxf>
              <font>
                <b/>
                <i val="0"/>
                <color rgb="FFFF0000"/>
              </font>
            </x14:dxf>
          </x14:cfRule>
          <xm:sqref>C17:C33</xm:sqref>
        </x14:conditionalFormatting>
        <x14:conditionalFormatting xmlns:xm="http://schemas.microsoft.com/office/excel/2006/main">
          <x14:cfRule type="containsText" priority="2475" operator="containsText" text="DB" id="{61A0B9A9-D7B0-4C84-9CC6-EF14995864E3}">
            <xm:f>NOT(ISERROR(SEARCH("DB",'TC1'!E16)))</xm:f>
            <x14:dxf>
              <font>
                <color rgb="FF006100"/>
              </font>
              <fill>
                <patternFill>
                  <bgColor rgb="FFC6EFCE"/>
                </patternFill>
              </fill>
            </x14:dxf>
          </x14:cfRule>
          <x14:cfRule type="containsText" priority="2476" operator="containsText" text="WEB SERVICE" id="{19036C40-34BE-4E25-8CD0-9871A55BDADE}">
            <xm:f>NOT(ISERROR(SEARCH("WEB SERVICE",'TC1'!E16)))</xm:f>
            <x14:dxf>
              <font>
                <color rgb="FF9C0006"/>
              </font>
              <fill>
                <patternFill>
                  <bgColor rgb="FFFFC7CE"/>
                </patternFill>
              </fill>
            </x14:dxf>
          </x14:cfRule>
          <xm:sqref>E34:E43</xm:sqref>
        </x14:conditionalFormatting>
        <x14:conditionalFormatting xmlns:xm="http://schemas.microsoft.com/office/excel/2006/main">
          <x14:cfRule type="containsText" priority="2477" operator="containsText" text="DB" id="{61A0B9A9-D7B0-4C84-9CC6-EF14995864E3}">
            <xm:f>NOT(ISERROR(SEARCH("DB",'TC1'!#REF!)))</xm:f>
            <x14:dxf>
              <font>
                <color rgb="FF006100"/>
              </font>
              <fill>
                <patternFill>
                  <bgColor rgb="FFC6EFCE"/>
                </patternFill>
              </fill>
            </x14:dxf>
          </x14:cfRule>
          <x14:cfRule type="containsText" priority="2478" operator="containsText" text="WEB SERVICE" id="{19036C40-34BE-4E25-8CD0-9871A55BDADE}">
            <xm:f>NOT(ISERROR(SEARCH("WEB SERVICE",'TC1'!#REF!)))</xm:f>
            <x14:dxf>
              <font>
                <color rgb="FF9C0006"/>
              </font>
              <fill>
                <patternFill>
                  <bgColor rgb="FFFFC7CE"/>
                </patternFill>
              </fill>
            </x14:dxf>
          </x14:cfRule>
          <xm:sqref>E17:E33</xm:sqref>
        </x14:conditionalFormatting>
        <x14:conditionalFormatting xmlns:xm="http://schemas.microsoft.com/office/excel/2006/main">
          <x14:cfRule type="expression" priority="5155" id="{DFFD147E-4F48-47FE-889C-C776C8FC190E}">
            <xm:f>'TC1'!$B9="HANGUP"</xm:f>
            <x14:dxf>
              <font>
                <b/>
                <i val="0"/>
              </font>
            </x14:dxf>
          </x14:cfRule>
          <x14:cfRule type="expression" priority="5156" id="{84962CC2-04BF-4D7F-B9F8-CF79D074FDF7}">
            <xm:f>'TC1'!$B9="Dial"</xm:f>
            <x14:dxf>
              <font>
                <b/>
                <i val="0"/>
                <color rgb="FFFF0000"/>
              </font>
            </x14:dxf>
          </x14:cfRule>
          <xm:sqref>C12:C15</xm:sqref>
        </x14:conditionalFormatting>
        <x14:conditionalFormatting xmlns:xm="http://schemas.microsoft.com/office/excel/2006/main">
          <x14:cfRule type="expression" priority="5157" id="{DFFD147E-4F48-47FE-889C-C776C8FC190E}">
            <xm:f>'TC1'!#REF!="HANGUP"</xm:f>
            <x14:dxf>
              <font>
                <b/>
                <i val="0"/>
              </font>
            </x14:dxf>
          </x14:cfRule>
          <x14:cfRule type="expression" priority="5158" id="{84962CC2-04BF-4D7F-B9F8-CF79D074FDF7}">
            <xm:f>'TC1'!#REF!="Dial"</xm:f>
            <x14:dxf>
              <font>
                <b/>
                <i val="0"/>
                <color rgb="FFFF0000"/>
              </font>
            </x14:dxf>
          </x14:cfRule>
          <xm:sqref>C9:C11</xm:sqref>
        </x14:conditionalFormatting>
        <x14:conditionalFormatting xmlns:xm="http://schemas.microsoft.com/office/excel/2006/main">
          <x14:cfRule type="expression" priority="5162" id="{908132ED-8DDD-4029-9187-9AEC4D3BBC48}">
            <xm:f>'TC1'!$B9="Speak"</xm:f>
            <x14:dxf>
              <font>
                <b/>
                <i val="0"/>
                <color rgb="FFFF0000"/>
              </font>
            </x14:dxf>
          </x14:cfRule>
          <xm:sqref>C12:C15</xm:sqref>
        </x14:conditionalFormatting>
        <x14:conditionalFormatting xmlns:xm="http://schemas.microsoft.com/office/excel/2006/main">
          <x14:cfRule type="expression" priority="5163" id="{908132ED-8DDD-4029-9187-9AEC4D3BBC48}">
            <xm:f>'TC1'!#REF!="Speak"</xm:f>
            <x14:dxf>
              <font>
                <b/>
                <i val="0"/>
                <color rgb="FFFF0000"/>
              </font>
            </x14:dxf>
          </x14:cfRule>
          <xm:sqref>C9:C11</xm:sqref>
        </x14:conditionalFormatting>
        <x14:conditionalFormatting xmlns:xm="http://schemas.microsoft.com/office/excel/2006/main">
          <x14:cfRule type="containsText" priority="5165" operator="containsText" text="DB" id="{61A0B9A9-D7B0-4C84-9CC6-EF14995864E3}">
            <xm:f>NOT(ISERROR(SEARCH("DB",'TC1'!#REF!)))</xm:f>
            <x14:dxf>
              <font>
                <color rgb="FF006100"/>
              </font>
              <fill>
                <patternFill>
                  <bgColor rgb="FFC6EFCE"/>
                </patternFill>
              </fill>
            </x14:dxf>
          </x14:cfRule>
          <x14:cfRule type="containsText" priority="5166" operator="containsText" text="WEB SERVICE" id="{19036C40-34BE-4E25-8CD0-9871A55BDADE}">
            <xm:f>NOT(ISERROR(SEARCH("WEB SERVICE",'TC1'!#REF!)))</xm:f>
            <x14:dxf>
              <font>
                <color rgb="FF9C0006"/>
              </font>
              <fill>
                <patternFill>
                  <bgColor rgb="FFFFC7CE"/>
                </patternFill>
              </fill>
            </x14:dxf>
          </x14:cfRule>
          <xm:sqref>E9:E11</xm:sqref>
        </x14:conditionalFormatting>
        <x14:conditionalFormatting xmlns:xm="http://schemas.microsoft.com/office/excel/2006/main">
          <x14:cfRule type="containsText" priority="5167" operator="containsText" text="DB" id="{61A0B9A9-D7B0-4C84-9CC6-EF14995864E3}">
            <xm:f>NOT(ISERROR(SEARCH("DB",'TC1'!E9)))</xm:f>
            <x14:dxf>
              <font>
                <color rgb="FF006100"/>
              </font>
              <fill>
                <patternFill>
                  <bgColor rgb="FFC6EFCE"/>
                </patternFill>
              </fill>
            </x14:dxf>
          </x14:cfRule>
          <x14:cfRule type="containsText" priority="5168" operator="containsText" text="WEB SERVICE" id="{19036C40-34BE-4E25-8CD0-9871A55BDADE}">
            <xm:f>NOT(ISERROR(SEARCH("WEB SERVICE",'TC1'!E9)))</xm:f>
            <x14:dxf>
              <font>
                <color rgb="FF9C0006"/>
              </font>
              <fill>
                <patternFill>
                  <bgColor rgb="FFFFC7CE"/>
                </patternFill>
              </fill>
            </x14:dxf>
          </x14:cfRule>
          <xm:sqref>E12:E15</xm:sqref>
        </x14:conditionalFormatting>
        <x14:conditionalFormatting xmlns:xm="http://schemas.microsoft.com/office/excel/2006/main">
          <x14:cfRule type="expression" priority="7475" id="{DFFD147E-4F48-47FE-889C-C776C8FC190E}">
            <xm:f>'TC1'!$B15="HANGUP"</xm:f>
            <x14:dxf>
              <font>
                <b/>
                <i val="0"/>
              </font>
            </x14:dxf>
          </x14:cfRule>
          <x14:cfRule type="expression" priority="7476" id="{84962CC2-04BF-4D7F-B9F8-CF79D074FDF7}">
            <xm:f>'TC1'!$B15="Dial"</xm:f>
            <x14:dxf>
              <font>
                <b/>
                <i val="0"/>
                <color rgb="FFFF0000"/>
              </font>
            </x14:dxf>
          </x14:cfRule>
          <xm:sqref>C16</xm:sqref>
        </x14:conditionalFormatting>
        <x14:conditionalFormatting xmlns:xm="http://schemas.microsoft.com/office/excel/2006/main">
          <x14:cfRule type="expression" priority="7478" id="{908132ED-8DDD-4029-9187-9AEC4D3BBC48}">
            <xm:f>'TC1'!$B15="Speak"</xm:f>
            <x14:dxf>
              <font>
                <b/>
                <i val="0"/>
                <color rgb="FFFF0000"/>
              </font>
            </x14:dxf>
          </x14:cfRule>
          <xm:sqref>C16</xm:sqref>
        </x14:conditionalFormatting>
        <x14:conditionalFormatting xmlns:xm="http://schemas.microsoft.com/office/excel/2006/main">
          <x14:cfRule type="containsText" priority="7481" operator="containsText" text="DB" id="{61A0B9A9-D7B0-4C84-9CC6-EF14995864E3}">
            <xm:f>NOT(ISERROR(SEARCH("DB",'TC1'!E15)))</xm:f>
            <x14:dxf>
              <font>
                <color rgb="FF006100"/>
              </font>
              <fill>
                <patternFill>
                  <bgColor rgb="FFC6EFCE"/>
                </patternFill>
              </fill>
            </x14:dxf>
          </x14:cfRule>
          <x14:cfRule type="containsText" priority="7482" operator="containsText" text="WEB SERVICE" id="{19036C40-34BE-4E25-8CD0-9871A55BDADE}">
            <xm:f>NOT(ISERROR(SEARCH("WEB SERVICE",'TC1'!E15)))</xm:f>
            <x14:dxf>
              <font>
                <color rgb="FF9C0006"/>
              </font>
              <fill>
                <patternFill>
                  <bgColor rgb="FFFFC7CE"/>
                </patternFill>
              </fill>
            </x14:dxf>
          </x14:cfRule>
          <xm:sqref>E16</xm:sqref>
        </x14:conditionalFormatting>
        <x14:conditionalFormatting xmlns:xm="http://schemas.microsoft.com/office/excel/2006/main">
          <x14:cfRule type="containsText" priority="10034" operator="containsText" text="Hear" id="{1C5ECC0E-4DB8-4F7F-881F-44BE65D37FDB}">
            <xm:f>NOT(ISERROR(SEARCH("Hear",'TC26'!#REF!)))</xm:f>
            <x14:dxf>
              <font>
                <color theme="9" tint="-0.24994659260841701"/>
              </font>
              <fill>
                <patternFill>
                  <bgColor theme="9" tint="0.59996337778862885"/>
                </patternFill>
              </fill>
            </x14:dxf>
          </x14:cfRule>
          <xm:sqref>B39</xm:sqref>
        </x14:conditionalFormatting>
      </x14:conditionalFormattings>
    </ext>
  </extLst>
</worksheet>
</file>

<file path=xl/worksheets/sheet1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F00-000000000000}">
  <sheetPr codeName="Sheet113"/>
  <dimension ref="A1:E44"/>
  <sheetViews>
    <sheetView zoomScaleNormal="100" workbookViewId="0">
      <selection sqref="A1:E44"/>
    </sheetView>
  </sheetViews>
  <sheetFormatPr defaultRowHeight="14.5" x14ac:dyDescent="0.35"/>
  <cols>
    <col min="1" max="1" width="14.453125" bestFit="1" customWidth="1"/>
    <col min="2" max="2" width="42.6328125" customWidth="1"/>
    <col min="3" max="3" width="106.1796875" customWidth="1"/>
    <col min="4" max="4" width="21.81640625" bestFit="1" customWidth="1"/>
    <col min="5" max="5" width="20.6328125" customWidth="1"/>
  </cols>
  <sheetData>
    <row r="1" spans="1:5" ht="18.5" x14ac:dyDescent="0.35">
      <c r="A1" s="192" t="s">
        <v>4</v>
      </c>
      <c r="B1" s="192"/>
      <c r="C1" s="105"/>
      <c r="D1" s="111"/>
      <c r="E1" s="97"/>
    </row>
    <row r="2" spans="1:5" x14ac:dyDescent="0.35">
      <c r="A2" s="106" t="s">
        <v>5</v>
      </c>
      <c r="B2" s="107" t="str">
        <f ca="1">MID(CELL("filename",A1),FIND("]",CELL("filename",A1))+1,LEN(CELL("filename",A1))-FIND("]",CELL("filename",A1)))</f>
        <v>TC111</v>
      </c>
      <c r="C2" s="98"/>
      <c r="D2" s="111"/>
      <c r="E2" s="97"/>
    </row>
    <row r="3" spans="1:5" x14ac:dyDescent="0.35">
      <c r="A3" s="104" t="s">
        <v>19</v>
      </c>
      <c r="B3" s="112">
        <f ca="1">VLOOKUP(B2,Table53[#All],2,FALSE)</f>
        <v>0</v>
      </c>
      <c r="C3" s="98"/>
      <c r="D3" s="111"/>
      <c r="E3" s="97"/>
    </row>
    <row r="4" spans="1:5" ht="29" x14ac:dyDescent="0.35">
      <c r="A4" s="113" t="s">
        <v>20</v>
      </c>
      <c r="B4" s="99">
        <f ca="1">VLOOKUP(B2,Table53[#All],4,FALSE)</f>
        <v>0</v>
      </c>
      <c r="C4" s="98"/>
      <c r="D4" s="111"/>
      <c r="E4" s="97"/>
    </row>
    <row r="5" spans="1:5" x14ac:dyDescent="0.35">
      <c r="A5" s="104" t="s">
        <v>6</v>
      </c>
      <c r="B5" s="77">
        <f ca="1">VLOOKUP(B2,Table53[#All],3,FALSE)</f>
        <v>0</v>
      </c>
      <c r="C5" s="98"/>
      <c r="D5" s="111"/>
      <c r="E5" s="97"/>
    </row>
    <row r="6" spans="1:5" x14ac:dyDescent="0.35">
      <c r="A6" s="97"/>
      <c r="B6" s="97"/>
      <c r="C6" s="98"/>
      <c r="D6" s="111"/>
      <c r="E6" s="97"/>
    </row>
    <row r="7" spans="1:5" ht="15.5" x14ac:dyDescent="0.35">
      <c r="A7" s="100" t="s">
        <v>7</v>
      </c>
      <c r="B7" s="101" t="s">
        <v>8</v>
      </c>
      <c r="C7" s="102" t="s">
        <v>9</v>
      </c>
      <c r="D7" s="102" t="s">
        <v>14</v>
      </c>
      <c r="E7" s="103" t="s">
        <v>10</v>
      </c>
    </row>
    <row r="8" spans="1:5" x14ac:dyDescent="0.35">
      <c r="A8" s="118">
        <v>1</v>
      </c>
      <c r="B8" s="114" t="s">
        <v>114</v>
      </c>
      <c r="C8" s="109" t="s">
        <v>125</v>
      </c>
      <c r="D8" s="128"/>
      <c r="E8" s="125" t="s">
        <v>11</v>
      </c>
    </row>
    <row r="9" spans="1:5" x14ac:dyDescent="0.35">
      <c r="A9" s="118">
        <v>2</v>
      </c>
      <c r="B9" s="114" t="s">
        <v>12</v>
      </c>
      <c r="C9" s="109" t="e">
        <f>VLOOKUP(Table257519913140106110114[[#This Row],[PEG]],Table1016[#All],2,FALSE)</f>
        <v>#N/A</v>
      </c>
      <c r="D9" s="128"/>
      <c r="E9" s="125" t="e">
        <f>VLOOKUP(Table257519913140106110114[[#This Row],[PEG]],Table1016[#All],3,FALSE)</f>
        <v>#N/A</v>
      </c>
    </row>
    <row r="10" spans="1:5" x14ac:dyDescent="0.35">
      <c r="A10" s="118">
        <v>3</v>
      </c>
      <c r="B10" s="114" t="s">
        <v>115</v>
      </c>
      <c r="C10" s="109" t="e">
        <f>VLOOKUP(Table257519913140106110114[[#This Row],[PEG]],Table1016[#All],2,FALSE)</f>
        <v>#N/A</v>
      </c>
      <c r="D10" s="128"/>
      <c r="E10" s="125" t="e">
        <f>VLOOKUP(Table257519913140106110114[[#This Row],[PEG]],Table1016[#All],3,FALSE)</f>
        <v>#N/A</v>
      </c>
    </row>
    <row r="11" spans="1:5" x14ac:dyDescent="0.35">
      <c r="A11" s="118">
        <v>4</v>
      </c>
      <c r="B11" s="114" t="s">
        <v>115</v>
      </c>
      <c r="C11" s="109" t="e">
        <f>VLOOKUP(Table257519913140106110114[[#This Row],[PEG]],Table1016[#All],2,FALSE)</f>
        <v>#N/A</v>
      </c>
      <c r="D11" s="128"/>
      <c r="E11" s="125" t="e">
        <f>VLOOKUP(Table257519913140106110114[[#This Row],[PEG]],Table1016[#All],3,FALSE)</f>
        <v>#N/A</v>
      </c>
    </row>
    <row r="12" spans="1:5" x14ac:dyDescent="0.35">
      <c r="A12" s="118">
        <v>5</v>
      </c>
      <c r="B12" s="114" t="s">
        <v>114</v>
      </c>
      <c r="C12" s="109" t="e">
        <f>VLOOKUP(Table257519913140106110114[[#This Row],[PEG]],Table1016[#All],2,FALSE)</f>
        <v>#N/A</v>
      </c>
      <c r="D12" s="128"/>
      <c r="E12" s="125" t="e">
        <f>VLOOKUP(Table257519913140106110114[[#This Row],[PEG]],Table1016[#All],3,FALSE)</f>
        <v>#N/A</v>
      </c>
    </row>
    <row r="13" spans="1:5" x14ac:dyDescent="0.35">
      <c r="A13" s="118">
        <v>6</v>
      </c>
      <c r="B13" s="114" t="s">
        <v>115</v>
      </c>
      <c r="C13" s="109" t="e">
        <f>VLOOKUP(Table257519913140106110114[[#This Row],[PEG]],Table1016[#All],2,FALSE)</f>
        <v>#N/A</v>
      </c>
      <c r="D13" s="128"/>
      <c r="E13" s="125" t="e">
        <f>VLOOKUP(Table257519913140106110114[[#This Row],[PEG]],Table1016[#All],3,FALSE)</f>
        <v>#N/A</v>
      </c>
    </row>
    <row r="14" spans="1:5" x14ac:dyDescent="0.35">
      <c r="A14" s="118">
        <v>7</v>
      </c>
      <c r="B14" s="114" t="s">
        <v>114</v>
      </c>
      <c r="C14" s="109" t="e">
        <f>VLOOKUP(Table257519913140106110114[[#This Row],[PEG]],Table1016[#All],2,FALSE)</f>
        <v>#N/A</v>
      </c>
      <c r="D14" s="128"/>
      <c r="E14" s="125" t="e">
        <f>VLOOKUP(Table257519913140106110114[[#This Row],[PEG]],Table1016[#All],3,FALSE)</f>
        <v>#N/A</v>
      </c>
    </row>
    <row r="15" spans="1:5" x14ac:dyDescent="0.35">
      <c r="A15" s="118">
        <v>8</v>
      </c>
      <c r="B15" s="114" t="s">
        <v>115</v>
      </c>
      <c r="C15" s="109" t="e">
        <f>VLOOKUP(Table257519913140106110114[[#This Row],[PEG]],Table1016[#All],2,FALSE)</f>
        <v>#N/A</v>
      </c>
      <c r="D15" s="116"/>
      <c r="E15" s="125" t="e">
        <f>VLOOKUP(Table257519913140106110114[[#This Row],[PEG]],Table1016[#All],3,FALSE)</f>
        <v>#N/A</v>
      </c>
    </row>
    <row r="16" spans="1:5" x14ac:dyDescent="0.35">
      <c r="A16" s="118">
        <v>9</v>
      </c>
      <c r="B16" s="114" t="s">
        <v>12</v>
      </c>
      <c r="C16" s="109" t="e">
        <f>VLOOKUP(Table257519913140106110114[[#This Row],[PEG]],Table1016[#All],2,FALSE)</f>
        <v>#N/A</v>
      </c>
      <c r="D16" s="116"/>
      <c r="E16" s="125" t="e">
        <f>VLOOKUP(Table257519913140106110114[[#This Row],[PEG]],Table1016[#All],3,FALSE)</f>
        <v>#N/A</v>
      </c>
    </row>
    <row r="17" spans="1:5" x14ac:dyDescent="0.35">
      <c r="A17" s="118">
        <v>10</v>
      </c>
      <c r="B17" s="114" t="s">
        <v>12</v>
      </c>
      <c r="C17" s="109" t="e">
        <f>VLOOKUP(Table257519913140106110114[[#This Row],[PEG]],Table1016[#All],2,FALSE)</f>
        <v>#N/A</v>
      </c>
      <c r="D17" s="117"/>
      <c r="E17" s="125" t="e">
        <f>VLOOKUP(Table257519913140106110114[[#This Row],[PEG]],Table1016[#All],3,FALSE)</f>
        <v>#N/A</v>
      </c>
    </row>
    <row r="18" spans="1:5" x14ac:dyDescent="0.35">
      <c r="A18" s="118">
        <v>11</v>
      </c>
      <c r="B18" s="114" t="s">
        <v>115</v>
      </c>
      <c r="C18" s="109" t="e">
        <f>VLOOKUP(Table257519913140106110114[[#This Row],[PEG]],Table1016[#All],2,FALSE)</f>
        <v>#N/A</v>
      </c>
      <c r="D18" s="117"/>
      <c r="E18" s="125" t="e">
        <f>VLOOKUP(Table257519913140106110114[[#This Row],[PEG]],Table1016[#All],3,FALSE)</f>
        <v>#N/A</v>
      </c>
    </row>
    <row r="19" spans="1:5" x14ac:dyDescent="0.35">
      <c r="A19" s="118">
        <v>12</v>
      </c>
      <c r="B19" s="114" t="s">
        <v>115</v>
      </c>
      <c r="C19" s="109" t="e">
        <f>VLOOKUP(Table257519913140106110114[[#This Row],[PEG]],Table1016[#All],2,FALSE)</f>
        <v>#N/A</v>
      </c>
      <c r="D19" s="117"/>
      <c r="E19" s="125" t="e">
        <f>VLOOKUP(Table257519913140106110114[[#This Row],[PEG]],Table1016[#All],3,FALSE)</f>
        <v>#N/A</v>
      </c>
    </row>
    <row r="20" spans="1:5" x14ac:dyDescent="0.35">
      <c r="A20" s="118">
        <v>13</v>
      </c>
      <c r="B20" s="114" t="s">
        <v>114</v>
      </c>
      <c r="C20" s="109" t="e">
        <f>VLOOKUP(Table257519913140106110114[[#This Row],[PEG]],Table1016[#All],2,FALSE)</f>
        <v>#N/A</v>
      </c>
      <c r="D20" s="117"/>
      <c r="E20" s="125" t="e">
        <f>VLOOKUP(Table257519913140106110114[[#This Row],[PEG]],Table1016[#All],3,FALSE)</f>
        <v>#N/A</v>
      </c>
    </row>
    <row r="21" spans="1:5" x14ac:dyDescent="0.35">
      <c r="A21" s="118">
        <v>14</v>
      </c>
      <c r="B21" s="114" t="s">
        <v>12</v>
      </c>
      <c r="C21" s="109" t="e">
        <f>VLOOKUP(Table257519913140106110114[[#This Row],[PEG]],Table1016[#All],2,FALSE)</f>
        <v>#N/A</v>
      </c>
      <c r="D21" s="117"/>
      <c r="E21" s="125" t="e">
        <f>VLOOKUP(Table257519913140106110114[[#This Row],[PEG]],Table1016[#All],3,FALSE)</f>
        <v>#N/A</v>
      </c>
    </row>
    <row r="22" spans="1:5" x14ac:dyDescent="0.35">
      <c r="A22" s="118">
        <v>15</v>
      </c>
      <c r="B22" s="114" t="s">
        <v>12</v>
      </c>
      <c r="C22" s="109" t="e">
        <f>VLOOKUP(Table257519913140106110114[[#This Row],[PEG]],Table1016[#All],2,FALSE)</f>
        <v>#N/A</v>
      </c>
      <c r="D22" s="117"/>
      <c r="E22" s="125" t="e">
        <f>VLOOKUP(Table257519913140106110114[[#This Row],[PEG]],Table1016[#All],3,FALSE)</f>
        <v>#N/A</v>
      </c>
    </row>
    <row r="23" spans="1:5" x14ac:dyDescent="0.35">
      <c r="A23" s="118">
        <v>16</v>
      </c>
      <c r="B23" s="114" t="s">
        <v>115</v>
      </c>
      <c r="C23" s="109" t="e">
        <f>VLOOKUP(Table257519913140106110114[[#This Row],[PEG]],Table1016[#All],2,FALSE)</f>
        <v>#N/A</v>
      </c>
      <c r="D23" s="117"/>
      <c r="E23" s="125" t="e">
        <f>VLOOKUP(Table257519913140106110114[[#This Row],[PEG]],Table1016[#All],3,FALSE)</f>
        <v>#N/A</v>
      </c>
    </row>
    <row r="24" spans="1:5" x14ac:dyDescent="0.35">
      <c r="A24" s="118">
        <v>17</v>
      </c>
      <c r="B24" s="114" t="s">
        <v>114</v>
      </c>
      <c r="C24" s="109" t="e">
        <f>VLOOKUP(Table257519913140106110114[[#This Row],[PEG]],Table1016[#All],2,FALSE)</f>
        <v>#N/A</v>
      </c>
      <c r="D24" s="117"/>
      <c r="E24" s="125" t="e">
        <f>VLOOKUP(Table257519913140106110114[[#This Row],[PEG]],Table1016[#All],3,FALSE)</f>
        <v>#N/A</v>
      </c>
    </row>
    <row r="25" spans="1:5" x14ac:dyDescent="0.35">
      <c r="A25" s="118">
        <v>18</v>
      </c>
      <c r="B25" s="114" t="s">
        <v>12</v>
      </c>
      <c r="C25" s="109" t="e">
        <f>VLOOKUP(Table257519913140106110114[[#This Row],[PEG]],Table1016[#All],2,FALSE)</f>
        <v>#N/A</v>
      </c>
      <c r="D25" s="117"/>
      <c r="E25" s="125" t="e">
        <f>VLOOKUP(Table257519913140106110114[[#This Row],[PEG]],Table1016[#All],3,FALSE)</f>
        <v>#N/A</v>
      </c>
    </row>
    <row r="26" spans="1:5" x14ac:dyDescent="0.35">
      <c r="A26" s="118">
        <v>19</v>
      </c>
      <c r="B26" s="114" t="s">
        <v>12</v>
      </c>
      <c r="C26" s="109" t="e">
        <f>VLOOKUP(Table257519913140106110114[[#This Row],[PEG]],Table1016[#All],2,FALSE)</f>
        <v>#N/A</v>
      </c>
      <c r="D26" s="117"/>
      <c r="E26" s="125" t="e">
        <f>VLOOKUP(Table257519913140106110114[[#This Row],[PEG]],Table1016[#All],3,FALSE)</f>
        <v>#N/A</v>
      </c>
    </row>
    <row r="27" spans="1:5" x14ac:dyDescent="0.35">
      <c r="A27" s="118">
        <v>20</v>
      </c>
      <c r="B27" s="114" t="s">
        <v>115</v>
      </c>
      <c r="C27" s="109" t="e">
        <f>VLOOKUP(Table257519913140106110114[[#This Row],[PEG]],Table1016[#All],2,FALSE)</f>
        <v>#N/A</v>
      </c>
      <c r="D27" s="117"/>
      <c r="E27" s="125" t="e">
        <f>VLOOKUP(Table257519913140106110114[[#This Row],[PEG]],Table1016[#All],3,FALSE)</f>
        <v>#N/A</v>
      </c>
    </row>
    <row r="28" spans="1:5" x14ac:dyDescent="0.35">
      <c r="A28" s="118">
        <v>21</v>
      </c>
      <c r="B28" s="114" t="s">
        <v>114</v>
      </c>
      <c r="C28" s="109" t="e">
        <f>VLOOKUP(Table257519913140106110114[[#This Row],[PEG]],Table1016[#All],2,FALSE)</f>
        <v>#N/A</v>
      </c>
      <c r="D28" s="117"/>
      <c r="E28" s="125" t="e">
        <f>VLOOKUP(Table257519913140106110114[[#This Row],[PEG]],Table1016[#All],3,FALSE)</f>
        <v>#N/A</v>
      </c>
    </row>
    <row r="29" spans="1:5" x14ac:dyDescent="0.35">
      <c r="A29" s="118">
        <v>22</v>
      </c>
      <c r="B29" s="114" t="s">
        <v>12</v>
      </c>
      <c r="C29" s="109" t="e">
        <f>VLOOKUP(Table257519913140106110114[[#This Row],[PEG]],Table1016[#All],2,FALSE)</f>
        <v>#N/A</v>
      </c>
      <c r="D29" s="117"/>
      <c r="E29" s="125" t="e">
        <f>VLOOKUP(Table257519913140106110114[[#This Row],[PEG]],Table1016[#All],3,FALSE)</f>
        <v>#N/A</v>
      </c>
    </row>
    <row r="30" spans="1:5" x14ac:dyDescent="0.35">
      <c r="A30" s="118">
        <v>23</v>
      </c>
      <c r="B30" s="114" t="s">
        <v>12</v>
      </c>
      <c r="C30" s="109" t="e">
        <f>VLOOKUP(Table257519913140106110114[[#This Row],[PEG]],Table1016[#All],2,FALSE)</f>
        <v>#N/A</v>
      </c>
      <c r="D30" s="117"/>
      <c r="E30" s="125" t="e">
        <f>VLOOKUP(Table257519913140106110114[[#This Row],[PEG]],Table1016[#All],3,FALSE)</f>
        <v>#N/A</v>
      </c>
    </row>
    <row r="31" spans="1:5" x14ac:dyDescent="0.35">
      <c r="A31" s="118">
        <v>24</v>
      </c>
      <c r="B31" s="114" t="s">
        <v>115</v>
      </c>
      <c r="C31" s="109" t="e">
        <f>VLOOKUP(Table257519913140106110114[[#This Row],[PEG]],Table1016[#All],2,FALSE)</f>
        <v>#N/A</v>
      </c>
      <c r="D31" s="117"/>
      <c r="E31" s="125" t="e">
        <f>VLOOKUP(Table257519913140106110114[[#This Row],[PEG]],Table1016[#All],3,FALSE)</f>
        <v>#N/A</v>
      </c>
    </row>
    <row r="32" spans="1:5" x14ac:dyDescent="0.35">
      <c r="A32" s="118">
        <v>25</v>
      </c>
      <c r="B32" s="114" t="s">
        <v>115</v>
      </c>
      <c r="C32" s="109" t="e">
        <f>VLOOKUP(Table257519913140106110114[[#This Row],[PEG]],Table1016[#All],2,FALSE)</f>
        <v>#N/A</v>
      </c>
      <c r="D32" s="117"/>
      <c r="E32" s="125" t="e">
        <f>VLOOKUP(Table257519913140106110114[[#This Row],[PEG]],Table1016[#All],3,FALSE)</f>
        <v>#N/A</v>
      </c>
    </row>
    <row r="33" spans="1:5" x14ac:dyDescent="0.35">
      <c r="A33" s="118">
        <v>26</v>
      </c>
      <c r="B33" s="114" t="s">
        <v>124</v>
      </c>
      <c r="C33" s="109" t="e">
        <f>VLOOKUP(Table257519913140106110114[[#This Row],[PEG]],Table1016[#All],2,FALSE)</f>
        <v>#N/A</v>
      </c>
      <c r="D33" s="117"/>
      <c r="E33" s="125" t="e">
        <f>VLOOKUP(Table257519913140106110114[[#This Row],[PEG]],Table1016[#All],3,FALSE)</f>
        <v>#N/A</v>
      </c>
    </row>
    <row r="34" spans="1:5" x14ac:dyDescent="0.35">
      <c r="A34" s="118">
        <v>27</v>
      </c>
      <c r="B34" s="114" t="s">
        <v>115</v>
      </c>
      <c r="C34" s="109" t="e">
        <f>VLOOKUP(Table257519913140106110114[[#This Row],[PEG]],Table1016[#All],2,FALSE)</f>
        <v>#N/A</v>
      </c>
      <c r="D34" s="117"/>
      <c r="E34" s="125" t="e">
        <f>VLOOKUP(Table257519913140106110114[[#This Row],[PEG]],Table1016[#All],3,FALSE)</f>
        <v>#N/A</v>
      </c>
    </row>
    <row r="35" spans="1:5" x14ac:dyDescent="0.35">
      <c r="A35" s="118">
        <v>28</v>
      </c>
      <c r="B35" s="114" t="s">
        <v>124</v>
      </c>
      <c r="C35" s="109" t="e">
        <f>VLOOKUP(Table257519913140106110114[[#This Row],[PEG]],Table1016[#All],2,FALSE)</f>
        <v>#N/A</v>
      </c>
      <c r="D35" s="117"/>
      <c r="E35" s="125" t="e">
        <f>VLOOKUP(Table257519913140106110114[[#This Row],[PEG]],Table1016[#All],3,FALSE)</f>
        <v>#N/A</v>
      </c>
    </row>
    <row r="36" spans="1:5" x14ac:dyDescent="0.35">
      <c r="A36" s="118">
        <v>29</v>
      </c>
      <c r="B36" s="114" t="s">
        <v>115</v>
      </c>
      <c r="C36" s="109" t="e">
        <f>VLOOKUP(Table257519913140106110114[[#This Row],[PEG]],Table1016[#All],2,FALSE)</f>
        <v>#N/A</v>
      </c>
      <c r="D36" s="117"/>
      <c r="E36" s="125" t="e">
        <f>VLOOKUP(Table257519913140106110114[[#This Row],[PEG]],Table1016[#All],3,FALSE)</f>
        <v>#N/A</v>
      </c>
    </row>
    <row r="37" spans="1:5" x14ac:dyDescent="0.35">
      <c r="A37" s="118">
        <v>30</v>
      </c>
      <c r="B37" s="114" t="s">
        <v>12</v>
      </c>
      <c r="C37" s="109" t="e">
        <f>VLOOKUP(Table257519913140106110114[[#This Row],[PEG]],Table1016[#All],2,FALSE)</f>
        <v>#N/A</v>
      </c>
      <c r="D37" s="117"/>
      <c r="E37" s="125" t="e">
        <f>VLOOKUP(Table257519913140106110114[[#This Row],[PEG]],Table1016[#All],3,FALSE)</f>
        <v>#N/A</v>
      </c>
    </row>
    <row r="38" spans="1:5" x14ac:dyDescent="0.35">
      <c r="A38" s="118">
        <v>31</v>
      </c>
      <c r="B38" s="114" t="s">
        <v>12</v>
      </c>
      <c r="C38" s="109" t="e">
        <f>VLOOKUP(Table257519913140106110114[[#This Row],[PEG]],Table1016[#All],2,FALSE)</f>
        <v>#N/A</v>
      </c>
      <c r="D38" s="117"/>
      <c r="E38" s="125" t="e">
        <f>VLOOKUP(Table257519913140106110114[[#This Row],[PEG]],Table1016[#All],3,FALSE)</f>
        <v>#N/A</v>
      </c>
    </row>
    <row r="39" spans="1:5" x14ac:dyDescent="0.35">
      <c r="A39" s="118">
        <v>32</v>
      </c>
      <c r="B39" s="114" t="s">
        <v>12</v>
      </c>
      <c r="C39" s="109" t="e">
        <f>VLOOKUP(Table257519913140106110114[[#This Row],[PEG]],Table1016[#All],2,FALSE)</f>
        <v>#N/A</v>
      </c>
      <c r="D39" s="117"/>
      <c r="E39" s="125" t="e">
        <f>VLOOKUP(Table257519913140106110114[[#This Row],[PEG]],Table1016[#All],3,FALSE)</f>
        <v>#N/A</v>
      </c>
    </row>
    <row r="40" spans="1:5" x14ac:dyDescent="0.35">
      <c r="A40" s="118">
        <v>33</v>
      </c>
      <c r="B40" s="114" t="s">
        <v>12</v>
      </c>
      <c r="C40" s="109" t="e">
        <f>VLOOKUP(Table257519913140106110114[[#This Row],[PEG]],Table1016[#All],2,FALSE)</f>
        <v>#N/A</v>
      </c>
      <c r="D40" s="117"/>
      <c r="E40" s="125" t="e">
        <f>VLOOKUP(Table257519913140106110114[[#This Row],[PEG]],Table1016[#All],3,FALSE)</f>
        <v>#N/A</v>
      </c>
    </row>
    <row r="41" spans="1:5" x14ac:dyDescent="0.35">
      <c r="A41" s="118">
        <v>34</v>
      </c>
      <c r="B41" s="114" t="s">
        <v>115</v>
      </c>
      <c r="C41" s="109" t="e">
        <f>VLOOKUP(Table257519913140106110114[[#This Row],[PEG]],Table1016[#All],2,FALSE)</f>
        <v>#N/A</v>
      </c>
      <c r="D41" s="117"/>
      <c r="E41" s="125" t="e">
        <f>VLOOKUP(Table257519913140106110114[[#This Row],[PEG]],Table1016[#All],3,FALSE)</f>
        <v>#N/A</v>
      </c>
    </row>
    <row r="42" spans="1:5" x14ac:dyDescent="0.35">
      <c r="A42" s="118">
        <v>35</v>
      </c>
      <c r="B42" s="114" t="s">
        <v>12</v>
      </c>
      <c r="C42" s="109" t="e">
        <f>VLOOKUP(Table257519913140106110114[[#This Row],[PEG]],Table1016[#All],2,FALSE)</f>
        <v>#N/A</v>
      </c>
      <c r="D42" s="115"/>
      <c r="E42" s="125" t="e">
        <f>VLOOKUP(Table257519913140106110114[[#This Row],[PEG]],Table1016[#All],3,FALSE)</f>
        <v>#N/A</v>
      </c>
    </row>
    <row r="43" spans="1:5" x14ac:dyDescent="0.35">
      <c r="A43" s="118">
        <v>36</v>
      </c>
      <c r="B43" s="114" t="s">
        <v>115</v>
      </c>
      <c r="C43" s="109" t="e">
        <f>VLOOKUP(Table257519913140106110114[[#This Row],[PEG]],Table1016[#All],2,FALSE)</f>
        <v>#N/A</v>
      </c>
      <c r="D43" s="115"/>
      <c r="E43" s="125" t="e">
        <f>VLOOKUP(Table257519913140106110114[[#This Row],[PEG]],Table1016[#All],3,FALSE)</f>
        <v>#N/A</v>
      </c>
    </row>
    <row r="44" spans="1:5" x14ac:dyDescent="0.35">
      <c r="A44" s="118">
        <v>37</v>
      </c>
      <c r="B44" s="114" t="s">
        <v>13</v>
      </c>
      <c r="C44" s="18" t="s">
        <v>13</v>
      </c>
      <c r="D44" s="115"/>
      <c r="E44" s="32"/>
    </row>
  </sheetData>
  <mergeCells count="1">
    <mergeCell ref="A1:B1"/>
  </mergeCells>
  <conditionalFormatting sqref="B8:B18">
    <cfRule type="containsText" dxfId="2353" priority="1" operator="containsText" text="Hear">
      <formula>NOT(ISERROR(SEARCH("Hear",B8)))</formula>
    </cfRule>
  </conditionalFormatting>
  <conditionalFormatting sqref="B30">
    <cfRule type="containsText" dxfId="2352" priority="4" operator="containsText" text="Hear">
      <formula>NOT(ISERROR(SEARCH("Hear",B30)))</formula>
    </cfRule>
  </conditionalFormatting>
  <conditionalFormatting sqref="B43:B44">
    <cfRule type="containsText" dxfId="2351" priority="8" operator="containsText" text="Hear">
      <formula>NOT(ISERROR(SEARCH("Hear",B43)))</formula>
    </cfRule>
  </conditionalFormatting>
  <conditionalFormatting sqref="E44">
    <cfRule type="containsText" dxfId="2350" priority="6" operator="containsText" text="WEB SERVICE">
      <formula>NOT(ISERROR(SEARCH("WEB SERVICE",E44)))</formula>
    </cfRule>
    <cfRule type="containsText" dxfId="2349" priority="7" operator="containsText" text="DB">
      <formula>NOT(ISERROR(SEARCH("DB",E44)))</formula>
    </cfRule>
  </conditionalFormatting>
  <conditionalFormatting sqref="C44">
    <cfRule type="expression" dxfId="2348" priority="9">
      <formula>$B44="Dial"</formula>
    </cfRule>
    <cfRule type="expression" dxfId="2347" priority="11">
      <formula>$B44="HANGUP"</formula>
    </cfRule>
  </conditionalFormatting>
  <conditionalFormatting sqref="C44">
    <cfRule type="expression" dxfId="2346" priority="10">
      <formula>$B44="Speak"</formula>
    </cfRule>
  </conditionalFormatting>
  <conditionalFormatting sqref="B36:B38 B40:B41">
    <cfRule type="containsText" dxfId="2345" priority="3" operator="containsText" text="Hear">
      <formula>NOT(ISERROR(SEARCH("Hear",B36)))</formula>
    </cfRule>
  </conditionalFormatting>
  <conditionalFormatting sqref="B19:B29 B31:B35 B42">
    <cfRule type="containsText" dxfId="2344" priority="5" operator="containsText" text="Hear">
      <formula>NOT(ISERROR(SEARCH("Hear",B19)))</formula>
    </cfRule>
  </conditionalFormatting>
  <hyperlinks>
    <hyperlink ref="A1" location="'Test Case Overview'!A1" display="Return to Test Case Overview" xr:uid="{06E37C1E-E7A4-48AC-897A-14F3BECC00A9}"/>
  </hyperlinks>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expression" priority="12" id="{5B9CD5D9-3108-4648-A895-2BFA2176F0E1}">
            <xm:f>'TC1'!$B8="Speak"</xm:f>
            <x14:dxf>
              <font>
                <b/>
                <i val="0"/>
                <color rgb="FFFF0000"/>
              </font>
            </x14:dxf>
          </x14:cfRule>
          <xm:sqref>C8</xm:sqref>
        </x14:conditionalFormatting>
        <x14:conditionalFormatting xmlns:xm="http://schemas.microsoft.com/office/excel/2006/main">
          <x14:cfRule type="containsText" priority="15" operator="containsText" text="Hear" id="{EFB47241-DAF1-4901-AEA4-C46C3D331B1D}">
            <xm:f>NOT(ISERROR(SEARCH("Hear",'TC3'!B34)))</xm:f>
            <x14:dxf>
              <font>
                <color theme="9" tint="-0.24994659260841701"/>
              </font>
              <fill>
                <patternFill>
                  <bgColor theme="9" tint="0.59996337778862885"/>
                </patternFill>
              </fill>
            </x14:dxf>
          </x14:cfRule>
          <xm:sqref>B41</xm:sqref>
        </x14:conditionalFormatting>
        <x14:conditionalFormatting xmlns:xm="http://schemas.microsoft.com/office/excel/2006/main">
          <x14:cfRule type="expression" priority="16" id="{457463E1-7D1B-42D7-A1AD-500897E435DD}">
            <xm:f>'TC1'!$B8="Dial"</xm:f>
            <x14:dxf>
              <font>
                <b/>
                <i val="0"/>
                <color rgb="FFFF0000"/>
              </font>
            </x14:dxf>
          </x14:cfRule>
          <x14:cfRule type="expression" priority="16" id="{74E068F7-98EE-48CA-A770-225975D47D6F}">
            <xm:f>'TC1'!$B8="HANGUP"</xm:f>
            <x14:dxf>
              <font>
                <b/>
                <i val="0"/>
              </font>
            </x14:dxf>
          </x14:cfRule>
          <xm:sqref>C8</xm:sqref>
        </x14:conditionalFormatting>
        <x14:conditionalFormatting xmlns:xm="http://schemas.microsoft.com/office/excel/2006/main">
          <x14:cfRule type="expression" priority="2482" id="{5B9CD5D9-3108-4648-A895-2BFA2176F0E1}">
            <xm:f>'TC1'!$B16="Speak"</xm:f>
            <x14:dxf>
              <font>
                <b/>
                <i val="0"/>
                <color rgb="FFFF0000"/>
              </font>
            </x14:dxf>
          </x14:cfRule>
          <xm:sqref>C34:C43</xm:sqref>
        </x14:conditionalFormatting>
        <x14:conditionalFormatting xmlns:xm="http://schemas.microsoft.com/office/excel/2006/main">
          <x14:cfRule type="expression" priority="2483" id="{5B9CD5D9-3108-4648-A895-2BFA2176F0E1}">
            <xm:f>'TC1'!#REF!="Speak"</xm:f>
            <x14:dxf>
              <font>
                <b/>
                <i val="0"/>
                <color rgb="FFFF0000"/>
              </font>
            </x14:dxf>
          </x14:cfRule>
          <xm:sqref>C17:C33</xm:sqref>
        </x14:conditionalFormatting>
        <x14:conditionalFormatting xmlns:xm="http://schemas.microsoft.com/office/excel/2006/main">
          <x14:cfRule type="containsText" priority="2487" operator="containsText" text="WEB SERVICE" id="{D132AEE4-6B8C-4E28-9EE6-C8CEE2654E8A}">
            <xm:f>NOT(ISERROR(SEARCH("WEB SERVICE",'TC1'!E16)))</xm:f>
            <x14:dxf>
              <font>
                <color rgb="FF9C0006"/>
              </font>
              <fill>
                <patternFill>
                  <bgColor rgb="FFFFC7CE"/>
                </patternFill>
              </fill>
            </x14:dxf>
          </x14:cfRule>
          <x14:cfRule type="containsText" priority="2488" operator="containsText" text="DB" id="{A26FD4F8-B290-49FA-954A-B1E945FF044E}">
            <xm:f>NOT(ISERROR(SEARCH("DB",'TC1'!E16)))</xm:f>
            <x14:dxf>
              <font>
                <color rgb="FF006100"/>
              </font>
              <fill>
                <patternFill>
                  <bgColor rgb="FFC6EFCE"/>
                </patternFill>
              </fill>
            </x14:dxf>
          </x14:cfRule>
          <xm:sqref>E34:E43</xm:sqref>
        </x14:conditionalFormatting>
        <x14:conditionalFormatting xmlns:xm="http://schemas.microsoft.com/office/excel/2006/main">
          <x14:cfRule type="containsText" priority="2489" operator="containsText" text="WEB SERVICE" id="{D132AEE4-6B8C-4E28-9EE6-C8CEE2654E8A}">
            <xm:f>NOT(ISERROR(SEARCH("WEB SERVICE",'TC1'!#REF!)))</xm:f>
            <x14:dxf>
              <font>
                <color rgb="FF9C0006"/>
              </font>
              <fill>
                <patternFill>
                  <bgColor rgb="FFFFC7CE"/>
                </patternFill>
              </fill>
            </x14:dxf>
          </x14:cfRule>
          <x14:cfRule type="containsText" priority="2490" operator="containsText" text="DB" id="{A26FD4F8-B290-49FA-954A-B1E945FF044E}">
            <xm:f>NOT(ISERROR(SEARCH("DB",'TC1'!#REF!)))</xm:f>
            <x14:dxf>
              <font>
                <color rgb="FF006100"/>
              </font>
              <fill>
                <patternFill>
                  <bgColor rgb="FFC6EFCE"/>
                </patternFill>
              </fill>
            </x14:dxf>
          </x14:cfRule>
          <xm:sqref>E17:E33</xm:sqref>
        </x14:conditionalFormatting>
        <x14:conditionalFormatting xmlns:xm="http://schemas.microsoft.com/office/excel/2006/main">
          <x14:cfRule type="expression" priority="2495" id="{457463E1-7D1B-42D7-A1AD-500897E435DD}">
            <xm:f>'TC1'!$B16="Dial"</xm:f>
            <x14:dxf>
              <font>
                <b/>
                <i val="0"/>
                <color rgb="FFFF0000"/>
              </font>
            </x14:dxf>
          </x14:cfRule>
          <x14:cfRule type="expression" priority="2496" id="{74E068F7-98EE-48CA-A770-225975D47D6F}">
            <xm:f>'TC1'!$B16="HANGUP"</xm:f>
            <x14:dxf>
              <font>
                <b/>
                <i val="0"/>
              </font>
            </x14:dxf>
          </x14:cfRule>
          <xm:sqref>C34:C43</xm:sqref>
        </x14:conditionalFormatting>
        <x14:conditionalFormatting xmlns:xm="http://schemas.microsoft.com/office/excel/2006/main">
          <x14:cfRule type="expression" priority="2497" id="{457463E1-7D1B-42D7-A1AD-500897E435DD}">
            <xm:f>'TC1'!#REF!="Dial"</xm:f>
            <x14:dxf>
              <font>
                <b/>
                <i val="0"/>
                <color rgb="FFFF0000"/>
              </font>
            </x14:dxf>
          </x14:cfRule>
          <x14:cfRule type="expression" priority="2498" id="{74E068F7-98EE-48CA-A770-225975D47D6F}">
            <xm:f>'TC1'!#REF!="HANGUP"</xm:f>
            <x14:dxf>
              <font>
                <b/>
                <i val="0"/>
              </font>
            </x14:dxf>
          </x14:cfRule>
          <xm:sqref>C17:C33</xm:sqref>
        </x14:conditionalFormatting>
        <x14:conditionalFormatting xmlns:xm="http://schemas.microsoft.com/office/excel/2006/main">
          <x14:cfRule type="expression" priority="5172" id="{5B9CD5D9-3108-4648-A895-2BFA2176F0E1}">
            <xm:f>'TC1'!$B9="Speak"</xm:f>
            <x14:dxf>
              <font>
                <b/>
                <i val="0"/>
                <color rgb="FFFF0000"/>
              </font>
            </x14:dxf>
          </x14:cfRule>
          <xm:sqref>C12:C15</xm:sqref>
        </x14:conditionalFormatting>
        <x14:conditionalFormatting xmlns:xm="http://schemas.microsoft.com/office/excel/2006/main">
          <x14:cfRule type="expression" priority="5173" id="{5B9CD5D9-3108-4648-A895-2BFA2176F0E1}">
            <xm:f>'TC1'!#REF!="Speak"</xm:f>
            <x14:dxf>
              <font>
                <b/>
                <i val="0"/>
                <color rgb="FFFF0000"/>
              </font>
            </x14:dxf>
          </x14:cfRule>
          <xm:sqref>C9:C11</xm:sqref>
        </x14:conditionalFormatting>
        <x14:conditionalFormatting xmlns:xm="http://schemas.microsoft.com/office/excel/2006/main">
          <x14:cfRule type="containsText" priority="5175" operator="containsText" text="WEB SERVICE" id="{D132AEE4-6B8C-4E28-9EE6-C8CEE2654E8A}">
            <xm:f>NOT(ISERROR(SEARCH("WEB SERVICE",'TC1'!#REF!)))</xm:f>
            <x14:dxf>
              <font>
                <color rgb="FF9C0006"/>
              </font>
              <fill>
                <patternFill>
                  <bgColor rgb="FFFFC7CE"/>
                </patternFill>
              </fill>
            </x14:dxf>
          </x14:cfRule>
          <x14:cfRule type="containsText" priority="5176" operator="containsText" text="DB" id="{A26FD4F8-B290-49FA-954A-B1E945FF044E}">
            <xm:f>NOT(ISERROR(SEARCH("DB",'TC1'!#REF!)))</xm:f>
            <x14:dxf>
              <font>
                <color rgb="FF006100"/>
              </font>
              <fill>
                <patternFill>
                  <bgColor rgb="FFC6EFCE"/>
                </patternFill>
              </fill>
            </x14:dxf>
          </x14:cfRule>
          <xm:sqref>E9:E11</xm:sqref>
        </x14:conditionalFormatting>
        <x14:conditionalFormatting xmlns:xm="http://schemas.microsoft.com/office/excel/2006/main">
          <x14:cfRule type="containsText" priority="5177" operator="containsText" text="WEB SERVICE" id="{D132AEE4-6B8C-4E28-9EE6-C8CEE2654E8A}">
            <xm:f>NOT(ISERROR(SEARCH("WEB SERVICE",'TC1'!E9)))</xm:f>
            <x14:dxf>
              <font>
                <color rgb="FF9C0006"/>
              </font>
              <fill>
                <patternFill>
                  <bgColor rgb="FFFFC7CE"/>
                </patternFill>
              </fill>
            </x14:dxf>
          </x14:cfRule>
          <x14:cfRule type="containsText" priority="5178" operator="containsText" text="DB" id="{A26FD4F8-B290-49FA-954A-B1E945FF044E}">
            <xm:f>NOT(ISERROR(SEARCH("DB",'TC1'!E9)))</xm:f>
            <x14:dxf>
              <font>
                <color rgb="FF006100"/>
              </font>
              <fill>
                <patternFill>
                  <bgColor rgb="FFC6EFCE"/>
                </patternFill>
              </fill>
            </x14:dxf>
          </x14:cfRule>
          <xm:sqref>E12:E15</xm:sqref>
        </x14:conditionalFormatting>
        <x14:conditionalFormatting xmlns:xm="http://schemas.microsoft.com/office/excel/2006/main">
          <x14:cfRule type="expression" priority="5183" id="{457463E1-7D1B-42D7-A1AD-500897E435DD}">
            <xm:f>'TC1'!$B9="Dial"</xm:f>
            <x14:dxf>
              <font>
                <b/>
                <i val="0"/>
                <color rgb="FFFF0000"/>
              </font>
            </x14:dxf>
          </x14:cfRule>
          <x14:cfRule type="expression" priority="5184" id="{74E068F7-98EE-48CA-A770-225975D47D6F}">
            <xm:f>'TC1'!$B9="HANGUP"</xm:f>
            <x14:dxf>
              <font>
                <b/>
                <i val="0"/>
              </font>
            </x14:dxf>
          </x14:cfRule>
          <xm:sqref>C12:C15</xm:sqref>
        </x14:conditionalFormatting>
        <x14:conditionalFormatting xmlns:xm="http://schemas.microsoft.com/office/excel/2006/main">
          <x14:cfRule type="expression" priority="5185" id="{457463E1-7D1B-42D7-A1AD-500897E435DD}">
            <xm:f>'TC1'!#REF!="Dial"</xm:f>
            <x14:dxf>
              <font>
                <b/>
                <i val="0"/>
                <color rgb="FFFF0000"/>
              </font>
            </x14:dxf>
          </x14:cfRule>
          <x14:cfRule type="expression" priority="5186" id="{74E068F7-98EE-48CA-A770-225975D47D6F}">
            <xm:f>'TC1'!#REF!="HANGUP"</xm:f>
            <x14:dxf>
              <font>
                <b/>
                <i val="0"/>
              </font>
            </x14:dxf>
          </x14:cfRule>
          <xm:sqref>C9:C11</xm:sqref>
        </x14:conditionalFormatting>
        <x14:conditionalFormatting xmlns:xm="http://schemas.microsoft.com/office/excel/2006/main">
          <x14:cfRule type="expression" priority="7489" id="{5B9CD5D9-3108-4648-A895-2BFA2176F0E1}">
            <xm:f>'TC1'!$B15="Speak"</xm:f>
            <x14:dxf>
              <font>
                <b/>
                <i val="0"/>
                <color rgb="FFFF0000"/>
              </font>
            </x14:dxf>
          </x14:cfRule>
          <xm:sqref>C16</xm:sqref>
        </x14:conditionalFormatting>
        <x14:conditionalFormatting xmlns:xm="http://schemas.microsoft.com/office/excel/2006/main">
          <x14:cfRule type="containsText" priority="7492" operator="containsText" text="WEB SERVICE" id="{D132AEE4-6B8C-4E28-9EE6-C8CEE2654E8A}">
            <xm:f>NOT(ISERROR(SEARCH("WEB SERVICE",'TC1'!E15)))</xm:f>
            <x14:dxf>
              <font>
                <color rgb="FF9C0006"/>
              </font>
              <fill>
                <patternFill>
                  <bgColor rgb="FFFFC7CE"/>
                </patternFill>
              </fill>
            </x14:dxf>
          </x14:cfRule>
          <x14:cfRule type="containsText" priority="7493" operator="containsText" text="DB" id="{A26FD4F8-B290-49FA-954A-B1E945FF044E}">
            <xm:f>NOT(ISERROR(SEARCH("DB",'TC1'!E15)))</xm:f>
            <x14:dxf>
              <font>
                <color rgb="FF006100"/>
              </font>
              <fill>
                <patternFill>
                  <bgColor rgb="FFC6EFCE"/>
                </patternFill>
              </fill>
            </x14:dxf>
          </x14:cfRule>
          <xm:sqref>E16</xm:sqref>
        </x14:conditionalFormatting>
        <x14:conditionalFormatting xmlns:xm="http://schemas.microsoft.com/office/excel/2006/main">
          <x14:cfRule type="expression" priority="7496" id="{457463E1-7D1B-42D7-A1AD-500897E435DD}">
            <xm:f>'TC1'!$B15="Dial"</xm:f>
            <x14:dxf>
              <font>
                <b/>
                <i val="0"/>
                <color rgb="FFFF0000"/>
              </font>
            </x14:dxf>
          </x14:cfRule>
          <x14:cfRule type="expression" priority="7497" id="{74E068F7-98EE-48CA-A770-225975D47D6F}">
            <xm:f>'TC1'!$B15="HANGUP"</xm:f>
            <x14:dxf>
              <font>
                <b/>
                <i val="0"/>
              </font>
            </x14:dxf>
          </x14:cfRule>
          <xm:sqref>C16</xm:sqref>
        </x14:conditionalFormatting>
        <x14:conditionalFormatting xmlns:xm="http://schemas.microsoft.com/office/excel/2006/main">
          <x14:cfRule type="containsText" priority="10052" operator="containsText" text="Hear" id="{5BDD8299-5544-46AA-901C-54309B546BA0}">
            <xm:f>NOT(ISERROR(SEARCH("Hear",'TC26'!#REF!)))</xm:f>
            <x14:dxf>
              <font>
                <color theme="9" tint="-0.24994659260841701"/>
              </font>
              <fill>
                <patternFill>
                  <bgColor theme="9" tint="0.59996337778862885"/>
                </patternFill>
              </fill>
            </x14:dxf>
          </x14:cfRule>
          <xm:sqref>B39</xm:sqref>
        </x14:conditionalFormatting>
      </x14:conditionalFormattings>
    </ext>
  </extLst>
</worksheet>
</file>

<file path=xl/worksheets/sheet1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000-000000000000}">
  <sheetPr codeName="Sheet114"/>
  <dimension ref="A1:E44"/>
  <sheetViews>
    <sheetView zoomScaleNormal="100" workbookViewId="0">
      <selection sqref="A1:E44"/>
    </sheetView>
  </sheetViews>
  <sheetFormatPr defaultRowHeight="14.5" x14ac:dyDescent="0.35"/>
  <cols>
    <col min="1" max="1" width="14.453125" bestFit="1" customWidth="1"/>
    <col min="2" max="2" width="42.6328125" customWidth="1"/>
    <col min="3" max="3" width="106.1796875" customWidth="1"/>
    <col min="4" max="4" width="21.81640625" bestFit="1" customWidth="1"/>
    <col min="5" max="5" width="20.6328125" customWidth="1"/>
  </cols>
  <sheetData>
    <row r="1" spans="1:5" ht="18.5" x14ac:dyDescent="0.35">
      <c r="A1" s="192" t="s">
        <v>4</v>
      </c>
      <c r="B1" s="192"/>
      <c r="C1" s="105"/>
      <c r="D1" s="111"/>
      <c r="E1" s="97"/>
    </row>
    <row r="2" spans="1:5" x14ac:dyDescent="0.35">
      <c r="A2" s="106" t="s">
        <v>5</v>
      </c>
      <c r="B2" s="107" t="str">
        <f ca="1">MID(CELL("filename",A1),FIND("]",CELL("filename",A1))+1,LEN(CELL("filename",A1))-FIND("]",CELL("filename",A1)))</f>
        <v>TC112</v>
      </c>
      <c r="C2" s="98"/>
      <c r="D2" s="111"/>
      <c r="E2" s="97"/>
    </row>
    <row r="3" spans="1:5" x14ac:dyDescent="0.35">
      <c r="A3" s="104" t="s">
        <v>19</v>
      </c>
      <c r="B3" s="112">
        <f ca="1">VLOOKUP(B2,Table53[#All],2,FALSE)</f>
        <v>0</v>
      </c>
      <c r="C3" s="98"/>
      <c r="D3" s="111"/>
      <c r="E3" s="97"/>
    </row>
    <row r="4" spans="1:5" ht="29" x14ac:dyDescent="0.35">
      <c r="A4" s="113" t="s">
        <v>20</v>
      </c>
      <c r="B4" s="99">
        <f ca="1">VLOOKUP(B2,Table53[#All],4,FALSE)</f>
        <v>0</v>
      </c>
      <c r="C4" s="98"/>
      <c r="D4" s="111"/>
      <c r="E4" s="97"/>
    </row>
    <row r="5" spans="1:5" x14ac:dyDescent="0.35">
      <c r="A5" s="104" t="s">
        <v>6</v>
      </c>
      <c r="B5" s="77">
        <f ca="1">VLOOKUP(B2,Table53[#All],3,FALSE)</f>
        <v>0</v>
      </c>
      <c r="C5" s="98"/>
      <c r="D5" s="111"/>
      <c r="E5" s="97"/>
    </row>
    <row r="6" spans="1:5" x14ac:dyDescent="0.35">
      <c r="A6" s="97"/>
      <c r="B6" s="97"/>
      <c r="C6" s="98"/>
      <c r="D6" s="111"/>
      <c r="E6" s="97"/>
    </row>
    <row r="7" spans="1:5" ht="15.5" x14ac:dyDescent="0.35">
      <c r="A7" s="100" t="s">
        <v>7</v>
      </c>
      <c r="B7" s="101" t="s">
        <v>8</v>
      </c>
      <c r="C7" s="102" t="s">
        <v>9</v>
      </c>
      <c r="D7" s="102" t="s">
        <v>14</v>
      </c>
      <c r="E7" s="103" t="s">
        <v>10</v>
      </c>
    </row>
    <row r="8" spans="1:5" x14ac:dyDescent="0.35">
      <c r="A8" s="118">
        <v>1</v>
      </c>
      <c r="B8" s="114" t="s">
        <v>114</v>
      </c>
      <c r="C8" s="109" t="s">
        <v>125</v>
      </c>
      <c r="D8" s="128"/>
      <c r="E8" s="125" t="s">
        <v>11</v>
      </c>
    </row>
    <row r="9" spans="1:5" x14ac:dyDescent="0.35">
      <c r="A9" s="118">
        <v>2</v>
      </c>
      <c r="B9" s="114" t="s">
        <v>12</v>
      </c>
      <c r="C9" s="109" t="e">
        <f>VLOOKUP(Table257519913140106110118[[#This Row],[PEG]],Table1016[#All],2,FALSE)</f>
        <v>#N/A</v>
      </c>
      <c r="D9" s="128"/>
      <c r="E9" s="125" t="e">
        <f>VLOOKUP(Table257519913140106110118[[#This Row],[PEG]],Table1016[#All],3,FALSE)</f>
        <v>#N/A</v>
      </c>
    </row>
    <row r="10" spans="1:5" x14ac:dyDescent="0.35">
      <c r="A10" s="118">
        <v>3</v>
      </c>
      <c r="B10" s="114" t="s">
        <v>115</v>
      </c>
      <c r="C10" s="109" t="e">
        <f>VLOOKUP(Table257519913140106110118[[#This Row],[PEG]],Table1016[#All],2,FALSE)</f>
        <v>#N/A</v>
      </c>
      <c r="D10" s="128"/>
      <c r="E10" s="125" t="e">
        <f>VLOOKUP(Table257519913140106110118[[#This Row],[PEG]],Table1016[#All],3,FALSE)</f>
        <v>#N/A</v>
      </c>
    </row>
    <row r="11" spans="1:5" x14ac:dyDescent="0.35">
      <c r="A11" s="118">
        <v>4</v>
      </c>
      <c r="B11" s="114" t="s">
        <v>115</v>
      </c>
      <c r="C11" s="109" t="e">
        <f>VLOOKUP(Table257519913140106110118[[#This Row],[PEG]],Table1016[#All],2,FALSE)</f>
        <v>#N/A</v>
      </c>
      <c r="D11" s="128"/>
      <c r="E11" s="125" t="e">
        <f>VLOOKUP(Table257519913140106110118[[#This Row],[PEG]],Table1016[#All],3,FALSE)</f>
        <v>#N/A</v>
      </c>
    </row>
    <row r="12" spans="1:5" x14ac:dyDescent="0.35">
      <c r="A12" s="118">
        <v>5</v>
      </c>
      <c r="B12" s="114" t="s">
        <v>114</v>
      </c>
      <c r="C12" s="109" t="e">
        <f>VLOOKUP(Table257519913140106110118[[#This Row],[PEG]],Table1016[#All],2,FALSE)</f>
        <v>#N/A</v>
      </c>
      <c r="D12" s="128"/>
      <c r="E12" s="125" t="e">
        <f>VLOOKUP(Table257519913140106110118[[#This Row],[PEG]],Table1016[#All],3,FALSE)</f>
        <v>#N/A</v>
      </c>
    </row>
    <row r="13" spans="1:5" x14ac:dyDescent="0.35">
      <c r="A13" s="118">
        <v>6</v>
      </c>
      <c r="B13" s="114" t="s">
        <v>115</v>
      </c>
      <c r="C13" s="109" t="e">
        <f>VLOOKUP(Table257519913140106110118[[#This Row],[PEG]],Table1016[#All],2,FALSE)</f>
        <v>#N/A</v>
      </c>
      <c r="D13" s="128"/>
      <c r="E13" s="125" t="e">
        <f>VLOOKUP(Table257519913140106110118[[#This Row],[PEG]],Table1016[#All],3,FALSE)</f>
        <v>#N/A</v>
      </c>
    </row>
    <row r="14" spans="1:5" x14ac:dyDescent="0.35">
      <c r="A14" s="118">
        <v>7</v>
      </c>
      <c r="B14" s="114" t="s">
        <v>114</v>
      </c>
      <c r="C14" s="109" t="e">
        <f>VLOOKUP(Table257519913140106110118[[#This Row],[PEG]],Table1016[#All],2,FALSE)</f>
        <v>#N/A</v>
      </c>
      <c r="D14" s="128"/>
      <c r="E14" s="125" t="e">
        <f>VLOOKUP(Table257519913140106110118[[#This Row],[PEG]],Table1016[#All],3,FALSE)</f>
        <v>#N/A</v>
      </c>
    </row>
    <row r="15" spans="1:5" x14ac:dyDescent="0.35">
      <c r="A15" s="118">
        <v>8</v>
      </c>
      <c r="B15" s="114" t="s">
        <v>115</v>
      </c>
      <c r="C15" s="109" t="e">
        <f>VLOOKUP(Table257519913140106110118[[#This Row],[PEG]],Table1016[#All],2,FALSE)</f>
        <v>#N/A</v>
      </c>
      <c r="D15" s="116"/>
      <c r="E15" s="125" t="e">
        <f>VLOOKUP(Table257519913140106110118[[#This Row],[PEG]],Table1016[#All],3,FALSE)</f>
        <v>#N/A</v>
      </c>
    </row>
    <row r="16" spans="1:5" x14ac:dyDescent="0.35">
      <c r="A16" s="118">
        <v>9</v>
      </c>
      <c r="B16" s="114" t="s">
        <v>12</v>
      </c>
      <c r="C16" s="109" t="e">
        <f>VLOOKUP(Table257519913140106110118[[#This Row],[PEG]],Table1016[#All],2,FALSE)</f>
        <v>#N/A</v>
      </c>
      <c r="D16" s="116"/>
      <c r="E16" s="125" t="e">
        <f>VLOOKUP(Table257519913140106110118[[#This Row],[PEG]],Table1016[#All],3,FALSE)</f>
        <v>#N/A</v>
      </c>
    </row>
    <row r="17" spans="1:5" x14ac:dyDescent="0.35">
      <c r="A17" s="118">
        <v>10</v>
      </c>
      <c r="B17" s="114" t="s">
        <v>12</v>
      </c>
      <c r="C17" s="109" t="e">
        <f>VLOOKUP(Table257519913140106110118[[#This Row],[PEG]],Table1016[#All],2,FALSE)</f>
        <v>#N/A</v>
      </c>
      <c r="D17" s="117"/>
      <c r="E17" s="125" t="e">
        <f>VLOOKUP(Table257519913140106110118[[#This Row],[PEG]],Table1016[#All],3,FALSE)</f>
        <v>#N/A</v>
      </c>
    </row>
    <row r="18" spans="1:5" x14ac:dyDescent="0.35">
      <c r="A18" s="118">
        <v>11</v>
      </c>
      <c r="B18" s="114" t="s">
        <v>115</v>
      </c>
      <c r="C18" s="109" t="e">
        <f>VLOOKUP(Table257519913140106110118[[#This Row],[PEG]],Table1016[#All],2,FALSE)</f>
        <v>#N/A</v>
      </c>
      <c r="D18" s="117"/>
      <c r="E18" s="125" t="e">
        <f>VLOOKUP(Table257519913140106110118[[#This Row],[PEG]],Table1016[#All],3,FALSE)</f>
        <v>#N/A</v>
      </c>
    </row>
    <row r="19" spans="1:5" x14ac:dyDescent="0.35">
      <c r="A19" s="118">
        <v>12</v>
      </c>
      <c r="B19" s="114" t="s">
        <v>115</v>
      </c>
      <c r="C19" s="109" t="e">
        <f>VLOOKUP(Table257519913140106110118[[#This Row],[PEG]],Table1016[#All],2,FALSE)</f>
        <v>#N/A</v>
      </c>
      <c r="D19" s="117"/>
      <c r="E19" s="125" t="e">
        <f>VLOOKUP(Table257519913140106110118[[#This Row],[PEG]],Table1016[#All],3,FALSE)</f>
        <v>#N/A</v>
      </c>
    </row>
    <row r="20" spans="1:5" x14ac:dyDescent="0.35">
      <c r="A20" s="118">
        <v>13</v>
      </c>
      <c r="B20" s="114" t="s">
        <v>114</v>
      </c>
      <c r="C20" s="109" t="e">
        <f>VLOOKUP(Table257519913140106110118[[#This Row],[PEG]],Table1016[#All],2,FALSE)</f>
        <v>#N/A</v>
      </c>
      <c r="D20" s="117"/>
      <c r="E20" s="125" t="e">
        <f>VLOOKUP(Table257519913140106110118[[#This Row],[PEG]],Table1016[#All],3,FALSE)</f>
        <v>#N/A</v>
      </c>
    </row>
    <row r="21" spans="1:5" x14ac:dyDescent="0.35">
      <c r="A21" s="118">
        <v>14</v>
      </c>
      <c r="B21" s="114" t="s">
        <v>12</v>
      </c>
      <c r="C21" s="109" t="e">
        <f>VLOOKUP(Table257519913140106110118[[#This Row],[PEG]],Table1016[#All],2,FALSE)</f>
        <v>#N/A</v>
      </c>
      <c r="D21" s="117"/>
      <c r="E21" s="125" t="e">
        <f>VLOOKUP(Table257519913140106110118[[#This Row],[PEG]],Table1016[#All],3,FALSE)</f>
        <v>#N/A</v>
      </c>
    </row>
    <row r="22" spans="1:5" x14ac:dyDescent="0.35">
      <c r="A22" s="118">
        <v>15</v>
      </c>
      <c r="B22" s="114" t="s">
        <v>12</v>
      </c>
      <c r="C22" s="109" t="e">
        <f>VLOOKUP(Table257519913140106110118[[#This Row],[PEG]],Table1016[#All],2,FALSE)</f>
        <v>#N/A</v>
      </c>
      <c r="D22" s="117"/>
      <c r="E22" s="125" t="e">
        <f>VLOOKUP(Table257519913140106110118[[#This Row],[PEG]],Table1016[#All],3,FALSE)</f>
        <v>#N/A</v>
      </c>
    </row>
    <row r="23" spans="1:5" x14ac:dyDescent="0.35">
      <c r="A23" s="118">
        <v>16</v>
      </c>
      <c r="B23" s="114" t="s">
        <v>115</v>
      </c>
      <c r="C23" s="109" t="e">
        <f>VLOOKUP(Table257519913140106110118[[#This Row],[PEG]],Table1016[#All],2,FALSE)</f>
        <v>#N/A</v>
      </c>
      <c r="D23" s="117"/>
      <c r="E23" s="125" t="e">
        <f>VLOOKUP(Table257519913140106110118[[#This Row],[PEG]],Table1016[#All],3,FALSE)</f>
        <v>#N/A</v>
      </c>
    </row>
    <row r="24" spans="1:5" x14ac:dyDescent="0.35">
      <c r="A24" s="118">
        <v>17</v>
      </c>
      <c r="B24" s="114" t="s">
        <v>114</v>
      </c>
      <c r="C24" s="109" t="e">
        <f>VLOOKUP(Table257519913140106110118[[#This Row],[PEG]],Table1016[#All],2,FALSE)</f>
        <v>#N/A</v>
      </c>
      <c r="D24" s="117"/>
      <c r="E24" s="125" t="e">
        <f>VLOOKUP(Table257519913140106110118[[#This Row],[PEG]],Table1016[#All],3,FALSE)</f>
        <v>#N/A</v>
      </c>
    </row>
    <row r="25" spans="1:5" x14ac:dyDescent="0.35">
      <c r="A25" s="118">
        <v>18</v>
      </c>
      <c r="B25" s="114" t="s">
        <v>12</v>
      </c>
      <c r="C25" s="109" t="e">
        <f>VLOOKUP(Table257519913140106110118[[#This Row],[PEG]],Table1016[#All],2,FALSE)</f>
        <v>#N/A</v>
      </c>
      <c r="D25" s="117"/>
      <c r="E25" s="125" t="e">
        <f>VLOOKUP(Table257519913140106110118[[#This Row],[PEG]],Table1016[#All],3,FALSE)</f>
        <v>#N/A</v>
      </c>
    </row>
    <row r="26" spans="1:5" x14ac:dyDescent="0.35">
      <c r="A26" s="118">
        <v>19</v>
      </c>
      <c r="B26" s="114" t="s">
        <v>12</v>
      </c>
      <c r="C26" s="109" t="e">
        <f>VLOOKUP(Table257519913140106110118[[#This Row],[PEG]],Table1016[#All],2,FALSE)</f>
        <v>#N/A</v>
      </c>
      <c r="D26" s="117"/>
      <c r="E26" s="125" t="e">
        <f>VLOOKUP(Table257519913140106110118[[#This Row],[PEG]],Table1016[#All],3,FALSE)</f>
        <v>#N/A</v>
      </c>
    </row>
    <row r="27" spans="1:5" x14ac:dyDescent="0.35">
      <c r="A27" s="118">
        <v>20</v>
      </c>
      <c r="B27" s="114" t="s">
        <v>115</v>
      </c>
      <c r="C27" s="109" t="e">
        <f>VLOOKUP(Table257519913140106110118[[#This Row],[PEG]],Table1016[#All],2,FALSE)</f>
        <v>#N/A</v>
      </c>
      <c r="D27" s="117"/>
      <c r="E27" s="125" t="e">
        <f>VLOOKUP(Table257519913140106110118[[#This Row],[PEG]],Table1016[#All],3,FALSE)</f>
        <v>#N/A</v>
      </c>
    </row>
    <row r="28" spans="1:5" x14ac:dyDescent="0.35">
      <c r="A28" s="118">
        <v>21</v>
      </c>
      <c r="B28" s="114" t="s">
        <v>114</v>
      </c>
      <c r="C28" s="109" t="e">
        <f>VLOOKUP(Table257519913140106110118[[#This Row],[PEG]],Table1016[#All],2,FALSE)</f>
        <v>#N/A</v>
      </c>
      <c r="D28" s="117"/>
      <c r="E28" s="125" t="e">
        <f>VLOOKUP(Table257519913140106110118[[#This Row],[PEG]],Table1016[#All],3,FALSE)</f>
        <v>#N/A</v>
      </c>
    </row>
    <row r="29" spans="1:5" x14ac:dyDescent="0.35">
      <c r="A29" s="118">
        <v>22</v>
      </c>
      <c r="B29" s="114" t="s">
        <v>12</v>
      </c>
      <c r="C29" s="109" t="e">
        <f>VLOOKUP(Table257519913140106110118[[#This Row],[PEG]],Table1016[#All],2,FALSE)</f>
        <v>#N/A</v>
      </c>
      <c r="D29" s="117"/>
      <c r="E29" s="125" t="e">
        <f>VLOOKUP(Table257519913140106110118[[#This Row],[PEG]],Table1016[#All],3,FALSE)</f>
        <v>#N/A</v>
      </c>
    </row>
    <row r="30" spans="1:5" x14ac:dyDescent="0.35">
      <c r="A30" s="118">
        <v>23</v>
      </c>
      <c r="B30" s="114" t="s">
        <v>12</v>
      </c>
      <c r="C30" s="109" t="e">
        <f>VLOOKUP(Table257519913140106110118[[#This Row],[PEG]],Table1016[#All],2,FALSE)</f>
        <v>#N/A</v>
      </c>
      <c r="D30" s="117"/>
      <c r="E30" s="125" t="e">
        <f>VLOOKUP(Table257519913140106110118[[#This Row],[PEG]],Table1016[#All],3,FALSE)</f>
        <v>#N/A</v>
      </c>
    </row>
    <row r="31" spans="1:5" x14ac:dyDescent="0.35">
      <c r="A31" s="118">
        <v>24</v>
      </c>
      <c r="B31" s="114" t="s">
        <v>115</v>
      </c>
      <c r="C31" s="109" t="e">
        <f>VLOOKUP(Table257519913140106110118[[#This Row],[PEG]],Table1016[#All],2,FALSE)</f>
        <v>#N/A</v>
      </c>
      <c r="D31" s="117"/>
      <c r="E31" s="125" t="e">
        <f>VLOOKUP(Table257519913140106110118[[#This Row],[PEG]],Table1016[#All],3,FALSE)</f>
        <v>#N/A</v>
      </c>
    </row>
    <row r="32" spans="1:5" x14ac:dyDescent="0.35">
      <c r="A32" s="118">
        <v>25</v>
      </c>
      <c r="B32" s="114" t="s">
        <v>115</v>
      </c>
      <c r="C32" s="109" t="e">
        <f>VLOOKUP(Table257519913140106110118[[#This Row],[PEG]],Table1016[#All],2,FALSE)</f>
        <v>#N/A</v>
      </c>
      <c r="D32" s="117"/>
      <c r="E32" s="125" t="e">
        <f>VLOOKUP(Table257519913140106110118[[#This Row],[PEG]],Table1016[#All],3,FALSE)</f>
        <v>#N/A</v>
      </c>
    </row>
    <row r="33" spans="1:5" x14ac:dyDescent="0.35">
      <c r="A33" s="118">
        <v>26</v>
      </c>
      <c r="B33" s="114" t="s">
        <v>124</v>
      </c>
      <c r="C33" s="109" t="e">
        <f>VLOOKUP(Table257519913140106110118[[#This Row],[PEG]],Table1016[#All],2,FALSE)</f>
        <v>#N/A</v>
      </c>
      <c r="D33" s="117"/>
      <c r="E33" s="125" t="e">
        <f>VLOOKUP(Table257519913140106110118[[#This Row],[PEG]],Table1016[#All],3,FALSE)</f>
        <v>#N/A</v>
      </c>
    </row>
    <row r="34" spans="1:5" x14ac:dyDescent="0.35">
      <c r="A34" s="118">
        <v>27</v>
      </c>
      <c r="B34" s="114" t="s">
        <v>115</v>
      </c>
      <c r="C34" s="109" t="e">
        <f>VLOOKUP(Table257519913140106110118[[#This Row],[PEG]],Table1016[#All],2,FALSE)</f>
        <v>#N/A</v>
      </c>
      <c r="D34" s="117"/>
      <c r="E34" s="125" t="e">
        <f>VLOOKUP(Table257519913140106110118[[#This Row],[PEG]],Table1016[#All],3,FALSE)</f>
        <v>#N/A</v>
      </c>
    </row>
    <row r="35" spans="1:5" x14ac:dyDescent="0.35">
      <c r="A35" s="118">
        <v>28</v>
      </c>
      <c r="B35" s="114" t="s">
        <v>124</v>
      </c>
      <c r="C35" s="109" t="e">
        <f>VLOOKUP(Table257519913140106110118[[#This Row],[PEG]],Table1016[#All],2,FALSE)</f>
        <v>#N/A</v>
      </c>
      <c r="D35" s="117"/>
      <c r="E35" s="125" t="e">
        <f>VLOOKUP(Table257519913140106110118[[#This Row],[PEG]],Table1016[#All],3,FALSE)</f>
        <v>#N/A</v>
      </c>
    </row>
    <row r="36" spans="1:5" x14ac:dyDescent="0.35">
      <c r="A36" s="118">
        <v>29</v>
      </c>
      <c r="B36" s="114" t="s">
        <v>115</v>
      </c>
      <c r="C36" s="109" t="e">
        <f>VLOOKUP(Table257519913140106110118[[#This Row],[PEG]],Table1016[#All],2,FALSE)</f>
        <v>#N/A</v>
      </c>
      <c r="D36" s="117"/>
      <c r="E36" s="125" t="e">
        <f>VLOOKUP(Table257519913140106110118[[#This Row],[PEG]],Table1016[#All],3,FALSE)</f>
        <v>#N/A</v>
      </c>
    </row>
    <row r="37" spans="1:5" x14ac:dyDescent="0.35">
      <c r="A37" s="118">
        <v>30</v>
      </c>
      <c r="B37" s="114" t="s">
        <v>12</v>
      </c>
      <c r="C37" s="109" t="e">
        <f>VLOOKUP(Table257519913140106110118[[#This Row],[PEG]],Table1016[#All],2,FALSE)</f>
        <v>#N/A</v>
      </c>
      <c r="D37" s="117"/>
      <c r="E37" s="125" t="e">
        <f>VLOOKUP(Table257519913140106110118[[#This Row],[PEG]],Table1016[#All],3,FALSE)</f>
        <v>#N/A</v>
      </c>
    </row>
    <row r="38" spans="1:5" x14ac:dyDescent="0.35">
      <c r="A38" s="118">
        <v>31</v>
      </c>
      <c r="B38" s="114" t="s">
        <v>12</v>
      </c>
      <c r="C38" s="109" t="e">
        <f>VLOOKUP(Table257519913140106110118[[#This Row],[PEG]],Table1016[#All],2,FALSE)</f>
        <v>#N/A</v>
      </c>
      <c r="D38" s="117"/>
      <c r="E38" s="125" t="e">
        <f>VLOOKUP(Table257519913140106110118[[#This Row],[PEG]],Table1016[#All],3,FALSE)</f>
        <v>#N/A</v>
      </c>
    </row>
    <row r="39" spans="1:5" x14ac:dyDescent="0.35">
      <c r="A39" s="118">
        <v>32</v>
      </c>
      <c r="B39" s="114" t="s">
        <v>12</v>
      </c>
      <c r="C39" s="109" t="e">
        <f>VLOOKUP(Table257519913140106110118[[#This Row],[PEG]],Table1016[#All],2,FALSE)</f>
        <v>#N/A</v>
      </c>
      <c r="D39" s="117"/>
      <c r="E39" s="125" t="e">
        <f>VLOOKUP(Table257519913140106110118[[#This Row],[PEG]],Table1016[#All],3,FALSE)</f>
        <v>#N/A</v>
      </c>
    </row>
    <row r="40" spans="1:5" x14ac:dyDescent="0.35">
      <c r="A40" s="118">
        <v>33</v>
      </c>
      <c r="B40" s="114" t="s">
        <v>12</v>
      </c>
      <c r="C40" s="109" t="e">
        <f>VLOOKUP(Table257519913140106110118[[#This Row],[PEG]],Table1016[#All],2,FALSE)</f>
        <v>#N/A</v>
      </c>
      <c r="D40" s="117"/>
      <c r="E40" s="125" t="e">
        <f>VLOOKUP(Table257519913140106110118[[#This Row],[PEG]],Table1016[#All],3,FALSE)</f>
        <v>#N/A</v>
      </c>
    </row>
    <row r="41" spans="1:5" x14ac:dyDescent="0.35">
      <c r="A41" s="118">
        <v>34</v>
      </c>
      <c r="B41" s="114" t="s">
        <v>115</v>
      </c>
      <c r="C41" s="109" t="e">
        <f>VLOOKUP(Table257519913140106110118[[#This Row],[PEG]],Table1016[#All],2,FALSE)</f>
        <v>#N/A</v>
      </c>
      <c r="D41" s="117"/>
      <c r="E41" s="125" t="e">
        <f>VLOOKUP(Table257519913140106110118[[#This Row],[PEG]],Table1016[#All],3,FALSE)</f>
        <v>#N/A</v>
      </c>
    </row>
    <row r="42" spans="1:5" x14ac:dyDescent="0.35">
      <c r="A42" s="118">
        <v>35</v>
      </c>
      <c r="B42" s="114" t="s">
        <v>12</v>
      </c>
      <c r="C42" s="109" t="e">
        <f>VLOOKUP(Table257519913140106110118[[#This Row],[PEG]],Table1016[#All],2,FALSE)</f>
        <v>#N/A</v>
      </c>
      <c r="D42" s="115"/>
      <c r="E42" s="125" t="e">
        <f>VLOOKUP(Table257519913140106110118[[#This Row],[PEG]],Table1016[#All],3,FALSE)</f>
        <v>#N/A</v>
      </c>
    </row>
    <row r="43" spans="1:5" x14ac:dyDescent="0.35">
      <c r="A43" s="118">
        <v>36</v>
      </c>
      <c r="B43" s="114" t="s">
        <v>115</v>
      </c>
      <c r="C43" s="109" t="e">
        <f>VLOOKUP(Table257519913140106110118[[#This Row],[PEG]],Table1016[#All],2,FALSE)</f>
        <v>#N/A</v>
      </c>
      <c r="D43" s="115"/>
      <c r="E43" s="125" t="e">
        <f>VLOOKUP(Table257519913140106110118[[#This Row],[PEG]],Table1016[#All],3,FALSE)</f>
        <v>#N/A</v>
      </c>
    </row>
    <row r="44" spans="1:5" x14ac:dyDescent="0.35">
      <c r="A44" s="118">
        <v>37</v>
      </c>
      <c r="B44" s="114" t="s">
        <v>13</v>
      </c>
      <c r="C44" s="18" t="s">
        <v>13</v>
      </c>
      <c r="D44" s="115"/>
      <c r="E44" s="32"/>
    </row>
  </sheetData>
  <mergeCells count="1">
    <mergeCell ref="A1:B1"/>
  </mergeCells>
  <conditionalFormatting sqref="B8:B18">
    <cfRule type="containsText" dxfId="2313" priority="1" operator="containsText" text="Hear">
      <formula>NOT(ISERROR(SEARCH("Hear",B8)))</formula>
    </cfRule>
  </conditionalFormatting>
  <conditionalFormatting sqref="B30">
    <cfRule type="containsText" dxfId="2312" priority="4" operator="containsText" text="Hear">
      <formula>NOT(ISERROR(SEARCH("Hear",B30)))</formula>
    </cfRule>
  </conditionalFormatting>
  <conditionalFormatting sqref="B43:B44">
    <cfRule type="containsText" dxfId="2311" priority="8" operator="containsText" text="Hear">
      <formula>NOT(ISERROR(SEARCH("Hear",B43)))</formula>
    </cfRule>
  </conditionalFormatting>
  <conditionalFormatting sqref="E44">
    <cfRule type="containsText" dxfId="2310" priority="6" operator="containsText" text="WEB SERVICE">
      <formula>NOT(ISERROR(SEARCH("WEB SERVICE",E44)))</formula>
    </cfRule>
    <cfRule type="containsText" dxfId="2309" priority="7" operator="containsText" text="DB">
      <formula>NOT(ISERROR(SEARCH("DB",E44)))</formula>
    </cfRule>
  </conditionalFormatting>
  <conditionalFormatting sqref="C44">
    <cfRule type="expression" dxfId="2308" priority="9">
      <formula>$B44="Dial"</formula>
    </cfRule>
    <cfRule type="expression" dxfId="2307" priority="11">
      <formula>$B44="HANGUP"</formula>
    </cfRule>
  </conditionalFormatting>
  <conditionalFormatting sqref="C44">
    <cfRule type="expression" dxfId="2306" priority="10">
      <formula>$B44="Speak"</formula>
    </cfRule>
  </conditionalFormatting>
  <conditionalFormatting sqref="B36:B38 B40:B41">
    <cfRule type="containsText" dxfId="2305" priority="3" operator="containsText" text="Hear">
      <formula>NOT(ISERROR(SEARCH("Hear",B36)))</formula>
    </cfRule>
  </conditionalFormatting>
  <conditionalFormatting sqref="B19:B29 B31:B35 B42">
    <cfRule type="containsText" dxfId="2304" priority="5" operator="containsText" text="Hear">
      <formula>NOT(ISERROR(SEARCH("Hear",B19)))</formula>
    </cfRule>
  </conditionalFormatting>
  <hyperlinks>
    <hyperlink ref="A1" location="'Test Case Overview'!A1" display="Return to Test Case Overview" xr:uid="{2A2566AE-900D-4E29-8D8E-1ACB977A09EC}"/>
  </hyperlinks>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expression" priority="12" id="{54ED5F34-5099-49A8-B73C-581916DE9D24}">
            <xm:f>'TC1'!$B8="Speak"</xm:f>
            <x14:dxf>
              <font>
                <b/>
                <i val="0"/>
                <color rgb="FFFF0000"/>
              </font>
            </x14:dxf>
          </x14:cfRule>
          <xm:sqref>C8</xm:sqref>
        </x14:conditionalFormatting>
        <x14:conditionalFormatting xmlns:xm="http://schemas.microsoft.com/office/excel/2006/main">
          <x14:cfRule type="containsText" priority="15" operator="containsText" text="Hear" id="{18E02E37-D4AA-45A6-97E6-4D75BBC5517E}">
            <xm:f>NOT(ISERROR(SEARCH("Hear",'TC3'!B34)))</xm:f>
            <x14:dxf>
              <font>
                <color theme="9" tint="-0.24994659260841701"/>
              </font>
              <fill>
                <patternFill>
                  <bgColor theme="9" tint="0.59996337778862885"/>
                </patternFill>
              </fill>
            </x14:dxf>
          </x14:cfRule>
          <xm:sqref>B41</xm:sqref>
        </x14:conditionalFormatting>
        <x14:conditionalFormatting xmlns:xm="http://schemas.microsoft.com/office/excel/2006/main">
          <x14:cfRule type="expression" priority="16" id="{323FC257-9BA4-4090-A45F-B9D6FB1290F3}">
            <xm:f>'TC1'!$B8="Dial"</xm:f>
            <x14:dxf>
              <font>
                <b/>
                <i val="0"/>
                <color rgb="FFFF0000"/>
              </font>
            </x14:dxf>
          </x14:cfRule>
          <x14:cfRule type="expression" priority="16" id="{D914DA85-20F3-43CE-9DDC-ED24F6D83ACB}">
            <xm:f>'TC1'!$B8="HANGUP"</xm:f>
            <x14:dxf>
              <font>
                <b/>
                <i val="0"/>
              </font>
            </x14:dxf>
          </x14:cfRule>
          <xm:sqref>C8</xm:sqref>
        </x14:conditionalFormatting>
        <x14:conditionalFormatting xmlns:xm="http://schemas.microsoft.com/office/excel/2006/main">
          <x14:cfRule type="expression" priority="2502" id="{54ED5F34-5099-49A8-B73C-581916DE9D24}">
            <xm:f>'TC1'!$B16="Speak"</xm:f>
            <x14:dxf>
              <font>
                <b/>
                <i val="0"/>
                <color rgb="FFFF0000"/>
              </font>
            </x14:dxf>
          </x14:cfRule>
          <xm:sqref>C34:C43</xm:sqref>
        </x14:conditionalFormatting>
        <x14:conditionalFormatting xmlns:xm="http://schemas.microsoft.com/office/excel/2006/main">
          <x14:cfRule type="expression" priority="2503" id="{54ED5F34-5099-49A8-B73C-581916DE9D24}">
            <xm:f>'TC1'!#REF!="Speak"</xm:f>
            <x14:dxf>
              <font>
                <b/>
                <i val="0"/>
                <color rgb="FFFF0000"/>
              </font>
            </x14:dxf>
          </x14:cfRule>
          <xm:sqref>C17:C33</xm:sqref>
        </x14:conditionalFormatting>
        <x14:conditionalFormatting xmlns:xm="http://schemas.microsoft.com/office/excel/2006/main">
          <x14:cfRule type="containsText" priority="2507" operator="containsText" text="WEB SERVICE" id="{02684BD3-9FBD-437F-8EA4-EA1AED066D46}">
            <xm:f>NOT(ISERROR(SEARCH("WEB SERVICE",'TC1'!E16)))</xm:f>
            <x14:dxf>
              <font>
                <color rgb="FF9C0006"/>
              </font>
              <fill>
                <patternFill>
                  <bgColor rgb="FFFFC7CE"/>
                </patternFill>
              </fill>
            </x14:dxf>
          </x14:cfRule>
          <x14:cfRule type="containsText" priority="2508" operator="containsText" text="DB" id="{50BFFAB9-C1A9-4B29-866F-D01D2F40CCA7}">
            <xm:f>NOT(ISERROR(SEARCH("DB",'TC1'!E16)))</xm:f>
            <x14:dxf>
              <font>
                <color rgb="FF006100"/>
              </font>
              <fill>
                <patternFill>
                  <bgColor rgb="FFC6EFCE"/>
                </patternFill>
              </fill>
            </x14:dxf>
          </x14:cfRule>
          <xm:sqref>E34:E43</xm:sqref>
        </x14:conditionalFormatting>
        <x14:conditionalFormatting xmlns:xm="http://schemas.microsoft.com/office/excel/2006/main">
          <x14:cfRule type="containsText" priority="2509" operator="containsText" text="WEB SERVICE" id="{02684BD3-9FBD-437F-8EA4-EA1AED066D46}">
            <xm:f>NOT(ISERROR(SEARCH("WEB SERVICE",'TC1'!#REF!)))</xm:f>
            <x14:dxf>
              <font>
                <color rgb="FF9C0006"/>
              </font>
              <fill>
                <patternFill>
                  <bgColor rgb="FFFFC7CE"/>
                </patternFill>
              </fill>
            </x14:dxf>
          </x14:cfRule>
          <x14:cfRule type="containsText" priority="2510" operator="containsText" text="DB" id="{50BFFAB9-C1A9-4B29-866F-D01D2F40CCA7}">
            <xm:f>NOT(ISERROR(SEARCH("DB",'TC1'!#REF!)))</xm:f>
            <x14:dxf>
              <font>
                <color rgb="FF006100"/>
              </font>
              <fill>
                <patternFill>
                  <bgColor rgb="FFC6EFCE"/>
                </patternFill>
              </fill>
            </x14:dxf>
          </x14:cfRule>
          <xm:sqref>E17:E33</xm:sqref>
        </x14:conditionalFormatting>
        <x14:conditionalFormatting xmlns:xm="http://schemas.microsoft.com/office/excel/2006/main">
          <x14:cfRule type="expression" priority="2515" id="{323FC257-9BA4-4090-A45F-B9D6FB1290F3}">
            <xm:f>'TC1'!$B16="Dial"</xm:f>
            <x14:dxf>
              <font>
                <b/>
                <i val="0"/>
                <color rgb="FFFF0000"/>
              </font>
            </x14:dxf>
          </x14:cfRule>
          <x14:cfRule type="expression" priority="2516" id="{D914DA85-20F3-43CE-9DDC-ED24F6D83ACB}">
            <xm:f>'TC1'!$B16="HANGUP"</xm:f>
            <x14:dxf>
              <font>
                <b/>
                <i val="0"/>
              </font>
            </x14:dxf>
          </x14:cfRule>
          <xm:sqref>C34:C43</xm:sqref>
        </x14:conditionalFormatting>
        <x14:conditionalFormatting xmlns:xm="http://schemas.microsoft.com/office/excel/2006/main">
          <x14:cfRule type="expression" priority="2517" id="{323FC257-9BA4-4090-A45F-B9D6FB1290F3}">
            <xm:f>'TC1'!#REF!="Dial"</xm:f>
            <x14:dxf>
              <font>
                <b/>
                <i val="0"/>
                <color rgb="FFFF0000"/>
              </font>
            </x14:dxf>
          </x14:cfRule>
          <x14:cfRule type="expression" priority="2518" id="{D914DA85-20F3-43CE-9DDC-ED24F6D83ACB}">
            <xm:f>'TC1'!#REF!="HANGUP"</xm:f>
            <x14:dxf>
              <font>
                <b/>
                <i val="0"/>
              </font>
            </x14:dxf>
          </x14:cfRule>
          <xm:sqref>C17:C33</xm:sqref>
        </x14:conditionalFormatting>
        <x14:conditionalFormatting xmlns:xm="http://schemas.microsoft.com/office/excel/2006/main">
          <x14:cfRule type="expression" priority="5190" id="{54ED5F34-5099-49A8-B73C-581916DE9D24}">
            <xm:f>'TC1'!$B9="Speak"</xm:f>
            <x14:dxf>
              <font>
                <b/>
                <i val="0"/>
                <color rgb="FFFF0000"/>
              </font>
            </x14:dxf>
          </x14:cfRule>
          <xm:sqref>C12:C15</xm:sqref>
        </x14:conditionalFormatting>
        <x14:conditionalFormatting xmlns:xm="http://schemas.microsoft.com/office/excel/2006/main">
          <x14:cfRule type="expression" priority="5191" id="{54ED5F34-5099-49A8-B73C-581916DE9D24}">
            <xm:f>'TC1'!#REF!="Speak"</xm:f>
            <x14:dxf>
              <font>
                <b/>
                <i val="0"/>
                <color rgb="FFFF0000"/>
              </font>
            </x14:dxf>
          </x14:cfRule>
          <xm:sqref>C9:C11</xm:sqref>
        </x14:conditionalFormatting>
        <x14:conditionalFormatting xmlns:xm="http://schemas.microsoft.com/office/excel/2006/main">
          <x14:cfRule type="containsText" priority="5193" operator="containsText" text="WEB SERVICE" id="{02684BD3-9FBD-437F-8EA4-EA1AED066D46}">
            <xm:f>NOT(ISERROR(SEARCH("WEB SERVICE",'TC1'!#REF!)))</xm:f>
            <x14:dxf>
              <font>
                <color rgb="FF9C0006"/>
              </font>
              <fill>
                <patternFill>
                  <bgColor rgb="FFFFC7CE"/>
                </patternFill>
              </fill>
            </x14:dxf>
          </x14:cfRule>
          <x14:cfRule type="containsText" priority="5194" operator="containsText" text="DB" id="{50BFFAB9-C1A9-4B29-866F-D01D2F40CCA7}">
            <xm:f>NOT(ISERROR(SEARCH("DB",'TC1'!#REF!)))</xm:f>
            <x14:dxf>
              <font>
                <color rgb="FF006100"/>
              </font>
              <fill>
                <patternFill>
                  <bgColor rgb="FFC6EFCE"/>
                </patternFill>
              </fill>
            </x14:dxf>
          </x14:cfRule>
          <xm:sqref>E9:E11</xm:sqref>
        </x14:conditionalFormatting>
        <x14:conditionalFormatting xmlns:xm="http://schemas.microsoft.com/office/excel/2006/main">
          <x14:cfRule type="containsText" priority="5195" operator="containsText" text="WEB SERVICE" id="{02684BD3-9FBD-437F-8EA4-EA1AED066D46}">
            <xm:f>NOT(ISERROR(SEARCH("WEB SERVICE",'TC1'!E9)))</xm:f>
            <x14:dxf>
              <font>
                <color rgb="FF9C0006"/>
              </font>
              <fill>
                <patternFill>
                  <bgColor rgb="FFFFC7CE"/>
                </patternFill>
              </fill>
            </x14:dxf>
          </x14:cfRule>
          <x14:cfRule type="containsText" priority="5196" operator="containsText" text="DB" id="{50BFFAB9-C1A9-4B29-866F-D01D2F40CCA7}">
            <xm:f>NOT(ISERROR(SEARCH("DB",'TC1'!E9)))</xm:f>
            <x14:dxf>
              <font>
                <color rgb="FF006100"/>
              </font>
              <fill>
                <patternFill>
                  <bgColor rgb="FFC6EFCE"/>
                </patternFill>
              </fill>
            </x14:dxf>
          </x14:cfRule>
          <xm:sqref>E12:E15</xm:sqref>
        </x14:conditionalFormatting>
        <x14:conditionalFormatting xmlns:xm="http://schemas.microsoft.com/office/excel/2006/main">
          <x14:cfRule type="expression" priority="5201" id="{323FC257-9BA4-4090-A45F-B9D6FB1290F3}">
            <xm:f>'TC1'!$B9="Dial"</xm:f>
            <x14:dxf>
              <font>
                <b/>
                <i val="0"/>
                <color rgb="FFFF0000"/>
              </font>
            </x14:dxf>
          </x14:cfRule>
          <x14:cfRule type="expression" priority="5202" id="{D914DA85-20F3-43CE-9DDC-ED24F6D83ACB}">
            <xm:f>'TC1'!$B9="HANGUP"</xm:f>
            <x14:dxf>
              <font>
                <b/>
                <i val="0"/>
              </font>
            </x14:dxf>
          </x14:cfRule>
          <xm:sqref>C12:C15</xm:sqref>
        </x14:conditionalFormatting>
        <x14:conditionalFormatting xmlns:xm="http://schemas.microsoft.com/office/excel/2006/main">
          <x14:cfRule type="expression" priority="5203" id="{323FC257-9BA4-4090-A45F-B9D6FB1290F3}">
            <xm:f>'TC1'!#REF!="Dial"</xm:f>
            <x14:dxf>
              <font>
                <b/>
                <i val="0"/>
                <color rgb="FFFF0000"/>
              </font>
            </x14:dxf>
          </x14:cfRule>
          <x14:cfRule type="expression" priority="5204" id="{D914DA85-20F3-43CE-9DDC-ED24F6D83ACB}">
            <xm:f>'TC1'!#REF!="HANGUP"</xm:f>
            <x14:dxf>
              <font>
                <b/>
                <i val="0"/>
              </font>
            </x14:dxf>
          </x14:cfRule>
          <xm:sqref>C9:C11</xm:sqref>
        </x14:conditionalFormatting>
        <x14:conditionalFormatting xmlns:xm="http://schemas.microsoft.com/office/excel/2006/main">
          <x14:cfRule type="expression" priority="7504" id="{54ED5F34-5099-49A8-B73C-581916DE9D24}">
            <xm:f>'TC1'!$B15="Speak"</xm:f>
            <x14:dxf>
              <font>
                <b/>
                <i val="0"/>
                <color rgb="FFFF0000"/>
              </font>
            </x14:dxf>
          </x14:cfRule>
          <xm:sqref>C16</xm:sqref>
        </x14:conditionalFormatting>
        <x14:conditionalFormatting xmlns:xm="http://schemas.microsoft.com/office/excel/2006/main">
          <x14:cfRule type="containsText" priority="7507" operator="containsText" text="WEB SERVICE" id="{02684BD3-9FBD-437F-8EA4-EA1AED066D46}">
            <xm:f>NOT(ISERROR(SEARCH("WEB SERVICE",'TC1'!E15)))</xm:f>
            <x14:dxf>
              <font>
                <color rgb="FF9C0006"/>
              </font>
              <fill>
                <patternFill>
                  <bgColor rgb="FFFFC7CE"/>
                </patternFill>
              </fill>
            </x14:dxf>
          </x14:cfRule>
          <x14:cfRule type="containsText" priority="7508" operator="containsText" text="DB" id="{50BFFAB9-C1A9-4B29-866F-D01D2F40CCA7}">
            <xm:f>NOT(ISERROR(SEARCH("DB",'TC1'!E15)))</xm:f>
            <x14:dxf>
              <font>
                <color rgb="FF006100"/>
              </font>
              <fill>
                <patternFill>
                  <bgColor rgb="FFC6EFCE"/>
                </patternFill>
              </fill>
            </x14:dxf>
          </x14:cfRule>
          <xm:sqref>E16</xm:sqref>
        </x14:conditionalFormatting>
        <x14:conditionalFormatting xmlns:xm="http://schemas.microsoft.com/office/excel/2006/main">
          <x14:cfRule type="expression" priority="7511" id="{323FC257-9BA4-4090-A45F-B9D6FB1290F3}">
            <xm:f>'TC1'!$B15="Dial"</xm:f>
            <x14:dxf>
              <font>
                <b/>
                <i val="0"/>
                <color rgb="FFFF0000"/>
              </font>
            </x14:dxf>
          </x14:cfRule>
          <x14:cfRule type="expression" priority="7512" id="{D914DA85-20F3-43CE-9DDC-ED24F6D83ACB}">
            <xm:f>'TC1'!$B15="HANGUP"</xm:f>
            <x14:dxf>
              <font>
                <b/>
                <i val="0"/>
              </font>
            </x14:dxf>
          </x14:cfRule>
          <xm:sqref>C16</xm:sqref>
        </x14:conditionalFormatting>
        <x14:conditionalFormatting xmlns:xm="http://schemas.microsoft.com/office/excel/2006/main">
          <x14:cfRule type="containsText" priority="10072" operator="containsText" text="Hear" id="{82C03C39-ED89-4679-89FC-93680F51630F}">
            <xm:f>NOT(ISERROR(SEARCH("Hear",'TC26'!#REF!)))</xm:f>
            <x14:dxf>
              <font>
                <color theme="9" tint="-0.24994659260841701"/>
              </font>
              <fill>
                <patternFill>
                  <bgColor theme="9" tint="0.59996337778862885"/>
                </patternFill>
              </fill>
            </x14:dxf>
          </x14:cfRule>
          <xm:sqref>B39</xm:sqref>
        </x14:conditionalFormatting>
      </x14:conditionalFormattings>
    </ext>
  </extLst>
</worksheet>
</file>

<file path=xl/worksheets/sheet1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100-000000000000}">
  <sheetPr codeName="Sheet115"/>
  <dimension ref="A1:E44"/>
  <sheetViews>
    <sheetView zoomScaleNormal="100" workbookViewId="0">
      <selection sqref="A1:E44"/>
    </sheetView>
  </sheetViews>
  <sheetFormatPr defaultRowHeight="14.5" x14ac:dyDescent="0.35"/>
  <cols>
    <col min="1" max="1" width="14.453125" bestFit="1" customWidth="1"/>
    <col min="2" max="2" width="42.6328125" customWidth="1"/>
    <col min="3" max="3" width="106.1796875" customWidth="1"/>
    <col min="4" max="4" width="21.81640625" bestFit="1" customWidth="1"/>
    <col min="5" max="5" width="20.6328125" customWidth="1"/>
  </cols>
  <sheetData>
    <row r="1" spans="1:5" ht="18.5" x14ac:dyDescent="0.35">
      <c r="A1" s="192" t="s">
        <v>4</v>
      </c>
      <c r="B1" s="192"/>
      <c r="C1" s="105"/>
      <c r="D1" s="111"/>
      <c r="E1" s="97"/>
    </row>
    <row r="2" spans="1:5" x14ac:dyDescent="0.35">
      <c r="A2" s="106" t="s">
        <v>5</v>
      </c>
      <c r="B2" s="107" t="str">
        <f ca="1">MID(CELL("filename",A1),FIND("]",CELL("filename",A1))+1,LEN(CELL("filename",A1))-FIND("]",CELL("filename",A1)))</f>
        <v>TC113</v>
      </c>
      <c r="C2" s="98"/>
      <c r="D2" s="111"/>
      <c r="E2" s="97"/>
    </row>
    <row r="3" spans="1:5" x14ac:dyDescent="0.35">
      <c r="A3" s="104" t="s">
        <v>19</v>
      </c>
      <c r="B3" s="112">
        <f ca="1">VLOOKUP(B2,Table53[#All],2,FALSE)</f>
        <v>0</v>
      </c>
      <c r="C3" s="98"/>
      <c r="D3" s="111"/>
      <c r="E3" s="97"/>
    </row>
    <row r="4" spans="1:5" ht="29" x14ac:dyDescent="0.35">
      <c r="A4" s="113" t="s">
        <v>20</v>
      </c>
      <c r="B4" s="99">
        <f ca="1">VLOOKUP(B2,Table53[#All],4,FALSE)</f>
        <v>0</v>
      </c>
      <c r="C4" s="98"/>
      <c r="D4" s="111"/>
      <c r="E4" s="97"/>
    </row>
    <row r="5" spans="1:5" x14ac:dyDescent="0.35">
      <c r="A5" s="104" t="s">
        <v>6</v>
      </c>
      <c r="B5" s="77">
        <f ca="1">VLOOKUP(B2,Table53[#All],3,FALSE)</f>
        <v>0</v>
      </c>
      <c r="C5" s="98"/>
      <c r="D5" s="111"/>
      <c r="E5" s="97"/>
    </row>
    <row r="6" spans="1:5" x14ac:dyDescent="0.35">
      <c r="A6" s="97"/>
      <c r="B6" s="97"/>
      <c r="C6" s="98"/>
      <c r="D6" s="111"/>
      <c r="E6" s="97"/>
    </row>
    <row r="7" spans="1:5" ht="15.5" x14ac:dyDescent="0.35">
      <c r="A7" s="100" t="s">
        <v>7</v>
      </c>
      <c r="B7" s="101" t="s">
        <v>8</v>
      </c>
      <c r="C7" s="102" t="s">
        <v>9</v>
      </c>
      <c r="D7" s="102" t="s">
        <v>14</v>
      </c>
      <c r="E7" s="103" t="s">
        <v>10</v>
      </c>
    </row>
    <row r="8" spans="1:5" x14ac:dyDescent="0.35">
      <c r="A8" s="118">
        <v>1</v>
      </c>
      <c r="B8" s="114" t="s">
        <v>114</v>
      </c>
      <c r="C8" s="109" t="s">
        <v>125</v>
      </c>
      <c r="D8" s="128"/>
      <c r="E8" s="125" t="s">
        <v>11</v>
      </c>
    </row>
    <row r="9" spans="1:5" x14ac:dyDescent="0.35">
      <c r="A9" s="118">
        <v>2</v>
      </c>
      <c r="B9" s="114" t="s">
        <v>12</v>
      </c>
      <c r="C9" s="109" t="e">
        <f>VLOOKUP(Table257519913140106110122[[#This Row],[PEG]],Table1016[#All],2,FALSE)</f>
        <v>#N/A</v>
      </c>
      <c r="D9" s="128"/>
      <c r="E9" s="125" t="e">
        <f>VLOOKUP(Table257519913140106110122[[#This Row],[PEG]],Table1016[#All],3,FALSE)</f>
        <v>#N/A</v>
      </c>
    </row>
    <row r="10" spans="1:5" x14ac:dyDescent="0.35">
      <c r="A10" s="118">
        <v>3</v>
      </c>
      <c r="B10" s="114" t="s">
        <v>115</v>
      </c>
      <c r="C10" s="109" t="e">
        <f>VLOOKUP(Table257519913140106110122[[#This Row],[PEG]],Table1016[#All],2,FALSE)</f>
        <v>#N/A</v>
      </c>
      <c r="D10" s="128"/>
      <c r="E10" s="125" t="e">
        <f>VLOOKUP(Table257519913140106110122[[#This Row],[PEG]],Table1016[#All],3,FALSE)</f>
        <v>#N/A</v>
      </c>
    </row>
    <row r="11" spans="1:5" x14ac:dyDescent="0.35">
      <c r="A11" s="118">
        <v>4</v>
      </c>
      <c r="B11" s="114" t="s">
        <v>115</v>
      </c>
      <c r="C11" s="109" t="e">
        <f>VLOOKUP(Table257519913140106110122[[#This Row],[PEG]],Table1016[#All],2,FALSE)</f>
        <v>#N/A</v>
      </c>
      <c r="D11" s="128"/>
      <c r="E11" s="125" t="e">
        <f>VLOOKUP(Table257519913140106110122[[#This Row],[PEG]],Table1016[#All],3,FALSE)</f>
        <v>#N/A</v>
      </c>
    </row>
    <row r="12" spans="1:5" x14ac:dyDescent="0.35">
      <c r="A12" s="118">
        <v>5</v>
      </c>
      <c r="B12" s="114" t="s">
        <v>114</v>
      </c>
      <c r="C12" s="109" t="e">
        <f>VLOOKUP(Table257519913140106110122[[#This Row],[PEG]],Table1016[#All],2,FALSE)</f>
        <v>#N/A</v>
      </c>
      <c r="D12" s="128"/>
      <c r="E12" s="125" t="e">
        <f>VLOOKUP(Table257519913140106110122[[#This Row],[PEG]],Table1016[#All],3,FALSE)</f>
        <v>#N/A</v>
      </c>
    </row>
    <row r="13" spans="1:5" x14ac:dyDescent="0.35">
      <c r="A13" s="118">
        <v>6</v>
      </c>
      <c r="B13" s="114" t="s">
        <v>115</v>
      </c>
      <c r="C13" s="109" t="e">
        <f>VLOOKUP(Table257519913140106110122[[#This Row],[PEG]],Table1016[#All],2,FALSE)</f>
        <v>#N/A</v>
      </c>
      <c r="D13" s="128"/>
      <c r="E13" s="125" t="e">
        <f>VLOOKUP(Table257519913140106110122[[#This Row],[PEG]],Table1016[#All],3,FALSE)</f>
        <v>#N/A</v>
      </c>
    </row>
    <row r="14" spans="1:5" x14ac:dyDescent="0.35">
      <c r="A14" s="118">
        <v>7</v>
      </c>
      <c r="B14" s="114" t="s">
        <v>114</v>
      </c>
      <c r="C14" s="109" t="e">
        <f>VLOOKUP(Table257519913140106110122[[#This Row],[PEG]],Table1016[#All],2,FALSE)</f>
        <v>#N/A</v>
      </c>
      <c r="D14" s="128"/>
      <c r="E14" s="125" t="e">
        <f>VLOOKUP(Table257519913140106110122[[#This Row],[PEG]],Table1016[#All],3,FALSE)</f>
        <v>#N/A</v>
      </c>
    </row>
    <row r="15" spans="1:5" x14ac:dyDescent="0.35">
      <c r="A15" s="118">
        <v>8</v>
      </c>
      <c r="B15" s="114" t="s">
        <v>115</v>
      </c>
      <c r="C15" s="109" t="e">
        <f>VLOOKUP(Table257519913140106110122[[#This Row],[PEG]],Table1016[#All],2,FALSE)</f>
        <v>#N/A</v>
      </c>
      <c r="D15" s="116"/>
      <c r="E15" s="125" t="e">
        <f>VLOOKUP(Table257519913140106110122[[#This Row],[PEG]],Table1016[#All],3,FALSE)</f>
        <v>#N/A</v>
      </c>
    </row>
    <row r="16" spans="1:5" x14ac:dyDescent="0.35">
      <c r="A16" s="118">
        <v>9</v>
      </c>
      <c r="B16" s="114" t="s">
        <v>12</v>
      </c>
      <c r="C16" s="109" t="e">
        <f>VLOOKUP(Table257519913140106110122[[#This Row],[PEG]],Table1016[#All],2,FALSE)</f>
        <v>#N/A</v>
      </c>
      <c r="D16" s="116"/>
      <c r="E16" s="125" t="e">
        <f>VLOOKUP(Table257519913140106110122[[#This Row],[PEG]],Table1016[#All],3,FALSE)</f>
        <v>#N/A</v>
      </c>
    </row>
    <row r="17" spans="1:5" x14ac:dyDescent="0.35">
      <c r="A17" s="118">
        <v>10</v>
      </c>
      <c r="B17" s="114" t="s">
        <v>12</v>
      </c>
      <c r="C17" s="109" t="e">
        <f>VLOOKUP(Table257519913140106110122[[#This Row],[PEG]],Table1016[#All],2,FALSE)</f>
        <v>#N/A</v>
      </c>
      <c r="D17" s="117"/>
      <c r="E17" s="125" t="e">
        <f>VLOOKUP(Table257519913140106110122[[#This Row],[PEG]],Table1016[#All],3,FALSE)</f>
        <v>#N/A</v>
      </c>
    </row>
    <row r="18" spans="1:5" x14ac:dyDescent="0.35">
      <c r="A18" s="118">
        <v>11</v>
      </c>
      <c r="B18" s="114" t="s">
        <v>115</v>
      </c>
      <c r="C18" s="109" t="e">
        <f>VLOOKUP(Table257519913140106110122[[#This Row],[PEG]],Table1016[#All],2,FALSE)</f>
        <v>#N/A</v>
      </c>
      <c r="D18" s="117"/>
      <c r="E18" s="125" t="e">
        <f>VLOOKUP(Table257519913140106110122[[#This Row],[PEG]],Table1016[#All],3,FALSE)</f>
        <v>#N/A</v>
      </c>
    </row>
    <row r="19" spans="1:5" x14ac:dyDescent="0.35">
      <c r="A19" s="118">
        <v>12</v>
      </c>
      <c r="B19" s="114" t="s">
        <v>115</v>
      </c>
      <c r="C19" s="109" t="e">
        <f>VLOOKUP(Table257519913140106110122[[#This Row],[PEG]],Table1016[#All],2,FALSE)</f>
        <v>#N/A</v>
      </c>
      <c r="D19" s="117"/>
      <c r="E19" s="125" t="e">
        <f>VLOOKUP(Table257519913140106110122[[#This Row],[PEG]],Table1016[#All],3,FALSE)</f>
        <v>#N/A</v>
      </c>
    </row>
    <row r="20" spans="1:5" x14ac:dyDescent="0.35">
      <c r="A20" s="118">
        <v>13</v>
      </c>
      <c r="B20" s="114" t="s">
        <v>114</v>
      </c>
      <c r="C20" s="109" t="e">
        <f>VLOOKUP(Table257519913140106110122[[#This Row],[PEG]],Table1016[#All],2,FALSE)</f>
        <v>#N/A</v>
      </c>
      <c r="D20" s="117"/>
      <c r="E20" s="125" t="e">
        <f>VLOOKUP(Table257519913140106110122[[#This Row],[PEG]],Table1016[#All],3,FALSE)</f>
        <v>#N/A</v>
      </c>
    </row>
    <row r="21" spans="1:5" x14ac:dyDescent="0.35">
      <c r="A21" s="118">
        <v>14</v>
      </c>
      <c r="B21" s="114" t="s">
        <v>12</v>
      </c>
      <c r="C21" s="109" t="e">
        <f>VLOOKUP(Table257519913140106110122[[#This Row],[PEG]],Table1016[#All],2,FALSE)</f>
        <v>#N/A</v>
      </c>
      <c r="D21" s="117"/>
      <c r="E21" s="125" t="e">
        <f>VLOOKUP(Table257519913140106110122[[#This Row],[PEG]],Table1016[#All],3,FALSE)</f>
        <v>#N/A</v>
      </c>
    </row>
    <row r="22" spans="1:5" x14ac:dyDescent="0.35">
      <c r="A22" s="118">
        <v>15</v>
      </c>
      <c r="B22" s="114" t="s">
        <v>12</v>
      </c>
      <c r="C22" s="109" t="e">
        <f>VLOOKUP(Table257519913140106110122[[#This Row],[PEG]],Table1016[#All],2,FALSE)</f>
        <v>#N/A</v>
      </c>
      <c r="D22" s="117"/>
      <c r="E22" s="125" t="e">
        <f>VLOOKUP(Table257519913140106110122[[#This Row],[PEG]],Table1016[#All],3,FALSE)</f>
        <v>#N/A</v>
      </c>
    </row>
    <row r="23" spans="1:5" x14ac:dyDescent="0.35">
      <c r="A23" s="118">
        <v>16</v>
      </c>
      <c r="B23" s="114" t="s">
        <v>115</v>
      </c>
      <c r="C23" s="109" t="e">
        <f>VLOOKUP(Table257519913140106110122[[#This Row],[PEG]],Table1016[#All],2,FALSE)</f>
        <v>#N/A</v>
      </c>
      <c r="D23" s="117"/>
      <c r="E23" s="125" t="e">
        <f>VLOOKUP(Table257519913140106110122[[#This Row],[PEG]],Table1016[#All],3,FALSE)</f>
        <v>#N/A</v>
      </c>
    </row>
    <row r="24" spans="1:5" x14ac:dyDescent="0.35">
      <c r="A24" s="118">
        <v>17</v>
      </c>
      <c r="B24" s="114" t="s">
        <v>114</v>
      </c>
      <c r="C24" s="109" t="e">
        <f>VLOOKUP(Table257519913140106110122[[#This Row],[PEG]],Table1016[#All],2,FALSE)</f>
        <v>#N/A</v>
      </c>
      <c r="D24" s="117"/>
      <c r="E24" s="125" t="e">
        <f>VLOOKUP(Table257519913140106110122[[#This Row],[PEG]],Table1016[#All],3,FALSE)</f>
        <v>#N/A</v>
      </c>
    </row>
    <row r="25" spans="1:5" x14ac:dyDescent="0.35">
      <c r="A25" s="118">
        <v>18</v>
      </c>
      <c r="B25" s="114" t="s">
        <v>12</v>
      </c>
      <c r="C25" s="109" t="e">
        <f>VLOOKUP(Table257519913140106110122[[#This Row],[PEG]],Table1016[#All],2,FALSE)</f>
        <v>#N/A</v>
      </c>
      <c r="D25" s="117"/>
      <c r="E25" s="125" t="e">
        <f>VLOOKUP(Table257519913140106110122[[#This Row],[PEG]],Table1016[#All],3,FALSE)</f>
        <v>#N/A</v>
      </c>
    </row>
    <row r="26" spans="1:5" x14ac:dyDescent="0.35">
      <c r="A26" s="118">
        <v>19</v>
      </c>
      <c r="B26" s="114" t="s">
        <v>12</v>
      </c>
      <c r="C26" s="109" t="e">
        <f>VLOOKUP(Table257519913140106110122[[#This Row],[PEG]],Table1016[#All],2,FALSE)</f>
        <v>#N/A</v>
      </c>
      <c r="D26" s="117"/>
      <c r="E26" s="125" t="e">
        <f>VLOOKUP(Table257519913140106110122[[#This Row],[PEG]],Table1016[#All],3,FALSE)</f>
        <v>#N/A</v>
      </c>
    </row>
    <row r="27" spans="1:5" x14ac:dyDescent="0.35">
      <c r="A27" s="118">
        <v>20</v>
      </c>
      <c r="B27" s="114" t="s">
        <v>115</v>
      </c>
      <c r="C27" s="109" t="e">
        <f>VLOOKUP(Table257519913140106110122[[#This Row],[PEG]],Table1016[#All],2,FALSE)</f>
        <v>#N/A</v>
      </c>
      <c r="D27" s="117"/>
      <c r="E27" s="125" t="e">
        <f>VLOOKUP(Table257519913140106110122[[#This Row],[PEG]],Table1016[#All],3,FALSE)</f>
        <v>#N/A</v>
      </c>
    </row>
    <row r="28" spans="1:5" x14ac:dyDescent="0.35">
      <c r="A28" s="118">
        <v>21</v>
      </c>
      <c r="B28" s="114" t="s">
        <v>114</v>
      </c>
      <c r="C28" s="109" t="e">
        <f>VLOOKUP(Table257519913140106110122[[#This Row],[PEG]],Table1016[#All],2,FALSE)</f>
        <v>#N/A</v>
      </c>
      <c r="D28" s="117"/>
      <c r="E28" s="125" t="e">
        <f>VLOOKUP(Table257519913140106110122[[#This Row],[PEG]],Table1016[#All],3,FALSE)</f>
        <v>#N/A</v>
      </c>
    </row>
    <row r="29" spans="1:5" x14ac:dyDescent="0.35">
      <c r="A29" s="118">
        <v>22</v>
      </c>
      <c r="B29" s="114" t="s">
        <v>12</v>
      </c>
      <c r="C29" s="109" t="e">
        <f>VLOOKUP(Table257519913140106110122[[#This Row],[PEG]],Table1016[#All],2,FALSE)</f>
        <v>#N/A</v>
      </c>
      <c r="D29" s="117"/>
      <c r="E29" s="125" t="e">
        <f>VLOOKUP(Table257519913140106110122[[#This Row],[PEG]],Table1016[#All],3,FALSE)</f>
        <v>#N/A</v>
      </c>
    </row>
    <row r="30" spans="1:5" x14ac:dyDescent="0.35">
      <c r="A30" s="118">
        <v>23</v>
      </c>
      <c r="B30" s="114" t="s">
        <v>12</v>
      </c>
      <c r="C30" s="109" t="e">
        <f>VLOOKUP(Table257519913140106110122[[#This Row],[PEG]],Table1016[#All],2,FALSE)</f>
        <v>#N/A</v>
      </c>
      <c r="D30" s="117"/>
      <c r="E30" s="125" t="e">
        <f>VLOOKUP(Table257519913140106110122[[#This Row],[PEG]],Table1016[#All],3,FALSE)</f>
        <v>#N/A</v>
      </c>
    </row>
    <row r="31" spans="1:5" x14ac:dyDescent="0.35">
      <c r="A31" s="118">
        <v>24</v>
      </c>
      <c r="B31" s="114" t="s">
        <v>115</v>
      </c>
      <c r="C31" s="109" t="e">
        <f>VLOOKUP(Table257519913140106110122[[#This Row],[PEG]],Table1016[#All],2,FALSE)</f>
        <v>#N/A</v>
      </c>
      <c r="D31" s="117"/>
      <c r="E31" s="125" t="e">
        <f>VLOOKUP(Table257519913140106110122[[#This Row],[PEG]],Table1016[#All],3,FALSE)</f>
        <v>#N/A</v>
      </c>
    </row>
    <row r="32" spans="1:5" x14ac:dyDescent="0.35">
      <c r="A32" s="118">
        <v>25</v>
      </c>
      <c r="B32" s="114" t="s">
        <v>115</v>
      </c>
      <c r="C32" s="109" t="e">
        <f>VLOOKUP(Table257519913140106110122[[#This Row],[PEG]],Table1016[#All],2,FALSE)</f>
        <v>#N/A</v>
      </c>
      <c r="D32" s="117"/>
      <c r="E32" s="125" t="e">
        <f>VLOOKUP(Table257519913140106110122[[#This Row],[PEG]],Table1016[#All],3,FALSE)</f>
        <v>#N/A</v>
      </c>
    </row>
    <row r="33" spans="1:5" x14ac:dyDescent="0.35">
      <c r="A33" s="118">
        <v>26</v>
      </c>
      <c r="B33" s="114" t="s">
        <v>124</v>
      </c>
      <c r="C33" s="109" t="e">
        <f>VLOOKUP(Table257519913140106110122[[#This Row],[PEG]],Table1016[#All],2,FALSE)</f>
        <v>#N/A</v>
      </c>
      <c r="D33" s="117"/>
      <c r="E33" s="125" t="e">
        <f>VLOOKUP(Table257519913140106110122[[#This Row],[PEG]],Table1016[#All],3,FALSE)</f>
        <v>#N/A</v>
      </c>
    </row>
    <row r="34" spans="1:5" x14ac:dyDescent="0.35">
      <c r="A34" s="118">
        <v>27</v>
      </c>
      <c r="B34" s="114" t="s">
        <v>115</v>
      </c>
      <c r="C34" s="109" t="e">
        <f>VLOOKUP(Table257519913140106110122[[#This Row],[PEG]],Table1016[#All],2,FALSE)</f>
        <v>#N/A</v>
      </c>
      <c r="D34" s="117"/>
      <c r="E34" s="125" t="e">
        <f>VLOOKUP(Table257519913140106110122[[#This Row],[PEG]],Table1016[#All],3,FALSE)</f>
        <v>#N/A</v>
      </c>
    </row>
    <row r="35" spans="1:5" x14ac:dyDescent="0.35">
      <c r="A35" s="118">
        <v>28</v>
      </c>
      <c r="B35" s="114" t="s">
        <v>124</v>
      </c>
      <c r="C35" s="109" t="e">
        <f>VLOOKUP(Table257519913140106110122[[#This Row],[PEG]],Table1016[#All],2,FALSE)</f>
        <v>#N/A</v>
      </c>
      <c r="D35" s="117"/>
      <c r="E35" s="125" t="e">
        <f>VLOOKUP(Table257519913140106110122[[#This Row],[PEG]],Table1016[#All],3,FALSE)</f>
        <v>#N/A</v>
      </c>
    </row>
    <row r="36" spans="1:5" x14ac:dyDescent="0.35">
      <c r="A36" s="118">
        <v>29</v>
      </c>
      <c r="B36" s="114" t="s">
        <v>115</v>
      </c>
      <c r="C36" s="109" t="e">
        <f>VLOOKUP(Table257519913140106110122[[#This Row],[PEG]],Table1016[#All],2,FALSE)</f>
        <v>#N/A</v>
      </c>
      <c r="D36" s="117"/>
      <c r="E36" s="125" t="e">
        <f>VLOOKUP(Table257519913140106110122[[#This Row],[PEG]],Table1016[#All],3,FALSE)</f>
        <v>#N/A</v>
      </c>
    </row>
    <row r="37" spans="1:5" x14ac:dyDescent="0.35">
      <c r="A37" s="118">
        <v>30</v>
      </c>
      <c r="B37" s="114" t="s">
        <v>12</v>
      </c>
      <c r="C37" s="109" t="e">
        <f>VLOOKUP(Table257519913140106110122[[#This Row],[PEG]],Table1016[#All],2,FALSE)</f>
        <v>#N/A</v>
      </c>
      <c r="D37" s="117"/>
      <c r="E37" s="125" t="e">
        <f>VLOOKUP(Table257519913140106110122[[#This Row],[PEG]],Table1016[#All],3,FALSE)</f>
        <v>#N/A</v>
      </c>
    </row>
    <row r="38" spans="1:5" x14ac:dyDescent="0.35">
      <c r="A38" s="118">
        <v>31</v>
      </c>
      <c r="B38" s="114" t="s">
        <v>12</v>
      </c>
      <c r="C38" s="109" t="e">
        <f>VLOOKUP(Table257519913140106110122[[#This Row],[PEG]],Table1016[#All],2,FALSE)</f>
        <v>#N/A</v>
      </c>
      <c r="D38" s="117"/>
      <c r="E38" s="125" t="e">
        <f>VLOOKUP(Table257519913140106110122[[#This Row],[PEG]],Table1016[#All],3,FALSE)</f>
        <v>#N/A</v>
      </c>
    </row>
    <row r="39" spans="1:5" x14ac:dyDescent="0.35">
      <c r="A39" s="118">
        <v>32</v>
      </c>
      <c r="B39" s="114" t="s">
        <v>12</v>
      </c>
      <c r="C39" s="109" t="e">
        <f>VLOOKUP(Table257519913140106110122[[#This Row],[PEG]],Table1016[#All],2,FALSE)</f>
        <v>#N/A</v>
      </c>
      <c r="D39" s="117"/>
      <c r="E39" s="125" t="e">
        <f>VLOOKUP(Table257519913140106110122[[#This Row],[PEG]],Table1016[#All],3,FALSE)</f>
        <v>#N/A</v>
      </c>
    </row>
    <row r="40" spans="1:5" x14ac:dyDescent="0.35">
      <c r="A40" s="118">
        <v>33</v>
      </c>
      <c r="B40" s="114" t="s">
        <v>12</v>
      </c>
      <c r="C40" s="109" t="e">
        <f>VLOOKUP(Table257519913140106110122[[#This Row],[PEG]],Table1016[#All],2,FALSE)</f>
        <v>#N/A</v>
      </c>
      <c r="D40" s="117"/>
      <c r="E40" s="125" t="e">
        <f>VLOOKUP(Table257519913140106110122[[#This Row],[PEG]],Table1016[#All],3,FALSE)</f>
        <v>#N/A</v>
      </c>
    </row>
    <row r="41" spans="1:5" x14ac:dyDescent="0.35">
      <c r="A41" s="118">
        <v>34</v>
      </c>
      <c r="B41" s="114" t="s">
        <v>115</v>
      </c>
      <c r="C41" s="109" t="e">
        <f>VLOOKUP(Table257519913140106110122[[#This Row],[PEG]],Table1016[#All],2,FALSE)</f>
        <v>#N/A</v>
      </c>
      <c r="D41" s="117"/>
      <c r="E41" s="125" t="e">
        <f>VLOOKUP(Table257519913140106110122[[#This Row],[PEG]],Table1016[#All],3,FALSE)</f>
        <v>#N/A</v>
      </c>
    </row>
    <row r="42" spans="1:5" x14ac:dyDescent="0.35">
      <c r="A42" s="118">
        <v>35</v>
      </c>
      <c r="B42" s="114" t="s">
        <v>12</v>
      </c>
      <c r="C42" s="109" t="e">
        <f>VLOOKUP(Table257519913140106110122[[#This Row],[PEG]],Table1016[#All],2,FALSE)</f>
        <v>#N/A</v>
      </c>
      <c r="D42" s="115"/>
      <c r="E42" s="125" t="e">
        <f>VLOOKUP(Table257519913140106110122[[#This Row],[PEG]],Table1016[#All],3,FALSE)</f>
        <v>#N/A</v>
      </c>
    </row>
    <row r="43" spans="1:5" x14ac:dyDescent="0.35">
      <c r="A43" s="118">
        <v>36</v>
      </c>
      <c r="B43" s="114" t="s">
        <v>115</v>
      </c>
      <c r="C43" s="109" t="e">
        <f>VLOOKUP(Table257519913140106110122[[#This Row],[PEG]],Table1016[#All],2,FALSE)</f>
        <v>#N/A</v>
      </c>
      <c r="D43" s="115"/>
      <c r="E43" s="125" t="e">
        <f>VLOOKUP(Table257519913140106110122[[#This Row],[PEG]],Table1016[#All],3,FALSE)</f>
        <v>#N/A</v>
      </c>
    </row>
    <row r="44" spans="1:5" x14ac:dyDescent="0.35">
      <c r="A44" s="118">
        <v>37</v>
      </c>
      <c r="B44" s="114" t="s">
        <v>13</v>
      </c>
      <c r="C44" s="18" t="s">
        <v>13</v>
      </c>
      <c r="D44" s="115"/>
      <c r="E44" s="32"/>
    </row>
  </sheetData>
  <mergeCells count="1">
    <mergeCell ref="A1:B1"/>
  </mergeCells>
  <conditionalFormatting sqref="B8:B18">
    <cfRule type="containsText" dxfId="2273" priority="1" operator="containsText" text="Hear">
      <formula>NOT(ISERROR(SEARCH("Hear",B8)))</formula>
    </cfRule>
  </conditionalFormatting>
  <conditionalFormatting sqref="B30">
    <cfRule type="containsText" dxfId="2272" priority="4" operator="containsText" text="Hear">
      <formula>NOT(ISERROR(SEARCH("Hear",B30)))</formula>
    </cfRule>
  </conditionalFormatting>
  <conditionalFormatting sqref="B43:B44">
    <cfRule type="containsText" dxfId="2271" priority="8" operator="containsText" text="Hear">
      <formula>NOT(ISERROR(SEARCH("Hear",B43)))</formula>
    </cfRule>
  </conditionalFormatting>
  <conditionalFormatting sqref="E44">
    <cfRule type="containsText" dxfId="2270" priority="6" operator="containsText" text="WEB SERVICE">
      <formula>NOT(ISERROR(SEARCH("WEB SERVICE",E44)))</formula>
    </cfRule>
    <cfRule type="containsText" dxfId="2269" priority="7" operator="containsText" text="DB">
      <formula>NOT(ISERROR(SEARCH("DB",E44)))</formula>
    </cfRule>
  </conditionalFormatting>
  <conditionalFormatting sqref="C44">
    <cfRule type="expression" dxfId="2268" priority="9">
      <formula>$B44="Dial"</formula>
    </cfRule>
    <cfRule type="expression" dxfId="2267" priority="11">
      <formula>$B44="HANGUP"</formula>
    </cfRule>
  </conditionalFormatting>
  <conditionalFormatting sqref="C44">
    <cfRule type="expression" dxfId="2266" priority="10">
      <formula>$B44="Speak"</formula>
    </cfRule>
  </conditionalFormatting>
  <conditionalFormatting sqref="B36:B38 B40:B41">
    <cfRule type="containsText" dxfId="2265" priority="3" operator="containsText" text="Hear">
      <formula>NOT(ISERROR(SEARCH("Hear",B36)))</formula>
    </cfRule>
  </conditionalFormatting>
  <conditionalFormatting sqref="B19:B29 B31:B35 B42">
    <cfRule type="containsText" dxfId="2264" priority="5" operator="containsText" text="Hear">
      <formula>NOT(ISERROR(SEARCH("Hear",B19)))</formula>
    </cfRule>
  </conditionalFormatting>
  <hyperlinks>
    <hyperlink ref="A1" location="'Test Case Overview'!A1" display="Return to Test Case Overview" xr:uid="{E4981977-D6ED-4BF8-B2D6-EEF0A8D0EFC1}"/>
  </hyperlinks>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expression" priority="12" id="{80710424-EE2A-4637-9942-0129332E5DB3}">
            <xm:f>'TC1'!$B8="Speak"</xm:f>
            <x14:dxf>
              <font>
                <b/>
                <i val="0"/>
                <color rgb="FFFF0000"/>
              </font>
            </x14:dxf>
          </x14:cfRule>
          <xm:sqref>C8</xm:sqref>
        </x14:conditionalFormatting>
        <x14:conditionalFormatting xmlns:xm="http://schemas.microsoft.com/office/excel/2006/main">
          <x14:cfRule type="containsText" priority="15" operator="containsText" text="Hear" id="{77B1FCD6-0F3B-44B4-AE21-6FC1AA48C26B}">
            <xm:f>NOT(ISERROR(SEARCH("Hear",'TC3'!B34)))</xm:f>
            <x14:dxf>
              <font>
                <color theme="9" tint="-0.24994659260841701"/>
              </font>
              <fill>
                <patternFill>
                  <bgColor theme="9" tint="0.59996337778862885"/>
                </patternFill>
              </fill>
            </x14:dxf>
          </x14:cfRule>
          <xm:sqref>B41</xm:sqref>
        </x14:conditionalFormatting>
        <x14:conditionalFormatting xmlns:xm="http://schemas.microsoft.com/office/excel/2006/main">
          <x14:cfRule type="expression" priority="16" id="{89D46168-42A7-4B98-A371-92437063357D}">
            <xm:f>'TC1'!$B8="Dial"</xm:f>
            <x14:dxf>
              <font>
                <b/>
                <i val="0"/>
                <color rgb="FFFF0000"/>
              </font>
            </x14:dxf>
          </x14:cfRule>
          <x14:cfRule type="expression" priority="16" id="{562284C0-7605-4150-9F5A-023C9F1FE819}">
            <xm:f>'TC1'!$B8="HANGUP"</xm:f>
            <x14:dxf>
              <font>
                <b/>
                <i val="0"/>
              </font>
            </x14:dxf>
          </x14:cfRule>
          <xm:sqref>C8</xm:sqref>
        </x14:conditionalFormatting>
        <x14:conditionalFormatting xmlns:xm="http://schemas.microsoft.com/office/excel/2006/main">
          <x14:cfRule type="expression" priority="2522" id="{80710424-EE2A-4637-9942-0129332E5DB3}">
            <xm:f>'TC1'!$B16="Speak"</xm:f>
            <x14:dxf>
              <font>
                <b/>
                <i val="0"/>
                <color rgb="FFFF0000"/>
              </font>
            </x14:dxf>
          </x14:cfRule>
          <xm:sqref>C34:C43</xm:sqref>
        </x14:conditionalFormatting>
        <x14:conditionalFormatting xmlns:xm="http://schemas.microsoft.com/office/excel/2006/main">
          <x14:cfRule type="expression" priority="2523" id="{80710424-EE2A-4637-9942-0129332E5DB3}">
            <xm:f>'TC1'!#REF!="Speak"</xm:f>
            <x14:dxf>
              <font>
                <b/>
                <i val="0"/>
                <color rgb="FFFF0000"/>
              </font>
            </x14:dxf>
          </x14:cfRule>
          <xm:sqref>C17:C33</xm:sqref>
        </x14:conditionalFormatting>
        <x14:conditionalFormatting xmlns:xm="http://schemas.microsoft.com/office/excel/2006/main">
          <x14:cfRule type="containsText" priority="2527" operator="containsText" text="WEB SERVICE" id="{29B59540-CB01-4845-B810-B53EAE47C826}">
            <xm:f>NOT(ISERROR(SEARCH("WEB SERVICE",'TC1'!E16)))</xm:f>
            <x14:dxf>
              <font>
                <color rgb="FF9C0006"/>
              </font>
              <fill>
                <patternFill>
                  <bgColor rgb="FFFFC7CE"/>
                </patternFill>
              </fill>
            </x14:dxf>
          </x14:cfRule>
          <x14:cfRule type="containsText" priority="2528" operator="containsText" text="DB" id="{B59ED0AA-6B9C-4837-9752-34DBA2CCF29D}">
            <xm:f>NOT(ISERROR(SEARCH("DB",'TC1'!E16)))</xm:f>
            <x14:dxf>
              <font>
                <color rgb="FF006100"/>
              </font>
              <fill>
                <patternFill>
                  <bgColor rgb="FFC6EFCE"/>
                </patternFill>
              </fill>
            </x14:dxf>
          </x14:cfRule>
          <xm:sqref>E34:E43</xm:sqref>
        </x14:conditionalFormatting>
        <x14:conditionalFormatting xmlns:xm="http://schemas.microsoft.com/office/excel/2006/main">
          <x14:cfRule type="containsText" priority="2529" operator="containsText" text="WEB SERVICE" id="{29B59540-CB01-4845-B810-B53EAE47C826}">
            <xm:f>NOT(ISERROR(SEARCH("WEB SERVICE",'TC1'!#REF!)))</xm:f>
            <x14:dxf>
              <font>
                <color rgb="FF9C0006"/>
              </font>
              <fill>
                <patternFill>
                  <bgColor rgb="FFFFC7CE"/>
                </patternFill>
              </fill>
            </x14:dxf>
          </x14:cfRule>
          <x14:cfRule type="containsText" priority="2530" operator="containsText" text="DB" id="{B59ED0AA-6B9C-4837-9752-34DBA2CCF29D}">
            <xm:f>NOT(ISERROR(SEARCH("DB",'TC1'!#REF!)))</xm:f>
            <x14:dxf>
              <font>
                <color rgb="FF006100"/>
              </font>
              <fill>
                <patternFill>
                  <bgColor rgb="FFC6EFCE"/>
                </patternFill>
              </fill>
            </x14:dxf>
          </x14:cfRule>
          <xm:sqref>E17:E33</xm:sqref>
        </x14:conditionalFormatting>
        <x14:conditionalFormatting xmlns:xm="http://schemas.microsoft.com/office/excel/2006/main">
          <x14:cfRule type="expression" priority="2535" id="{89D46168-42A7-4B98-A371-92437063357D}">
            <xm:f>'TC1'!$B16="Dial"</xm:f>
            <x14:dxf>
              <font>
                <b/>
                <i val="0"/>
                <color rgb="FFFF0000"/>
              </font>
            </x14:dxf>
          </x14:cfRule>
          <x14:cfRule type="expression" priority="2536" id="{562284C0-7605-4150-9F5A-023C9F1FE819}">
            <xm:f>'TC1'!$B16="HANGUP"</xm:f>
            <x14:dxf>
              <font>
                <b/>
                <i val="0"/>
              </font>
            </x14:dxf>
          </x14:cfRule>
          <xm:sqref>C34:C43</xm:sqref>
        </x14:conditionalFormatting>
        <x14:conditionalFormatting xmlns:xm="http://schemas.microsoft.com/office/excel/2006/main">
          <x14:cfRule type="expression" priority="2537" id="{89D46168-42A7-4B98-A371-92437063357D}">
            <xm:f>'TC1'!#REF!="Dial"</xm:f>
            <x14:dxf>
              <font>
                <b/>
                <i val="0"/>
                <color rgb="FFFF0000"/>
              </font>
            </x14:dxf>
          </x14:cfRule>
          <x14:cfRule type="expression" priority="2538" id="{562284C0-7605-4150-9F5A-023C9F1FE819}">
            <xm:f>'TC1'!#REF!="HANGUP"</xm:f>
            <x14:dxf>
              <font>
                <b/>
                <i val="0"/>
              </font>
            </x14:dxf>
          </x14:cfRule>
          <xm:sqref>C17:C33</xm:sqref>
        </x14:conditionalFormatting>
        <x14:conditionalFormatting xmlns:xm="http://schemas.microsoft.com/office/excel/2006/main">
          <x14:cfRule type="expression" priority="5208" id="{80710424-EE2A-4637-9942-0129332E5DB3}">
            <xm:f>'TC1'!$B9="Speak"</xm:f>
            <x14:dxf>
              <font>
                <b/>
                <i val="0"/>
                <color rgb="FFFF0000"/>
              </font>
            </x14:dxf>
          </x14:cfRule>
          <xm:sqref>C12:C15</xm:sqref>
        </x14:conditionalFormatting>
        <x14:conditionalFormatting xmlns:xm="http://schemas.microsoft.com/office/excel/2006/main">
          <x14:cfRule type="expression" priority="5209" id="{80710424-EE2A-4637-9942-0129332E5DB3}">
            <xm:f>'TC1'!#REF!="Speak"</xm:f>
            <x14:dxf>
              <font>
                <b/>
                <i val="0"/>
                <color rgb="FFFF0000"/>
              </font>
            </x14:dxf>
          </x14:cfRule>
          <xm:sqref>C9:C11</xm:sqref>
        </x14:conditionalFormatting>
        <x14:conditionalFormatting xmlns:xm="http://schemas.microsoft.com/office/excel/2006/main">
          <x14:cfRule type="containsText" priority="5211" operator="containsText" text="WEB SERVICE" id="{29B59540-CB01-4845-B810-B53EAE47C826}">
            <xm:f>NOT(ISERROR(SEARCH("WEB SERVICE",'TC1'!#REF!)))</xm:f>
            <x14:dxf>
              <font>
                <color rgb="FF9C0006"/>
              </font>
              <fill>
                <patternFill>
                  <bgColor rgb="FFFFC7CE"/>
                </patternFill>
              </fill>
            </x14:dxf>
          </x14:cfRule>
          <x14:cfRule type="containsText" priority="5212" operator="containsText" text="DB" id="{B59ED0AA-6B9C-4837-9752-34DBA2CCF29D}">
            <xm:f>NOT(ISERROR(SEARCH("DB",'TC1'!#REF!)))</xm:f>
            <x14:dxf>
              <font>
                <color rgb="FF006100"/>
              </font>
              <fill>
                <patternFill>
                  <bgColor rgb="FFC6EFCE"/>
                </patternFill>
              </fill>
            </x14:dxf>
          </x14:cfRule>
          <xm:sqref>E9:E11</xm:sqref>
        </x14:conditionalFormatting>
        <x14:conditionalFormatting xmlns:xm="http://schemas.microsoft.com/office/excel/2006/main">
          <x14:cfRule type="containsText" priority="5213" operator="containsText" text="WEB SERVICE" id="{29B59540-CB01-4845-B810-B53EAE47C826}">
            <xm:f>NOT(ISERROR(SEARCH("WEB SERVICE",'TC1'!E9)))</xm:f>
            <x14:dxf>
              <font>
                <color rgb="FF9C0006"/>
              </font>
              <fill>
                <patternFill>
                  <bgColor rgb="FFFFC7CE"/>
                </patternFill>
              </fill>
            </x14:dxf>
          </x14:cfRule>
          <x14:cfRule type="containsText" priority="5214" operator="containsText" text="DB" id="{B59ED0AA-6B9C-4837-9752-34DBA2CCF29D}">
            <xm:f>NOT(ISERROR(SEARCH("DB",'TC1'!E9)))</xm:f>
            <x14:dxf>
              <font>
                <color rgb="FF006100"/>
              </font>
              <fill>
                <patternFill>
                  <bgColor rgb="FFC6EFCE"/>
                </patternFill>
              </fill>
            </x14:dxf>
          </x14:cfRule>
          <xm:sqref>E12:E15</xm:sqref>
        </x14:conditionalFormatting>
        <x14:conditionalFormatting xmlns:xm="http://schemas.microsoft.com/office/excel/2006/main">
          <x14:cfRule type="expression" priority="5219" id="{89D46168-42A7-4B98-A371-92437063357D}">
            <xm:f>'TC1'!$B9="Dial"</xm:f>
            <x14:dxf>
              <font>
                <b/>
                <i val="0"/>
                <color rgb="FFFF0000"/>
              </font>
            </x14:dxf>
          </x14:cfRule>
          <x14:cfRule type="expression" priority="5220" id="{562284C0-7605-4150-9F5A-023C9F1FE819}">
            <xm:f>'TC1'!$B9="HANGUP"</xm:f>
            <x14:dxf>
              <font>
                <b/>
                <i val="0"/>
              </font>
            </x14:dxf>
          </x14:cfRule>
          <xm:sqref>C12:C15</xm:sqref>
        </x14:conditionalFormatting>
        <x14:conditionalFormatting xmlns:xm="http://schemas.microsoft.com/office/excel/2006/main">
          <x14:cfRule type="expression" priority="5221" id="{89D46168-42A7-4B98-A371-92437063357D}">
            <xm:f>'TC1'!#REF!="Dial"</xm:f>
            <x14:dxf>
              <font>
                <b/>
                <i val="0"/>
                <color rgb="FFFF0000"/>
              </font>
            </x14:dxf>
          </x14:cfRule>
          <x14:cfRule type="expression" priority="5222" id="{562284C0-7605-4150-9F5A-023C9F1FE819}">
            <xm:f>'TC1'!#REF!="HANGUP"</xm:f>
            <x14:dxf>
              <font>
                <b/>
                <i val="0"/>
              </font>
            </x14:dxf>
          </x14:cfRule>
          <xm:sqref>C9:C11</xm:sqref>
        </x14:conditionalFormatting>
        <x14:conditionalFormatting xmlns:xm="http://schemas.microsoft.com/office/excel/2006/main">
          <x14:cfRule type="expression" priority="7519" id="{80710424-EE2A-4637-9942-0129332E5DB3}">
            <xm:f>'TC1'!$B15="Speak"</xm:f>
            <x14:dxf>
              <font>
                <b/>
                <i val="0"/>
                <color rgb="FFFF0000"/>
              </font>
            </x14:dxf>
          </x14:cfRule>
          <xm:sqref>C16</xm:sqref>
        </x14:conditionalFormatting>
        <x14:conditionalFormatting xmlns:xm="http://schemas.microsoft.com/office/excel/2006/main">
          <x14:cfRule type="containsText" priority="7522" operator="containsText" text="WEB SERVICE" id="{29B59540-CB01-4845-B810-B53EAE47C826}">
            <xm:f>NOT(ISERROR(SEARCH("WEB SERVICE",'TC1'!E15)))</xm:f>
            <x14:dxf>
              <font>
                <color rgb="FF9C0006"/>
              </font>
              <fill>
                <patternFill>
                  <bgColor rgb="FFFFC7CE"/>
                </patternFill>
              </fill>
            </x14:dxf>
          </x14:cfRule>
          <x14:cfRule type="containsText" priority="7523" operator="containsText" text="DB" id="{B59ED0AA-6B9C-4837-9752-34DBA2CCF29D}">
            <xm:f>NOT(ISERROR(SEARCH("DB",'TC1'!E15)))</xm:f>
            <x14:dxf>
              <font>
                <color rgb="FF006100"/>
              </font>
              <fill>
                <patternFill>
                  <bgColor rgb="FFC6EFCE"/>
                </patternFill>
              </fill>
            </x14:dxf>
          </x14:cfRule>
          <xm:sqref>E16</xm:sqref>
        </x14:conditionalFormatting>
        <x14:conditionalFormatting xmlns:xm="http://schemas.microsoft.com/office/excel/2006/main">
          <x14:cfRule type="expression" priority="7526" id="{89D46168-42A7-4B98-A371-92437063357D}">
            <xm:f>'TC1'!$B15="Dial"</xm:f>
            <x14:dxf>
              <font>
                <b/>
                <i val="0"/>
                <color rgb="FFFF0000"/>
              </font>
            </x14:dxf>
          </x14:cfRule>
          <x14:cfRule type="expression" priority="7527" id="{562284C0-7605-4150-9F5A-023C9F1FE819}">
            <xm:f>'TC1'!$B15="HANGUP"</xm:f>
            <x14:dxf>
              <font>
                <b/>
                <i val="0"/>
              </font>
            </x14:dxf>
          </x14:cfRule>
          <xm:sqref>C16</xm:sqref>
        </x14:conditionalFormatting>
        <x14:conditionalFormatting xmlns:xm="http://schemas.microsoft.com/office/excel/2006/main">
          <x14:cfRule type="containsText" priority="10092" operator="containsText" text="Hear" id="{4AC129BA-0D54-4CF4-B3CB-28FEB9F5E44B}">
            <xm:f>NOT(ISERROR(SEARCH("Hear",'TC26'!#REF!)))</xm:f>
            <x14:dxf>
              <font>
                <color theme="9" tint="-0.24994659260841701"/>
              </font>
              <fill>
                <patternFill>
                  <bgColor theme="9" tint="0.59996337778862885"/>
                </patternFill>
              </fill>
            </x14:dxf>
          </x14:cfRule>
          <xm:sqref>B39</xm:sqref>
        </x14:conditionalFormatting>
      </x14:conditionalFormattings>
    </ext>
  </extLst>
</worksheet>
</file>

<file path=xl/worksheets/sheet1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200-000000000000}">
  <sheetPr codeName="Sheet116"/>
  <dimension ref="A1:E44"/>
  <sheetViews>
    <sheetView zoomScaleNormal="100" workbookViewId="0">
      <selection sqref="A1:E44"/>
    </sheetView>
  </sheetViews>
  <sheetFormatPr defaultRowHeight="14.5" x14ac:dyDescent="0.35"/>
  <cols>
    <col min="1" max="1" width="14.453125" bestFit="1" customWidth="1"/>
    <col min="2" max="2" width="42.6328125" customWidth="1"/>
    <col min="3" max="3" width="106.1796875" customWidth="1"/>
    <col min="4" max="4" width="21.81640625" bestFit="1" customWidth="1"/>
    <col min="5" max="5" width="20.6328125" customWidth="1"/>
  </cols>
  <sheetData>
    <row r="1" spans="1:5" ht="18.5" x14ac:dyDescent="0.35">
      <c r="A1" s="192" t="s">
        <v>4</v>
      </c>
      <c r="B1" s="192"/>
      <c r="C1" s="105"/>
      <c r="D1" s="111"/>
      <c r="E1" s="97"/>
    </row>
    <row r="2" spans="1:5" x14ac:dyDescent="0.35">
      <c r="A2" s="106" t="s">
        <v>5</v>
      </c>
      <c r="B2" s="107" t="str">
        <f ca="1">MID(CELL("filename",A1),FIND("]",CELL("filename",A1))+1,LEN(CELL("filename",A1))-FIND("]",CELL("filename",A1)))</f>
        <v>TC114</v>
      </c>
      <c r="C2" s="98"/>
      <c r="D2" s="111"/>
      <c r="E2" s="97"/>
    </row>
    <row r="3" spans="1:5" x14ac:dyDescent="0.35">
      <c r="A3" s="104" t="s">
        <v>19</v>
      </c>
      <c r="B3" s="112">
        <f ca="1">VLOOKUP(B2,Table53[#All],2,FALSE)</f>
        <v>0</v>
      </c>
      <c r="C3" s="98"/>
      <c r="D3" s="111"/>
      <c r="E3" s="97"/>
    </row>
    <row r="4" spans="1:5" ht="29" x14ac:dyDescent="0.35">
      <c r="A4" s="113" t="s">
        <v>20</v>
      </c>
      <c r="B4" s="99">
        <f ca="1">VLOOKUP(B2,Table53[#All],4,FALSE)</f>
        <v>0</v>
      </c>
      <c r="C4" s="98"/>
      <c r="D4" s="111"/>
      <c r="E4" s="97"/>
    </row>
    <row r="5" spans="1:5" x14ac:dyDescent="0.35">
      <c r="A5" s="104" t="s">
        <v>6</v>
      </c>
      <c r="B5" s="77">
        <f ca="1">VLOOKUP(B2,Table53[#All],3,FALSE)</f>
        <v>0</v>
      </c>
      <c r="C5" s="98"/>
      <c r="D5" s="111"/>
      <c r="E5" s="97"/>
    </row>
    <row r="6" spans="1:5" x14ac:dyDescent="0.35">
      <c r="A6" s="97"/>
      <c r="B6" s="97"/>
      <c r="C6" s="98"/>
      <c r="D6" s="111"/>
      <c r="E6" s="97"/>
    </row>
    <row r="7" spans="1:5" ht="15.5" x14ac:dyDescent="0.35">
      <c r="A7" s="100" t="s">
        <v>7</v>
      </c>
      <c r="B7" s="101" t="s">
        <v>8</v>
      </c>
      <c r="C7" s="102" t="s">
        <v>9</v>
      </c>
      <c r="D7" s="102" t="s">
        <v>14</v>
      </c>
      <c r="E7" s="103" t="s">
        <v>10</v>
      </c>
    </row>
    <row r="8" spans="1:5" x14ac:dyDescent="0.35">
      <c r="A8" s="118">
        <v>1</v>
      </c>
      <c r="B8" s="114" t="s">
        <v>114</v>
      </c>
      <c r="C8" s="109" t="s">
        <v>125</v>
      </c>
      <c r="D8" s="128"/>
      <c r="E8" s="125" t="s">
        <v>11</v>
      </c>
    </row>
    <row r="9" spans="1:5" x14ac:dyDescent="0.35">
      <c r="A9" s="118">
        <v>2</v>
      </c>
      <c r="B9" s="114" t="s">
        <v>12</v>
      </c>
      <c r="C9" s="109" t="e">
        <f>VLOOKUP(Table257519913140106110126[[#This Row],[PEG]],Table1016[#All],2,FALSE)</f>
        <v>#N/A</v>
      </c>
      <c r="D9" s="128"/>
      <c r="E9" s="125" t="e">
        <f>VLOOKUP(Table257519913140106110126[[#This Row],[PEG]],Table1016[#All],3,FALSE)</f>
        <v>#N/A</v>
      </c>
    </row>
    <row r="10" spans="1:5" x14ac:dyDescent="0.35">
      <c r="A10" s="118">
        <v>3</v>
      </c>
      <c r="B10" s="114" t="s">
        <v>115</v>
      </c>
      <c r="C10" s="109" t="e">
        <f>VLOOKUP(Table257519913140106110126[[#This Row],[PEG]],Table1016[#All],2,FALSE)</f>
        <v>#N/A</v>
      </c>
      <c r="D10" s="128"/>
      <c r="E10" s="125" t="e">
        <f>VLOOKUP(Table257519913140106110126[[#This Row],[PEG]],Table1016[#All],3,FALSE)</f>
        <v>#N/A</v>
      </c>
    </row>
    <row r="11" spans="1:5" x14ac:dyDescent="0.35">
      <c r="A11" s="118">
        <v>4</v>
      </c>
      <c r="B11" s="114" t="s">
        <v>115</v>
      </c>
      <c r="C11" s="109" t="e">
        <f>VLOOKUP(Table257519913140106110126[[#This Row],[PEG]],Table1016[#All],2,FALSE)</f>
        <v>#N/A</v>
      </c>
      <c r="D11" s="128"/>
      <c r="E11" s="125" t="e">
        <f>VLOOKUP(Table257519913140106110126[[#This Row],[PEG]],Table1016[#All],3,FALSE)</f>
        <v>#N/A</v>
      </c>
    </row>
    <row r="12" spans="1:5" x14ac:dyDescent="0.35">
      <c r="A12" s="118">
        <v>5</v>
      </c>
      <c r="B12" s="114" t="s">
        <v>114</v>
      </c>
      <c r="C12" s="109" t="e">
        <f>VLOOKUP(Table257519913140106110126[[#This Row],[PEG]],Table1016[#All],2,FALSE)</f>
        <v>#N/A</v>
      </c>
      <c r="D12" s="128"/>
      <c r="E12" s="125" t="e">
        <f>VLOOKUP(Table257519913140106110126[[#This Row],[PEG]],Table1016[#All],3,FALSE)</f>
        <v>#N/A</v>
      </c>
    </row>
    <row r="13" spans="1:5" x14ac:dyDescent="0.35">
      <c r="A13" s="118">
        <v>6</v>
      </c>
      <c r="B13" s="114" t="s">
        <v>115</v>
      </c>
      <c r="C13" s="109" t="e">
        <f>VLOOKUP(Table257519913140106110126[[#This Row],[PEG]],Table1016[#All],2,FALSE)</f>
        <v>#N/A</v>
      </c>
      <c r="D13" s="128"/>
      <c r="E13" s="125" t="e">
        <f>VLOOKUP(Table257519913140106110126[[#This Row],[PEG]],Table1016[#All],3,FALSE)</f>
        <v>#N/A</v>
      </c>
    </row>
    <row r="14" spans="1:5" x14ac:dyDescent="0.35">
      <c r="A14" s="118">
        <v>7</v>
      </c>
      <c r="B14" s="114" t="s">
        <v>114</v>
      </c>
      <c r="C14" s="109" t="e">
        <f>VLOOKUP(Table257519913140106110126[[#This Row],[PEG]],Table1016[#All],2,FALSE)</f>
        <v>#N/A</v>
      </c>
      <c r="D14" s="128"/>
      <c r="E14" s="125" t="e">
        <f>VLOOKUP(Table257519913140106110126[[#This Row],[PEG]],Table1016[#All],3,FALSE)</f>
        <v>#N/A</v>
      </c>
    </row>
    <row r="15" spans="1:5" x14ac:dyDescent="0.35">
      <c r="A15" s="118">
        <v>8</v>
      </c>
      <c r="B15" s="114" t="s">
        <v>115</v>
      </c>
      <c r="C15" s="109" t="e">
        <f>VLOOKUP(Table257519913140106110126[[#This Row],[PEG]],Table1016[#All],2,FALSE)</f>
        <v>#N/A</v>
      </c>
      <c r="D15" s="116"/>
      <c r="E15" s="125" t="e">
        <f>VLOOKUP(Table257519913140106110126[[#This Row],[PEG]],Table1016[#All],3,FALSE)</f>
        <v>#N/A</v>
      </c>
    </row>
    <row r="16" spans="1:5" x14ac:dyDescent="0.35">
      <c r="A16" s="118">
        <v>9</v>
      </c>
      <c r="B16" s="114" t="s">
        <v>12</v>
      </c>
      <c r="C16" s="109" t="e">
        <f>VLOOKUP(Table257519913140106110126[[#This Row],[PEG]],Table1016[#All],2,FALSE)</f>
        <v>#N/A</v>
      </c>
      <c r="D16" s="116"/>
      <c r="E16" s="125" t="e">
        <f>VLOOKUP(Table257519913140106110126[[#This Row],[PEG]],Table1016[#All],3,FALSE)</f>
        <v>#N/A</v>
      </c>
    </row>
    <row r="17" spans="1:5" x14ac:dyDescent="0.35">
      <c r="A17" s="118">
        <v>10</v>
      </c>
      <c r="B17" s="114" t="s">
        <v>12</v>
      </c>
      <c r="C17" s="109" t="e">
        <f>VLOOKUP(Table257519913140106110126[[#This Row],[PEG]],Table1016[#All],2,FALSE)</f>
        <v>#N/A</v>
      </c>
      <c r="D17" s="117"/>
      <c r="E17" s="125" t="e">
        <f>VLOOKUP(Table257519913140106110126[[#This Row],[PEG]],Table1016[#All],3,FALSE)</f>
        <v>#N/A</v>
      </c>
    </row>
    <row r="18" spans="1:5" x14ac:dyDescent="0.35">
      <c r="A18" s="118">
        <v>11</v>
      </c>
      <c r="B18" s="114" t="s">
        <v>115</v>
      </c>
      <c r="C18" s="109" t="e">
        <f>VLOOKUP(Table257519913140106110126[[#This Row],[PEG]],Table1016[#All],2,FALSE)</f>
        <v>#N/A</v>
      </c>
      <c r="D18" s="117"/>
      <c r="E18" s="125" t="e">
        <f>VLOOKUP(Table257519913140106110126[[#This Row],[PEG]],Table1016[#All],3,FALSE)</f>
        <v>#N/A</v>
      </c>
    </row>
    <row r="19" spans="1:5" x14ac:dyDescent="0.35">
      <c r="A19" s="118">
        <v>12</v>
      </c>
      <c r="B19" s="114" t="s">
        <v>115</v>
      </c>
      <c r="C19" s="109" t="e">
        <f>VLOOKUP(Table257519913140106110126[[#This Row],[PEG]],Table1016[#All],2,FALSE)</f>
        <v>#N/A</v>
      </c>
      <c r="D19" s="117"/>
      <c r="E19" s="125" t="e">
        <f>VLOOKUP(Table257519913140106110126[[#This Row],[PEG]],Table1016[#All],3,FALSE)</f>
        <v>#N/A</v>
      </c>
    </row>
    <row r="20" spans="1:5" x14ac:dyDescent="0.35">
      <c r="A20" s="118">
        <v>13</v>
      </c>
      <c r="B20" s="114" t="s">
        <v>114</v>
      </c>
      <c r="C20" s="109" t="e">
        <f>VLOOKUP(Table257519913140106110126[[#This Row],[PEG]],Table1016[#All],2,FALSE)</f>
        <v>#N/A</v>
      </c>
      <c r="D20" s="117"/>
      <c r="E20" s="125" t="e">
        <f>VLOOKUP(Table257519913140106110126[[#This Row],[PEG]],Table1016[#All],3,FALSE)</f>
        <v>#N/A</v>
      </c>
    </row>
    <row r="21" spans="1:5" x14ac:dyDescent="0.35">
      <c r="A21" s="118">
        <v>14</v>
      </c>
      <c r="B21" s="114" t="s">
        <v>12</v>
      </c>
      <c r="C21" s="109" t="e">
        <f>VLOOKUP(Table257519913140106110126[[#This Row],[PEG]],Table1016[#All],2,FALSE)</f>
        <v>#N/A</v>
      </c>
      <c r="D21" s="117"/>
      <c r="E21" s="125" t="e">
        <f>VLOOKUP(Table257519913140106110126[[#This Row],[PEG]],Table1016[#All],3,FALSE)</f>
        <v>#N/A</v>
      </c>
    </row>
    <row r="22" spans="1:5" x14ac:dyDescent="0.35">
      <c r="A22" s="118">
        <v>15</v>
      </c>
      <c r="B22" s="114" t="s">
        <v>12</v>
      </c>
      <c r="C22" s="109" t="e">
        <f>VLOOKUP(Table257519913140106110126[[#This Row],[PEG]],Table1016[#All],2,FALSE)</f>
        <v>#N/A</v>
      </c>
      <c r="D22" s="117"/>
      <c r="E22" s="125" t="e">
        <f>VLOOKUP(Table257519913140106110126[[#This Row],[PEG]],Table1016[#All],3,FALSE)</f>
        <v>#N/A</v>
      </c>
    </row>
    <row r="23" spans="1:5" x14ac:dyDescent="0.35">
      <c r="A23" s="118">
        <v>16</v>
      </c>
      <c r="B23" s="114" t="s">
        <v>115</v>
      </c>
      <c r="C23" s="109" t="e">
        <f>VLOOKUP(Table257519913140106110126[[#This Row],[PEG]],Table1016[#All],2,FALSE)</f>
        <v>#N/A</v>
      </c>
      <c r="D23" s="117"/>
      <c r="E23" s="125" t="e">
        <f>VLOOKUP(Table257519913140106110126[[#This Row],[PEG]],Table1016[#All],3,FALSE)</f>
        <v>#N/A</v>
      </c>
    </row>
    <row r="24" spans="1:5" x14ac:dyDescent="0.35">
      <c r="A24" s="118">
        <v>17</v>
      </c>
      <c r="B24" s="114" t="s">
        <v>114</v>
      </c>
      <c r="C24" s="109" t="e">
        <f>VLOOKUP(Table257519913140106110126[[#This Row],[PEG]],Table1016[#All],2,FALSE)</f>
        <v>#N/A</v>
      </c>
      <c r="D24" s="117"/>
      <c r="E24" s="125" t="e">
        <f>VLOOKUP(Table257519913140106110126[[#This Row],[PEG]],Table1016[#All],3,FALSE)</f>
        <v>#N/A</v>
      </c>
    </row>
    <row r="25" spans="1:5" x14ac:dyDescent="0.35">
      <c r="A25" s="118">
        <v>18</v>
      </c>
      <c r="B25" s="114" t="s">
        <v>12</v>
      </c>
      <c r="C25" s="109" t="e">
        <f>VLOOKUP(Table257519913140106110126[[#This Row],[PEG]],Table1016[#All],2,FALSE)</f>
        <v>#N/A</v>
      </c>
      <c r="D25" s="117"/>
      <c r="E25" s="125" t="e">
        <f>VLOOKUP(Table257519913140106110126[[#This Row],[PEG]],Table1016[#All],3,FALSE)</f>
        <v>#N/A</v>
      </c>
    </row>
    <row r="26" spans="1:5" x14ac:dyDescent="0.35">
      <c r="A26" s="118">
        <v>19</v>
      </c>
      <c r="B26" s="114" t="s">
        <v>12</v>
      </c>
      <c r="C26" s="109" t="e">
        <f>VLOOKUP(Table257519913140106110126[[#This Row],[PEG]],Table1016[#All],2,FALSE)</f>
        <v>#N/A</v>
      </c>
      <c r="D26" s="117"/>
      <c r="E26" s="125" t="e">
        <f>VLOOKUP(Table257519913140106110126[[#This Row],[PEG]],Table1016[#All],3,FALSE)</f>
        <v>#N/A</v>
      </c>
    </row>
    <row r="27" spans="1:5" x14ac:dyDescent="0.35">
      <c r="A27" s="118">
        <v>20</v>
      </c>
      <c r="B27" s="114" t="s">
        <v>115</v>
      </c>
      <c r="C27" s="109" t="e">
        <f>VLOOKUP(Table257519913140106110126[[#This Row],[PEG]],Table1016[#All],2,FALSE)</f>
        <v>#N/A</v>
      </c>
      <c r="D27" s="117"/>
      <c r="E27" s="125" t="e">
        <f>VLOOKUP(Table257519913140106110126[[#This Row],[PEG]],Table1016[#All],3,FALSE)</f>
        <v>#N/A</v>
      </c>
    </row>
    <row r="28" spans="1:5" x14ac:dyDescent="0.35">
      <c r="A28" s="118">
        <v>21</v>
      </c>
      <c r="B28" s="114" t="s">
        <v>114</v>
      </c>
      <c r="C28" s="109" t="e">
        <f>VLOOKUP(Table257519913140106110126[[#This Row],[PEG]],Table1016[#All],2,FALSE)</f>
        <v>#N/A</v>
      </c>
      <c r="D28" s="117"/>
      <c r="E28" s="125" t="e">
        <f>VLOOKUP(Table257519913140106110126[[#This Row],[PEG]],Table1016[#All],3,FALSE)</f>
        <v>#N/A</v>
      </c>
    </row>
    <row r="29" spans="1:5" x14ac:dyDescent="0.35">
      <c r="A29" s="118">
        <v>22</v>
      </c>
      <c r="B29" s="114" t="s">
        <v>12</v>
      </c>
      <c r="C29" s="109" t="e">
        <f>VLOOKUP(Table257519913140106110126[[#This Row],[PEG]],Table1016[#All],2,FALSE)</f>
        <v>#N/A</v>
      </c>
      <c r="D29" s="117"/>
      <c r="E29" s="125" t="e">
        <f>VLOOKUP(Table257519913140106110126[[#This Row],[PEG]],Table1016[#All],3,FALSE)</f>
        <v>#N/A</v>
      </c>
    </row>
    <row r="30" spans="1:5" x14ac:dyDescent="0.35">
      <c r="A30" s="118">
        <v>23</v>
      </c>
      <c r="B30" s="114" t="s">
        <v>12</v>
      </c>
      <c r="C30" s="109" t="e">
        <f>VLOOKUP(Table257519913140106110126[[#This Row],[PEG]],Table1016[#All],2,FALSE)</f>
        <v>#N/A</v>
      </c>
      <c r="D30" s="117"/>
      <c r="E30" s="125" t="e">
        <f>VLOOKUP(Table257519913140106110126[[#This Row],[PEG]],Table1016[#All],3,FALSE)</f>
        <v>#N/A</v>
      </c>
    </row>
    <row r="31" spans="1:5" x14ac:dyDescent="0.35">
      <c r="A31" s="118">
        <v>24</v>
      </c>
      <c r="B31" s="114" t="s">
        <v>115</v>
      </c>
      <c r="C31" s="109" t="e">
        <f>VLOOKUP(Table257519913140106110126[[#This Row],[PEG]],Table1016[#All],2,FALSE)</f>
        <v>#N/A</v>
      </c>
      <c r="D31" s="117"/>
      <c r="E31" s="125" t="e">
        <f>VLOOKUP(Table257519913140106110126[[#This Row],[PEG]],Table1016[#All],3,FALSE)</f>
        <v>#N/A</v>
      </c>
    </row>
    <row r="32" spans="1:5" x14ac:dyDescent="0.35">
      <c r="A32" s="118">
        <v>25</v>
      </c>
      <c r="B32" s="114" t="s">
        <v>115</v>
      </c>
      <c r="C32" s="109" t="e">
        <f>VLOOKUP(Table257519913140106110126[[#This Row],[PEG]],Table1016[#All],2,FALSE)</f>
        <v>#N/A</v>
      </c>
      <c r="D32" s="117"/>
      <c r="E32" s="125" t="e">
        <f>VLOOKUP(Table257519913140106110126[[#This Row],[PEG]],Table1016[#All],3,FALSE)</f>
        <v>#N/A</v>
      </c>
    </row>
    <row r="33" spans="1:5" x14ac:dyDescent="0.35">
      <c r="A33" s="118">
        <v>26</v>
      </c>
      <c r="B33" s="114" t="s">
        <v>124</v>
      </c>
      <c r="C33" s="109" t="e">
        <f>VLOOKUP(Table257519913140106110126[[#This Row],[PEG]],Table1016[#All],2,FALSE)</f>
        <v>#N/A</v>
      </c>
      <c r="D33" s="117"/>
      <c r="E33" s="125" t="e">
        <f>VLOOKUP(Table257519913140106110126[[#This Row],[PEG]],Table1016[#All],3,FALSE)</f>
        <v>#N/A</v>
      </c>
    </row>
    <row r="34" spans="1:5" x14ac:dyDescent="0.35">
      <c r="A34" s="118">
        <v>27</v>
      </c>
      <c r="B34" s="114" t="s">
        <v>115</v>
      </c>
      <c r="C34" s="109" t="e">
        <f>VLOOKUP(Table257519913140106110126[[#This Row],[PEG]],Table1016[#All],2,FALSE)</f>
        <v>#N/A</v>
      </c>
      <c r="D34" s="117"/>
      <c r="E34" s="125" t="e">
        <f>VLOOKUP(Table257519913140106110126[[#This Row],[PEG]],Table1016[#All],3,FALSE)</f>
        <v>#N/A</v>
      </c>
    </row>
    <row r="35" spans="1:5" x14ac:dyDescent="0.35">
      <c r="A35" s="118">
        <v>28</v>
      </c>
      <c r="B35" s="114" t="s">
        <v>124</v>
      </c>
      <c r="C35" s="109" t="e">
        <f>VLOOKUP(Table257519913140106110126[[#This Row],[PEG]],Table1016[#All],2,FALSE)</f>
        <v>#N/A</v>
      </c>
      <c r="D35" s="117"/>
      <c r="E35" s="125" t="e">
        <f>VLOOKUP(Table257519913140106110126[[#This Row],[PEG]],Table1016[#All],3,FALSE)</f>
        <v>#N/A</v>
      </c>
    </row>
    <row r="36" spans="1:5" x14ac:dyDescent="0.35">
      <c r="A36" s="118">
        <v>29</v>
      </c>
      <c r="B36" s="114" t="s">
        <v>115</v>
      </c>
      <c r="C36" s="109" t="e">
        <f>VLOOKUP(Table257519913140106110126[[#This Row],[PEG]],Table1016[#All],2,FALSE)</f>
        <v>#N/A</v>
      </c>
      <c r="D36" s="117"/>
      <c r="E36" s="125" t="e">
        <f>VLOOKUP(Table257519913140106110126[[#This Row],[PEG]],Table1016[#All],3,FALSE)</f>
        <v>#N/A</v>
      </c>
    </row>
    <row r="37" spans="1:5" x14ac:dyDescent="0.35">
      <c r="A37" s="118">
        <v>30</v>
      </c>
      <c r="B37" s="114" t="s">
        <v>12</v>
      </c>
      <c r="C37" s="109" t="e">
        <f>VLOOKUP(Table257519913140106110126[[#This Row],[PEG]],Table1016[#All],2,FALSE)</f>
        <v>#N/A</v>
      </c>
      <c r="D37" s="117"/>
      <c r="E37" s="125" t="e">
        <f>VLOOKUP(Table257519913140106110126[[#This Row],[PEG]],Table1016[#All],3,FALSE)</f>
        <v>#N/A</v>
      </c>
    </row>
    <row r="38" spans="1:5" x14ac:dyDescent="0.35">
      <c r="A38" s="118">
        <v>31</v>
      </c>
      <c r="B38" s="114" t="s">
        <v>12</v>
      </c>
      <c r="C38" s="109" t="e">
        <f>VLOOKUP(Table257519913140106110126[[#This Row],[PEG]],Table1016[#All],2,FALSE)</f>
        <v>#N/A</v>
      </c>
      <c r="D38" s="117"/>
      <c r="E38" s="125" t="e">
        <f>VLOOKUP(Table257519913140106110126[[#This Row],[PEG]],Table1016[#All],3,FALSE)</f>
        <v>#N/A</v>
      </c>
    </row>
    <row r="39" spans="1:5" x14ac:dyDescent="0.35">
      <c r="A39" s="118">
        <v>32</v>
      </c>
      <c r="B39" s="114" t="s">
        <v>12</v>
      </c>
      <c r="C39" s="109" t="e">
        <f>VLOOKUP(Table257519913140106110126[[#This Row],[PEG]],Table1016[#All],2,FALSE)</f>
        <v>#N/A</v>
      </c>
      <c r="D39" s="117"/>
      <c r="E39" s="125" t="e">
        <f>VLOOKUP(Table257519913140106110126[[#This Row],[PEG]],Table1016[#All],3,FALSE)</f>
        <v>#N/A</v>
      </c>
    </row>
    <row r="40" spans="1:5" x14ac:dyDescent="0.35">
      <c r="A40" s="118">
        <v>33</v>
      </c>
      <c r="B40" s="114" t="s">
        <v>12</v>
      </c>
      <c r="C40" s="109" t="e">
        <f>VLOOKUP(Table257519913140106110126[[#This Row],[PEG]],Table1016[#All],2,FALSE)</f>
        <v>#N/A</v>
      </c>
      <c r="D40" s="117"/>
      <c r="E40" s="125" t="e">
        <f>VLOOKUP(Table257519913140106110126[[#This Row],[PEG]],Table1016[#All],3,FALSE)</f>
        <v>#N/A</v>
      </c>
    </row>
    <row r="41" spans="1:5" x14ac:dyDescent="0.35">
      <c r="A41" s="118">
        <v>34</v>
      </c>
      <c r="B41" s="114" t="s">
        <v>115</v>
      </c>
      <c r="C41" s="109" t="e">
        <f>VLOOKUP(Table257519913140106110126[[#This Row],[PEG]],Table1016[#All],2,FALSE)</f>
        <v>#N/A</v>
      </c>
      <c r="D41" s="117"/>
      <c r="E41" s="125" t="e">
        <f>VLOOKUP(Table257519913140106110126[[#This Row],[PEG]],Table1016[#All],3,FALSE)</f>
        <v>#N/A</v>
      </c>
    </row>
    <row r="42" spans="1:5" x14ac:dyDescent="0.35">
      <c r="A42" s="118">
        <v>35</v>
      </c>
      <c r="B42" s="114" t="s">
        <v>12</v>
      </c>
      <c r="C42" s="109" t="e">
        <f>VLOOKUP(Table257519913140106110126[[#This Row],[PEG]],Table1016[#All],2,FALSE)</f>
        <v>#N/A</v>
      </c>
      <c r="D42" s="115"/>
      <c r="E42" s="125" t="e">
        <f>VLOOKUP(Table257519913140106110126[[#This Row],[PEG]],Table1016[#All],3,FALSE)</f>
        <v>#N/A</v>
      </c>
    </row>
    <row r="43" spans="1:5" x14ac:dyDescent="0.35">
      <c r="A43" s="118">
        <v>36</v>
      </c>
      <c r="B43" s="114" t="s">
        <v>115</v>
      </c>
      <c r="C43" s="109" t="e">
        <f>VLOOKUP(Table257519913140106110126[[#This Row],[PEG]],Table1016[#All],2,FALSE)</f>
        <v>#N/A</v>
      </c>
      <c r="D43" s="115"/>
      <c r="E43" s="125" t="e">
        <f>VLOOKUP(Table257519913140106110126[[#This Row],[PEG]],Table1016[#All],3,FALSE)</f>
        <v>#N/A</v>
      </c>
    </row>
    <row r="44" spans="1:5" x14ac:dyDescent="0.35">
      <c r="A44" s="118">
        <v>37</v>
      </c>
      <c r="B44" s="114" t="s">
        <v>13</v>
      </c>
      <c r="C44" s="18" t="s">
        <v>13</v>
      </c>
      <c r="D44" s="115"/>
      <c r="E44" s="32"/>
    </row>
  </sheetData>
  <mergeCells count="1">
    <mergeCell ref="A1:B1"/>
  </mergeCells>
  <conditionalFormatting sqref="B8:B18">
    <cfRule type="containsText" dxfId="2233" priority="1" operator="containsText" text="Hear">
      <formula>NOT(ISERROR(SEARCH("Hear",B8)))</formula>
    </cfRule>
  </conditionalFormatting>
  <conditionalFormatting sqref="B30">
    <cfRule type="containsText" dxfId="2232" priority="4" operator="containsText" text="Hear">
      <formula>NOT(ISERROR(SEARCH("Hear",B30)))</formula>
    </cfRule>
  </conditionalFormatting>
  <conditionalFormatting sqref="B43:B44">
    <cfRule type="containsText" dxfId="2231" priority="8" operator="containsText" text="Hear">
      <formula>NOT(ISERROR(SEARCH("Hear",B43)))</formula>
    </cfRule>
  </conditionalFormatting>
  <conditionalFormatting sqref="E44">
    <cfRule type="containsText" dxfId="2230" priority="6" operator="containsText" text="WEB SERVICE">
      <formula>NOT(ISERROR(SEARCH("WEB SERVICE",E44)))</formula>
    </cfRule>
    <cfRule type="containsText" dxfId="2229" priority="7" operator="containsText" text="DB">
      <formula>NOT(ISERROR(SEARCH("DB",E44)))</formula>
    </cfRule>
  </conditionalFormatting>
  <conditionalFormatting sqref="C44">
    <cfRule type="expression" dxfId="2228" priority="9">
      <formula>$B44="Dial"</formula>
    </cfRule>
    <cfRule type="expression" dxfId="2227" priority="11">
      <formula>$B44="HANGUP"</formula>
    </cfRule>
  </conditionalFormatting>
  <conditionalFormatting sqref="C44">
    <cfRule type="expression" dxfId="2226" priority="10">
      <formula>$B44="Speak"</formula>
    </cfRule>
  </conditionalFormatting>
  <conditionalFormatting sqref="B36:B38 B40:B41">
    <cfRule type="containsText" dxfId="2225" priority="3" operator="containsText" text="Hear">
      <formula>NOT(ISERROR(SEARCH("Hear",B36)))</formula>
    </cfRule>
  </conditionalFormatting>
  <conditionalFormatting sqref="B19:B29 B31:B35 B42">
    <cfRule type="containsText" dxfId="2224" priority="5" operator="containsText" text="Hear">
      <formula>NOT(ISERROR(SEARCH("Hear",B19)))</formula>
    </cfRule>
  </conditionalFormatting>
  <hyperlinks>
    <hyperlink ref="A1" location="'Test Case Overview'!A1" display="Return to Test Case Overview" xr:uid="{EC3C67B8-B8AC-4687-8141-84525BA28043}"/>
  </hyperlinks>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expression" priority="12" id="{02398220-856A-47EC-9EC3-7FA1B522A1E7}">
            <xm:f>'TC1'!$B8="Speak"</xm:f>
            <x14:dxf>
              <font>
                <b/>
                <i val="0"/>
                <color rgb="FFFF0000"/>
              </font>
            </x14:dxf>
          </x14:cfRule>
          <xm:sqref>C8</xm:sqref>
        </x14:conditionalFormatting>
        <x14:conditionalFormatting xmlns:xm="http://schemas.microsoft.com/office/excel/2006/main">
          <x14:cfRule type="containsText" priority="15" operator="containsText" text="Hear" id="{95ABC7D1-03E6-4A5E-8A50-26F23776AEC2}">
            <xm:f>NOT(ISERROR(SEARCH("Hear",'TC3'!B34)))</xm:f>
            <x14:dxf>
              <font>
                <color theme="9" tint="-0.24994659260841701"/>
              </font>
              <fill>
                <patternFill>
                  <bgColor theme="9" tint="0.59996337778862885"/>
                </patternFill>
              </fill>
            </x14:dxf>
          </x14:cfRule>
          <xm:sqref>B41</xm:sqref>
        </x14:conditionalFormatting>
        <x14:conditionalFormatting xmlns:xm="http://schemas.microsoft.com/office/excel/2006/main">
          <x14:cfRule type="expression" priority="16" id="{32A63D3C-B78F-408D-AC21-1B592A4295D8}">
            <xm:f>'TC1'!$B8="Dial"</xm:f>
            <x14:dxf>
              <font>
                <b/>
                <i val="0"/>
                <color rgb="FFFF0000"/>
              </font>
            </x14:dxf>
          </x14:cfRule>
          <x14:cfRule type="expression" priority="16" id="{0817B874-1A97-4892-892A-E57F7D8F2B6E}">
            <xm:f>'TC1'!$B8="HANGUP"</xm:f>
            <x14:dxf>
              <font>
                <b/>
                <i val="0"/>
              </font>
            </x14:dxf>
          </x14:cfRule>
          <xm:sqref>C8</xm:sqref>
        </x14:conditionalFormatting>
        <x14:conditionalFormatting xmlns:xm="http://schemas.microsoft.com/office/excel/2006/main">
          <x14:cfRule type="expression" priority="2542" id="{02398220-856A-47EC-9EC3-7FA1B522A1E7}">
            <xm:f>'TC1'!$B16="Speak"</xm:f>
            <x14:dxf>
              <font>
                <b/>
                <i val="0"/>
                <color rgb="FFFF0000"/>
              </font>
            </x14:dxf>
          </x14:cfRule>
          <xm:sqref>C34:C43</xm:sqref>
        </x14:conditionalFormatting>
        <x14:conditionalFormatting xmlns:xm="http://schemas.microsoft.com/office/excel/2006/main">
          <x14:cfRule type="expression" priority="2543" id="{02398220-856A-47EC-9EC3-7FA1B522A1E7}">
            <xm:f>'TC1'!#REF!="Speak"</xm:f>
            <x14:dxf>
              <font>
                <b/>
                <i val="0"/>
                <color rgb="FFFF0000"/>
              </font>
            </x14:dxf>
          </x14:cfRule>
          <xm:sqref>C17:C33</xm:sqref>
        </x14:conditionalFormatting>
        <x14:conditionalFormatting xmlns:xm="http://schemas.microsoft.com/office/excel/2006/main">
          <x14:cfRule type="containsText" priority="2547" operator="containsText" text="WEB SERVICE" id="{4898F2A0-8CEB-4610-B9B9-8E289DA1DBA3}">
            <xm:f>NOT(ISERROR(SEARCH("WEB SERVICE",'TC1'!E16)))</xm:f>
            <x14:dxf>
              <font>
                <color rgb="FF9C0006"/>
              </font>
              <fill>
                <patternFill>
                  <bgColor rgb="FFFFC7CE"/>
                </patternFill>
              </fill>
            </x14:dxf>
          </x14:cfRule>
          <x14:cfRule type="containsText" priority="2548" operator="containsText" text="DB" id="{51C6B4E3-FD48-456C-A20E-BE6F6DB88138}">
            <xm:f>NOT(ISERROR(SEARCH("DB",'TC1'!E16)))</xm:f>
            <x14:dxf>
              <font>
                <color rgb="FF006100"/>
              </font>
              <fill>
                <patternFill>
                  <bgColor rgb="FFC6EFCE"/>
                </patternFill>
              </fill>
            </x14:dxf>
          </x14:cfRule>
          <xm:sqref>E34:E43</xm:sqref>
        </x14:conditionalFormatting>
        <x14:conditionalFormatting xmlns:xm="http://schemas.microsoft.com/office/excel/2006/main">
          <x14:cfRule type="containsText" priority="2549" operator="containsText" text="WEB SERVICE" id="{4898F2A0-8CEB-4610-B9B9-8E289DA1DBA3}">
            <xm:f>NOT(ISERROR(SEARCH("WEB SERVICE",'TC1'!#REF!)))</xm:f>
            <x14:dxf>
              <font>
                <color rgb="FF9C0006"/>
              </font>
              <fill>
                <patternFill>
                  <bgColor rgb="FFFFC7CE"/>
                </patternFill>
              </fill>
            </x14:dxf>
          </x14:cfRule>
          <x14:cfRule type="containsText" priority="2550" operator="containsText" text="DB" id="{51C6B4E3-FD48-456C-A20E-BE6F6DB88138}">
            <xm:f>NOT(ISERROR(SEARCH("DB",'TC1'!#REF!)))</xm:f>
            <x14:dxf>
              <font>
                <color rgb="FF006100"/>
              </font>
              <fill>
                <patternFill>
                  <bgColor rgb="FFC6EFCE"/>
                </patternFill>
              </fill>
            </x14:dxf>
          </x14:cfRule>
          <xm:sqref>E17:E33</xm:sqref>
        </x14:conditionalFormatting>
        <x14:conditionalFormatting xmlns:xm="http://schemas.microsoft.com/office/excel/2006/main">
          <x14:cfRule type="expression" priority="2555" id="{32A63D3C-B78F-408D-AC21-1B592A4295D8}">
            <xm:f>'TC1'!$B16="Dial"</xm:f>
            <x14:dxf>
              <font>
                <b/>
                <i val="0"/>
                <color rgb="FFFF0000"/>
              </font>
            </x14:dxf>
          </x14:cfRule>
          <x14:cfRule type="expression" priority="2556" id="{0817B874-1A97-4892-892A-E57F7D8F2B6E}">
            <xm:f>'TC1'!$B16="HANGUP"</xm:f>
            <x14:dxf>
              <font>
                <b/>
                <i val="0"/>
              </font>
            </x14:dxf>
          </x14:cfRule>
          <xm:sqref>C34:C43</xm:sqref>
        </x14:conditionalFormatting>
        <x14:conditionalFormatting xmlns:xm="http://schemas.microsoft.com/office/excel/2006/main">
          <x14:cfRule type="expression" priority="2557" id="{32A63D3C-B78F-408D-AC21-1B592A4295D8}">
            <xm:f>'TC1'!#REF!="Dial"</xm:f>
            <x14:dxf>
              <font>
                <b/>
                <i val="0"/>
                <color rgb="FFFF0000"/>
              </font>
            </x14:dxf>
          </x14:cfRule>
          <x14:cfRule type="expression" priority="2558" id="{0817B874-1A97-4892-892A-E57F7D8F2B6E}">
            <xm:f>'TC1'!#REF!="HANGUP"</xm:f>
            <x14:dxf>
              <font>
                <b/>
                <i val="0"/>
              </font>
            </x14:dxf>
          </x14:cfRule>
          <xm:sqref>C17:C33</xm:sqref>
        </x14:conditionalFormatting>
        <x14:conditionalFormatting xmlns:xm="http://schemas.microsoft.com/office/excel/2006/main">
          <x14:cfRule type="expression" priority="5226" id="{02398220-856A-47EC-9EC3-7FA1B522A1E7}">
            <xm:f>'TC1'!$B9="Speak"</xm:f>
            <x14:dxf>
              <font>
                <b/>
                <i val="0"/>
                <color rgb="FFFF0000"/>
              </font>
            </x14:dxf>
          </x14:cfRule>
          <xm:sqref>C12:C15</xm:sqref>
        </x14:conditionalFormatting>
        <x14:conditionalFormatting xmlns:xm="http://schemas.microsoft.com/office/excel/2006/main">
          <x14:cfRule type="expression" priority="5227" id="{02398220-856A-47EC-9EC3-7FA1B522A1E7}">
            <xm:f>'TC1'!#REF!="Speak"</xm:f>
            <x14:dxf>
              <font>
                <b/>
                <i val="0"/>
                <color rgb="FFFF0000"/>
              </font>
            </x14:dxf>
          </x14:cfRule>
          <xm:sqref>C9:C11</xm:sqref>
        </x14:conditionalFormatting>
        <x14:conditionalFormatting xmlns:xm="http://schemas.microsoft.com/office/excel/2006/main">
          <x14:cfRule type="containsText" priority="5229" operator="containsText" text="WEB SERVICE" id="{4898F2A0-8CEB-4610-B9B9-8E289DA1DBA3}">
            <xm:f>NOT(ISERROR(SEARCH("WEB SERVICE",'TC1'!#REF!)))</xm:f>
            <x14:dxf>
              <font>
                <color rgb="FF9C0006"/>
              </font>
              <fill>
                <patternFill>
                  <bgColor rgb="FFFFC7CE"/>
                </patternFill>
              </fill>
            </x14:dxf>
          </x14:cfRule>
          <x14:cfRule type="containsText" priority="5230" operator="containsText" text="DB" id="{51C6B4E3-FD48-456C-A20E-BE6F6DB88138}">
            <xm:f>NOT(ISERROR(SEARCH("DB",'TC1'!#REF!)))</xm:f>
            <x14:dxf>
              <font>
                <color rgb="FF006100"/>
              </font>
              <fill>
                <patternFill>
                  <bgColor rgb="FFC6EFCE"/>
                </patternFill>
              </fill>
            </x14:dxf>
          </x14:cfRule>
          <xm:sqref>E9:E11</xm:sqref>
        </x14:conditionalFormatting>
        <x14:conditionalFormatting xmlns:xm="http://schemas.microsoft.com/office/excel/2006/main">
          <x14:cfRule type="containsText" priority="5231" operator="containsText" text="WEB SERVICE" id="{4898F2A0-8CEB-4610-B9B9-8E289DA1DBA3}">
            <xm:f>NOT(ISERROR(SEARCH("WEB SERVICE",'TC1'!E9)))</xm:f>
            <x14:dxf>
              <font>
                <color rgb="FF9C0006"/>
              </font>
              <fill>
                <patternFill>
                  <bgColor rgb="FFFFC7CE"/>
                </patternFill>
              </fill>
            </x14:dxf>
          </x14:cfRule>
          <x14:cfRule type="containsText" priority="5232" operator="containsText" text="DB" id="{51C6B4E3-FD48-456C-A20E-BE6F6DB88138}">
            <xm:f>NOT(ISERROR(SEARCH("DB",'TC1'!E9)))</xm:f>
            <x14:dxf>
              <font>
                <color rgb="FF006100"/>
              </font>
              <fill>
                <patternFill>
                  <bgColor rgb="FFC6EFCE"/>
                </patternFill>
              </fill>
            </x14:dxf>
          </x14:cfRule>
          <xm:sqref>E12:E15</xm:sqref>
        </x14:conditionalFormatting>
        <x14:conditionalFormatting xmlns:xm="http://schemas.microsoft.com/office/excel/2006/main">
          <x14:cfRule type="expression" priority="5237" id="{32A63D3C-B78F-408D-AC21-1B592A4295D8}">
            <xm:f>'TC1'!$B9="Dial"</xm:f>
            <x14:dxf>
              <font>
                <b/>
                <i val="0"/>
                <color rgb="FFFF0000"/>
              </font>
            </x14:dxf>
          </x14:cfRule>
          <x14:cfRule type="expression" priority="5238" id="{0817B874-1A97-4892-892A-E57F7D8F2B6E}">
            <xm:f>'TC1'!$B9="HANGUP"</xm:f>
            <x14:dxf>
              <font>
                <b/>
                <i val="0"/>
              </font>
            </x14:dxf>
          </x14:cfRule>
          <xm:sqref>C12:C15</xm:sqref>
        </x14:conditionalFormatting>
        <x14:conditionalFormatting xmlns:xm="http://schemas.microsoft.com/office/excel/2006/main">
          <x14:cfRule type="expression" priority="5239" id="{32A63D3C-B78F-408D-AC21-1B592A4295D8}">
            <xm:f>'TC1'!#REF!="Dial"</xm:f>
            <x14:dxf>
              <font>
                <b/>
                <i val="0"/>
                <color rgb="FFFF0000"/>
              </font>
            </x14:dxf>
          </x14:cfRule>
          <x14:cfRule type="expression" priority="5240" id="{0817B874-1A97-4892-892A-E57F7D8F2B6E}">
            <xm:f>'TC1'!#REF!="HANGUP"</xm:f>
            <x14:dxf>
              <font>
                <b/>
                <i val="0"/>
              </font>
            </x14:dxf>
          </x14:cfRule>
          <xm:sqref>C9:C11</xm:sqref>
        </x14:conditionalFormatting>
        <x14:conditionalFormatting xmlns:xm="http://schemas.microsoft.com/office/excel/2006/main">
          <x14:cfRule type="expression" priority="7534" id="{02398220-856A-47EC-9EC3-7FA1B522A1E7}">
            <xm:f>'TC1'!$B15="Speak"</xm:f>
            <x14:dxf>
              <font>
                <b/>
                <i val="0"/>
                <color rgb="FFFF0000"/>
              </font>
            </x14:dxf>
          </x14:cfRule>
          <xm:sqref>C16</xm:sqref>
        </x14:conditionalFormatting>
        <x14:conditionalFormatting xmlns:xm="http://schemas.microsoft.com/office/excel/2006/main">
          <x14:cfRule type="containsText" priority="7537" operator="containsText" text="WEB SERVICE" id="{4898F2A0-8CEB-4610-B9B9-8E289DA1DBA3}">
            <xm:f>NOT(ISERROR(SEARCH("WEB SERVICE",'TC1'!E15)))</xm:f>
            <x14:dxf>
              <font>
                <color rgb="FF9C0006"/>
              </font>
              <fill>
                <patternFill>
                  <bgColor rgb="FFFFC7CE"/>
                </patternFill>
              </fill>
            </x14:dxf>
          </x14:cfRule>
          <x14:cfRule type="containsText" priority="7538" operator="containsText" text="DB" id="{51C6B4E3-FD48-456C-A20E-BE6F6DB88138}">
            <xm:f>NOT(ISERROR(SEARCH("DB",'TC1'!E15)))</xm:f>
            <x14:dxf>
              <font>
                <color rgb="FF006100"/>
              </font>
              <fill>
                <patternFill>
                  <bgColor rgb="FFC6EFCE"/>
                </patternFill>
              </fill>
            </x14:dxf>
          </x14:cfRule>
          <xm:sqref>E16</xm:sqref>
        </x14:conditionalFormatting>
        <x14:conditionalFormatting xmlns:xm="http://schemas.microsoft.com/office/excel/2006/main">
          <x14:cfRule type="expression" priority="7541" id="{32A63D3C-B78F-408D-AC21-1B592A4295D8}">
            <xm:f>'TC1'!$B15="Dial"</xm:f>
            <x14:dxf>
              <font>
                <b/>
                <i val="0"/>
                <color rgb="FFFF0000"/>
              </font>
            </x14:dxf>
          </x14:cfRule>
          <x14:cfRule type="expression" priority="7542" id="{0817B874-1A97-4892-892A-E57F7D8F2B6E}">
            <xm:f>'TC1'!$B15="HANGUP"</xm:f>
            <x14:dxf>
              <font>
                <b/>
                <i val="0"/>
              </font>
            </x14:dxf>
          </x14:cfRule>
          <xm:sqref>C16</xm:sqref>
        </x14:conditionalFormatting>
        <x14:conditionalFormatting xmlns:xm="http://schemas.microsoft.com/office/excel/2006/main">
          <x14:cfRule type="containsText" priority="10112" operator="containsText" text="Hear" id="{8CCDD49E-3F8D-47A4-BB44-3025DAF971A0}">
            <xm:f>NOT(ISERROR(SEARCH("Hear",'TC26'!#REF!)))</xm:f>
            <x14:dxf>
              <font>
                <color theme="9" tint="-0.24994659260841701"/>
              </font>
              <fill>
                <patternFill>
                  <bgColor theme="9" tint="0.59996337778862885"/>
                </patternFill>
              </fill>
            </x14:dxf>
          </x14:cfRule>
          <xm:sqref>B39</xm:sqref>
        </x14:conditionalFormatting>
      </x14:conditionalFormattings>
    </ext>
  </extLst>
</worksheet>
</file>

<file path=xl/worksheets/sheet1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300-000000000000}">
  <sheetPr codeName="Sheet117"/>
  <dimension ref="A1:E44"/>
  <sheetViews>
    <sheetView zoomScaleNormal="100" workbookViewId="0">
      <selection sqref="A1:E44"/>
    </sheetView>
  </sheetViews>
  <sheetFormatPr defaultRowHeight="14.5" x14ac:dyDescent="0.35"/>
  <cols>
    <col min="1" max="1" width="14.453125" bestFit="1" customWidth="1"/>
    <col min="2" max="2" width="42.6328125" customWidth="1"/>
    <col min="3" max="3" width="106.1796875" customWidth="1"/>
    <col min="4" max="4" width="21.81640625" bestFit="1" customWidth="1"/>
    <col min="5" max="5" width="20.6328125" customWidth="1"/>
  </cols>
  <sheetData>
    <row r="1" spans="1:5" ht="18.5" x14ac:dyDescent="0.35">
      <c r="A1" s="192" t="s">
        <v>4</v>
      </c>
      <c r="B1" s="192"/>
      <c r="C1" s="105"/>
      <c r="D1" s="111"/>
      <c r="E1" s="97"/>
    </row>
    <row r="2" spans="1:5" x14ac:dyDescent="0.35">
      <c r="A2" s="106" t="s">
        <v>5</v>
      </c>
      <c r="B2" s="107" t="str">
        <f ca="1">MID(CELL("filename",A1),FIND("]",CELL("filename",A1))+1,LEN(CELL("filename",A1))-FIND("]",CELL("filename",A1)))</f>
        <v>TC115</v>
      </c>
      <c r="C2" s="98"/>
      <c r="D2" s="111"/>
      <c r="E2" s="97"/>
    </row>
    <row r="3" spans="1:5" x14ac:dyDescent="0.35">
      <c r="A3" s="104" t="s">
        <v>19</v>
      </c>
      <c r="B3" s="112">
        <f ca="1">VLOOKUP(B2,Table53[#All],2,FALSE)</f>
        <v>0</v>
      </c>
      <c r="C3" s="98"/>
      <c r="D3" s="111"/>
      <c r="E3" s="97"/>
    </row>
    <row r="4" spans="1:5" ht="29" x14ac:dyDescent="0.35">
      <c r="A4" s="113" t="s">
        <v>20</v>
      </c>
      <c r="B4" s="99">
        <f ca="1">VLOOKUP(B2,Table53[#All],4,FALSE)</f>
        <v>0</v>
      </c>
      <c r="C4" s="98"/>
      <c r="D4" s="111"/>
      <c r="E4" s="97"/>
    </row>
    <row r="5" spans="1:5" x14ac:dyDescent="0.35">
      <c r="A5" s="104" t="s">
        <v>6</v>
      </c>
      <c r="B5" s="77">
        <f ca="1">VLOOKUP(B2,Table53[#All],3,FALSE)</f>
        <v>0</v>
      </c>
      <c r="C5" s="98"/>
      <c r="D5" s="111"/>
      <c r="E5" s="97"/>
    </row>
    <row r="6" spans="1:5" x14ac:dyDescent="0.35">
      <c r="A6" s="97"/>
      <c r="B6" s="97"/>
      <c r="C6" s="98"/>
      <c r="D6" s="111"/>
      <c r="E6" s="97"/>
    </row>
    <row r="7" spans="1:5" ht="15.5" x14ac:dyDescent="0.35">
      <c r="A7" s="100" t="s">
        <v>7</v>
      </c>
      <c r="B7" s="101" t="s">
        <v>8</v>
      </c>
      <c r="C7" s="102" t="s">
        <v>9</v>
      </c>
      <c r="D7" s="102" t="s">
        <v>14</v>
      </c>
      <c r="E7" s="103" t="s">
        <v>10</v>
      </c>
    </row>
    <row r="8" spans="1:5" x14ac:dyDescent="0.35">
      <c r="A8" s="118">
        <v>1</v>
      </c>
      <c r="B8" s="114" t="s">
        <v>114</v>
      </c>
      <c r="C8" s="109" t="s">
        <v>125</v>
      </c>
      <c r="D8" s="128"/>
      <c r="E8" s="125" t="s">
        <v>11</v>
      </c>
    </row>
    <row r="9" spans="1:5" x14ac:dyDescent="0.35">
      <c r="A9" s="118">
        <v>2</v>
      </c>
      <c r="B9" s="114" t="s">
        <v>12</v>
      </c>
      <c r="C9" s="109" t="e">
        <f>VLOOKUP(Table257519913140106110130[[#This Row],[PEG]],Table1016[#All],2,FALSE)</f>
        <v>#N/A</v>
      </c>
      <c r="D9" s="128"/>
      <c r="E9" s="125" t="e">
        <f>VLOOKUP(Table257519913140106110130[[#This Row],[PEG]],Table1016[#All],3,FALSE)</f>
        <v>#N/A</v>
      </c>
    </row>
    <row r="10" spans="1:5" x14ac:dyDescent="0.35">
      <c r="A10" s="118">
        <v>3</v>
      </c>
      <c r="B10" s="114" t="s">
        <v>115</v>
      </c>
      <c r="C10" s="109" t="e">
        <f>VLOOKUP(Table257519913140106110130[[#This Row],[PEG]],Table1016[#All],2,FALSE)</f>
        <v>#N/A</v>
      </c>
      <c r="D10" s="128"/>
      <c r="E10" s="125" t="e">
        <f>VLOOKUP(Table257519913140106110130[[#This Row],[PEG]],Table1016[#All],3,FALSE)</f>
        <v>#N/A</v>
      </c>
    </row>
    <row r="11" spans="1:5" x14ac:dyDescent="0.35">
      <c r="A11" s="118">
        <v>4</v>
      </c>
      <c r="B11" s="114" t="s">
        <v>115</v>
      </c>
      <c r="C11" s="109" t="e">
        <f>VLOOKUP(Table257519913140106110130[[#This Row],[PEG]],Table1016[#All],2,FALSE)</f>
        <v>#N/A</v>
      </c>
      <c r="D11" s="128"/>
      <c r="E11" s="125" t="e">
        <f>VLOOKUP(Table257519913140106110130[[#This Row],[PEG]],Table1016[#All],3,FALSE)</f>
        <v>#N/A</v>
      </c>
    </row>
    <row r="12" spans="1:5" x14ac:dyDescent="0.35">
      <c r="A12" s="118">
        <v>5</v>
      </c>
      <c r="B12" s="114" t="s">
        <v>114</v>
      </c>
      <c r="C12" s="109" t="e">
        <f>VLOOKUP(Table257519913140106110130[[#This Row],[PEG]],Table1016[#All],2,FALSE)</f>
        <v>#N/A</v>
      </c>
      <c r="D12" s="128"/>
      <c r="E12" s="125" t="e">
        <f>VLOOKUP(Table257519913140106110130[[#This Row],[PEG]],Table1016[#All],3,FALSE)</f>
        <v>#N/A</v>
      </c>
    </row>
    <row r="13" spans="1:5" x14ac:dyDescent="0.35">
      <c r="A13" s="118">
        <v>6</v>
      </c>
      <c r="B13" s="114" t="s">
        <v>115</v>
      </c>
      <c r="C13" s="109" t="e">
        <f>VLOOKUP(Table257519913140106110130[[#This Row],[PEG]],Table1016[#All],2,FALSE)</f>
        <v>#N/A</v>
      </c>
      <c r="D13" s="128"/>
      <c r="E13" s="125" t="e">
        <f>VLOOKUP(Table257519913140106110130[[#This Row],[PEG]],Table1016[#All],3,FALSE)</f>
        <v>#N/A</v>
      </c>
    </row>
    <row r="14" spans="1:5" x14ac:dyDescent="0.35">
      <c r="A14" s="118">
        <v>7</v>
      </c>
      <c r="B14" s="114" t="s">
        <v>114</v>
      </c>
      <c r="C14" s="109" t="e">
        <f>VLOOKUP(Table257519913140106110130[[#This Row],[PEG]],Table1016[#All],2,FALSE)</f>
        <v>#N/A</v>
      </c>
      <c r="D14" s="128"/>
      <c r="E14" s="125" t="e">
        <f>VLOOKUP(Table257519913140106110130[[#This Row],[PEG]],Table1016[#All],3,FALSE)</f>
        <v>#N/A</v>
      </c>
    </row>
    <row r="15" spans="1:5" x14ac:dyDescent="0.35">
      <c r="A15" s="118">
        <v>8</v>
      </c>
      <c r="B15" s="114" t="s">
        <v>115</v>
      </c>
      <c r="C15" s="109" t="e">
        <f>VLOOKUP(Table257519913140106110130[[#This Row],[PEG]],Table1016[#All],2,FALSE)</f>
        <v>#N/A</v>
      </c>
      <c r="D15" s="116"/>
      <c r="E15" s="125" t="e">
        <f>VLOOKUP(Table257519913140106110130[[#This Row],[PEG]],Table1016[#All],3,FALSE)</f>
        <v>#N/A</v>
      </c>
    </row>
    <row r="16" spans="1:5" x14ac:dyDescent="0.35">
      <c r="A16" s="118">
        <v>9</v>
      </c>
      <c r="B16" s="114" t="s">
        <v>12</v>
      </c>
      <c r="C16" s="109" t="e">
        <f>VLOOKUP(Table257519913140106110130[[#This Row],[PEG]],Table1016[#All],2,FALSE)</f>
        <v>#N/A</v>
      </c>
      <c r="D16" s="116"/>
      <c r="E16" s="125" t="e">
        <f>VLOOKUP(Table257519913140106110130[[#This Row],[PEG]],Table1016[#All],3,FALSE)</f>
        <v>#N/A</v>
      </c>
    </row>
    <row r="17" spans="1:5" x14ac:dyDescent="0.35">
      <c r="A17" s="118">
        <v>10</v>
      </c>
      <c r="B17" s="114" t="s">
        <v>12</v>
      </c>
      <c r="C17" s="109" t="e">
        <f>VLOOKUP(Table257519913140106110130[[#This Row],[PEG]],Table1016[#All],2,FALSE)</f>
        <v>#N/A</v>
      </c>
      <c r="D17" s="117"/>
      <c r="E17" s="125" t="e">
        <f>VLOOKUP(Table257519913140106110130[[#This Row],[PEG]],Table1016[#All],3,FALSE)</f>
        <v>#N/A</v>
      </c>
    </row>
    <row r="18" spans="1:5" x14ac:dyDescent="0.35">
      <c r="A18" s="118">
        <v>11</v>
      </c>
      <c r="B18" s="114" t="s">
        <v>115</v>
      </c>
      <c r="C18" s="109" t="e">
        <f>VLOOKUP(Table257519913140106110130[[#This Row],[PEG]],Table1016[#All],2,FALSE)</f>
        <v>#N/A</v>
      </c>
      <c r="D18" s="117"/>
      <c r="E18" s="125" t="e">
        <f>VLOOKUP(Table257519913140106110130[[#This Row],[PEG]],Table1016[#All],3,FALSE)</f>
        <v>#N/A</v>
      </c>
    </row>
    <row r="19" spans="1:5" x14ac:dyDescent="0.35">
      <c r="A19" s="118">
        <v>12</v>
      </c>
      <c r="B19" s="114" t="s">
        <v>115</v>
      </c>
      <c r="C19" s="109" t="e">
        <f>VLOOKUP(Table257519913140106110130[[#This Row],[PEG]],Table1016[#All],2,FALSE)</f>
        <v>#N/A</v>
      </c>
      <c r="D19" s="117"/>
      <c r="E19" s="125" t="e">
        <f>VLOOKUP(Table257519913140106110130[[#This Row],[PEG]],Table1016[#All],3,FALSE)</f>
        <v>#N/A</v>
      </c>
    </row>
    <row r="20" spans="1:5" x14ac:dyDescent="0.35">
      <c r="A20" s="118">
        <v>13</v>
      </c>
      <c r="B20" s="114" t="s">
        <v>114</v>
      </c>
      <c r="C20" s="109" t="e">
        <f>VLOOKUP(Table257519913140106110130[[#This Row],[PEG]],Table1016[#All],2,FALSE)</f>
        <v>#N/A</v>
      </c>
      <c r="D20" s="117"/>
      <c r="E20" s="125" t="e">
        <f>VLOOKUP(Table257519913140106110130[[#This Row],[PEG]],Table1016[#All],3,FALSE)</f>
        <v>#N/A</v>
      </c>
    </row>
    <row r="21" spans="1:5" x14ac:dyDescent="0.35">
      <c r="A21" s="118">
        <v>14</v>
      </c>
      <c r="B21" s="114" t="s">
        <v>12</v>
      </c>
      <c r="C21" s="109" t="e">
        <f>VLOOKUP(Table257519913140106110130[[#This Row],[PEG]],Table1016[#All],2,FALSE)</f>
        <v>#N/A</v>
      </c>
      <c r="D21" s="117"/>
      <c r="E21" s="125" t="e">
        <f>VLOOKUP(Table257519913140106110130[[#This Row],[PEG]],Table1016[#All],3,FALSE)</f>
        <v>#N/A</v>
      </c>
    </row>
    <row r="22" spans="1:5" x14ac:dyDescent="0.35">
      <c r="A22" s="118">
        <v>15</v>
      </c>
      <c r="B22" s="114" t="s">
        <v>12</v>
      </c>
      <c r="C22" s="109" t="e">
        <f>VLOOKUP(Table257519913140106110130[[#This Row],[PEG]],Table1016[#All],2,FALSE)</f>
        <v>#N/A</v>
      </c>
      <c r="D22" s="117"/>
      <c r="E22" s="125" t="e">
        <f>VLOOKUP(Table257519913140106110130[[#This Row],[PEG]],Table1016[#All],3,FALSE)</f>
        <v>#N/A</v>
      </c>
    </row>
    <row r="23" spans="1:5" x14ac:dyDescent="0.35">
      <c r="A23" s="118">
        <v>16</v>
      </c>
      <c r="B23" s="114" t="s">
        <v>115</v>
      </c>
      <c r="C23" s="109" t="e">
        <f>VLOOKUP(Table257519913140106110130[[#This Row],[PEG]],Table1016[#All],2,FALSE)</f>
        <v>#N/A</v>
      </c>
      <c r="D23" s="117"/>
      <c r="E23" s="125" t="e">
        <f>VLOOKUP(Table257519913140106110130[[#This Row],[PEG]],Table1016[#All],3,FALSE)</f>
        <v>#N/A</v>
      </c>
    </row>
    <row r="24" spans="1:5" x14ac:dyDescent="0.35">
      <c r="A24" s="118">
        <v>17</v>
      </c>
      <c r="B24" s="114" t="s">
        <v>114</v>
      </c>
      <c r="C24" s="109" t="e">
        <f>VLOOKUP(Table257519913140106110130[[#This Row],[PEG]],Table1016[#All],2,FALSE)</f>
        <v>#N/A</v>
      </c>
      <c r="D24" s="117"/>
      <c r="E24" s="125" t="e">
        <f>VLOOKUP(Table257519913140106110130[[#This Row],[PEG]],Table1016[#All],3,FALSE)</f>
        <v>#N/A</v>
      </c>
    </row>
    <row r="25" spans="1:5" x14ac:dyDescent="0.35">
      <c r="A25" s="118">
        <v>18</v>
      </c>
      <c r="B25" s="114" t="s">
        <v>12</v>
      </c>
      <c r="C25" s="109" t="e">
        <f>VLOOKUP(Table257519913140106110130[[#This Row],[PEG]],Table1016[#All],2,FALSE)</f>
        <v>#N/A</v>
      </c>
      <c r="D25" s="117"/>
      <c r="E25" s="125" t="e">
        <f>VLOOKUP(Table257519913140106110130[[#This Row],[PEG]],Table1016[#All],3,FALSE)</f>
        <v>#N/A</v>
      </c>
    </row>
    <row r="26" spans="1:5" x14ac:dyDescent="0.35">
      <c r="A26" s="118">
        <v>19</v>
      </c>
      <c r="B26" s="114" t="s">
        <v>12</v>
      </c>
      <c r="C26" s="109" t="e">
        <f>VLOOKUP(Table257519913140106110130[[#This Row],[PEG]],Table1016[#All],2,FALSE)</f>
        <v>#N/A</v>
      </c>
      <c r="D26" s="117"/>
      <c r="E26" s="125" t="e">
        <f>VLOOKUP(Table257519913140106110130[[#This Row],[PEG]],Table1016[#All],3,FALSE)</f>
        <v>#N/A</v>
      </c>
    </row>
    <row r="27" spans="1:5" x14ac:dyDescent="0.35">
      <c r="A27" s="118">
        <v>20</v>
      </c>
      <c r="B27" s="114" t="s">
        <v>115</v>
      </c>
      <c r="C27" s="109" t="e">
        <f>VLOOKUP(Table257519913140106110130[[#This Row],[PEG]],Table1016[#All],2,FALSE)</f>
        <v>#N/A</v>
      </c>
      <c r="D27" s="117"/>
      <c r="E27" s="125" t="e">
        <f>VLOOKUP(Table257519913140106110130[[#This Row],[PEG]],Table1016[#All],3,FALSE)</f>
        <v>#N/A</v>
      </c>
    </row>
    <row r="28" spans="1:5" x14ac:dyDescent="0.35">
      <c r="A28" s="118">
        <v>21</v>
      </c>
      <c r="B28" s="114" t="s">
        <v>114</v>
      </c>
      <c r="C28" s="109" t="e">
        <f>VLOOKUP(Table257519913140106110130[[#This Row],[PEG]],Table1016[#All],2,FALSE)</f>
        <v>#N/A</v>
      </c>
      <c r="D28" s="117"/>
      <c r="E28" s="125" t="e">
        <f>VLOOKUP(Table257519913140106110130[[#This Row],[PEG]],Table1016[#All],3,FALSE)</f>
        <v>#N/A</v>
      </c>
    </row>
    <row r="29" spans="1:5" x14ac:dyDescent="0.35">
      <c r="A29" s="118">
        <v>22</v>
      </c>
      <c r="B29" s="114" t="s">
        <v>12</v>
      </c>
      <c r="C29" s="109" t="e">
        <f>VLOOKUP(Table257519913140106110130[[#This Row],[PEG]],Table1016[#All],2,FALSE)</f>
        <v>#N/A</v>
      </c>
      <c r="D29" s="117"/>
      <c r="E29" s="125" t="e">
        <f>VLOOKUP(Table257519913140106110130[[#This Row],[PEG]],Table1016[#All],3,FALSE)</f>
        <v>#N/A</v>
      </c>
    </row>
    <row r="30" spans="1:5" x14ac:dyDescent="0.35">
      <c r="A30" s="118">
        <v>23</v>
      </c>
      <c r="B30" s="114" t="s">
        <v>12</v>
      </c>
      <c r="C30" s="109" t="e">
        <f>VLOOKUP(Table257519913140106110130[[#This Row],[PEG]],Table1016[#All],2,FALSE)</f>
        <v>#N/A</v>
      </c>
      <c r="D30" s="117"/>
      <c r="E30" s="125" t="e">
        <f>VLOOKUP(Table257519913140106110130[[#This Row],[PEG]],Table1016[#All],3,FALSE)</f>
        <v>#N/A</v>
      </c>
    </row>
    <row r="31" spans="1:5" x14ac:dyDescent="0.35">
      <c r="A31" s="118">
        <v>24</v>
      </c>
      <c r="B31" s="114" t="s">
        <v>115</v>
      </c>
      <c r="C31" s="109" t="e">
        <f>VLOOKUP(Table257519913140106110130[[#This Row],[PEG]],Table1016[#All],2,FALSE)</f>
        <v>#N/A</v>
      </c>
      <c r="D31" s="117"/>
      <c r="E31" s="125" t="e">
        <f>VLOOKUP(Table257519913140106110130[[#This Row],[PEG]],Table1016[#All],3,FALSE)</f>
        <v>#N/A</v>
      </c>
    </row>
    <row r="32" spans="1:5" x14ac:dyDescent="0.35">
      <c r="A32" s="118">
        <v>25</v>
      </c>
      <c r="B32" s="114" t="s">
        <v>115</v>
      </c>
      <c r="C32" s="109" t="e">
        <f>VLOOKUP(Table257519913140106110130[[#This Row],[PEG]],Table1016[#All],2,FALSE)</f>
        <v>#N/A</v>
      </c>
      <c r="D32" s="117"/>
      <c r="E32" s="125" t="e">
        <f>VLOOKUP(Table257519913140106110130[[#This Row],[PEG]],Table1016[#All],3,FALSE)</f>
        <v>#N/A</v>
      </c>
    </row>
    <row r="33" spans="1:5" x14ac:dyDescent="0.35">
      <c r="A33" s="118">
        <v>26</v>
      </c>
      <c r="B33" s="114" t="s">
        <v>124</v>
      </c>
      <c r="C33" s="109" t="e">
        <f>VLOOKUP(Table257519913140106110130[[#This Row],[PEG]],Table1016[#All],2,FALSE)</f>
        <v>#N/A</v>
      </c>
      <c r="D33" s="117"/>
      <c r="E33" s="125" t="e">
        <f>VLOOKUP(Table257519913140106110130[[#This Row],[PEG]],Table1016[#All],3,FALSE)</f>
        <v>#N/A</v>
      </c>
    </row>
    <row r="34" spans="1:5" x14ac:dyDescent="0.35">
      <c r="A34" s="118">
        <v>27</v>
      </c>
      <c r="B34" s="114" t="s">
        <v>115</v>
      </c>
      <c r="C34" s="109" t="e">
        <f>VLOOKUP(Table257519913140106110130[[#This Row],[PEG]],Table1016[#All],2,FALSE)</f>
        <v>#N/A</v>
      </c>
      <c r="D34" s="117"/>
      <c r="E34" s="125" t="e">
        <f>VLOOKUP(Table257519913140106110130[[#This Row],[PEG]],Table1016[#All],3,FALSE)</f>
        <v>#N/A</v>
      </c>
    </row>
    <row r="35" spans="1:5" x14ac:dyDescent="0.35">
      <c r="A35" s="118">
        <v>28</v>
      </c>
      <c r="B35" s="114" t="s">
        <v>124</v>
      </c>
      <c r="C35" s="109" t="e">
        <f>VLOOKUP(Table257519913140106110130[[#This Row],[PEG]],Table1016[#All],2,FALSE)</f>
        <v>#N/A</v>
      </c>
      <c r="D35" s="117"/>
      <c r="E35" s="125" t="e">
        <f>VLOOKUP(Table257519913140106110130[[#This Row],[PEG]],Table1016[#All],3,FALSE)</f>
        <v>#N/A</v>
      </c>
    </row>
    <row r="36" spans="1:5" x14ac:dyDescent="0.35">
      <c r="A36" s="118">
        <v>29</v>
      </c>
      <c r="B36" s="114" t="s">
        <v>115</v>
      </c>
      <c r="C36" s="109" t="e">
        <f>VLOOKUP(Table257519913140106110130[[#This Row],[PEG]],Table1016[#All],2,FALSE)</f>
        <v>#N/A</v>
      </c>
      <c r="D36" s="117"/>
      <c r="E36" s="125" t="e">
        <f>VLOOKUP(Table257519913140106110130[[#This Row],[PEG]],Table1016[#All],3,FALSE)</f>
        <v>#N/A</v>
      </c>
    </row>
    <row r="37" spans="1:5" x14ac:dyDescent="0.35">
      <c r="A37" s="118">
        <v>30</v>
      </c>
      <c r="B37" s="114" t="s">
        <v>12</v>
      </c>
      <c r="C37" s="109" t="e">
        <f>VLOOKUP(Table257519913140106110130[[#This Row],[PEG]],Table1016[#All],2,FALSE)</f>
        <v>#N/A</v>
      </c>
      <c r="D37" s="117"/>
      <c r="E37" s="125" t="e">
        <f>VLOOKUP(Table257519913140106110130[[#This Row],[PEG]],Table1016[#All],3,FALSE)</f>
        <v>#N/A</v>
      </c>
    </row>
    <row r="38" spans="1:5" x14ac:dyDescent="0.35">
      <c r="A38" s="118">
        <v>31</v>
      </c>
      <c r="B38" s="114" t="s">
        <v>12</v>
      </c>
      <c r="C38" s="109" t="e">
        <f>VLOOKUP(Table257519913140106110130[[#This Row],[PEG]],Table1016[#All],2,FALSE)</f>
        <v>#N/A</v>
      </c>
      <c r="D38" s="117"/>
      <c r="E38" s="125" t="e">
        <f>VLOOKUP(Table257519913140106110130[[#This Row],[PEG]],Table1016[#All],3,FALSE)</f>
        <v>#N/A</v>
      </c>
    </row>
    <row r="39" spans="1:5" x14ac:dyDescent="0.35">
      <c r="A39" s="118">
        <v>32</v>
      </c>
      <c r="B39" s="114" t="s">
        <v>12</v>
      </c>
      <c r="C39" s="109" t="e">
        <f>VLOOKUP(Table257519913140106110130[[#This Row],[PEG]],Table1016[#All],2,FALSE)</f>
        <v>#N/A</v>
      </c>
      <c r="D39" s="117"/>
      <c r="E39" s="125" t="e">
        <f>VLOOKUP(Table257519913140106110130[[#This Row],[PEG]],Table1016[#All],3,FALSE)</f>
        <v>#N/A</v>
      </c>
    </row>
    <row r="40" spans="1:5" x14ac:dyDescent="0.35">
      <c r="A40" s="118">
        <v>33</v>
      </c>
      <c r="B40" s="114" t="s">
        <v>12</v>
      </c>
      <c r="C40" s="109" t="e">
        <f>VLOOKUP(Table257519913140106110130[[#This Row],[PEG]],Table1016[#All],2,FALSE)</f>
        <v>#N/A</v>
      </c>
      <c r="D40" s="117"/>
      <c r="E40" s="125" t="e">
        <f>VLOOKUP(Table257519913140106110130[[#This Row],[PEG]],Table1016[#All],3,FALSE)</f>
        <v>#N/A</v>
      </c>
    </row>
    <row r="41" spans="1:5" x14ac:dyDescent="0.35">
      <c r="A41" s="118">
        <v>34</v>
      </c>
      <c r="B41" s="114" t="s">
        <v>115</v>
      </c>
      <c r="C41" s="109" t="e">
        <f>VLOOKUP(Table257519913140106110130[[#This Row],[PEG]],Table1016[#All],2,FALSE)</f>
        <v>#N/A</v>
      </c>
      <c r="D41" s="117"/>
      <c r="E41" s="125" t="e">
        <f>VLOOKUP(Table257519913140106110130[[#This Row],[PEG]],Table1016[#All],3,FALSE)</f>
        <v>#N/A</v>
      </c>
    </row>
    <row r="42" spans="1:5" x14ac:dyDescent="0.35">
      <c r="A42" s="118">
        <v>35</v>
      </c>
      <c r="B42" s="114" t="s">
        <v>12</v>
      </c>
      <c r="C42" s="109" t="e">
        <f>VLOOKUP(Table257519913140106110130[[#This Row],[PEG]],Table1016[#All],2,FALSE)</f>
        <v>#N/A</v>
      </c>
      <c r="D42" s="115"/>
      <c r="E42" s="125" t="e">
        <f>VLOOKUP(Table257519913140106110130[[#This Row],[PEG]],Table1016[#All],3,FALSE)</f>
        <v>#N/A</v>
      </c>
    </row>
    <row r="43" spans="1:5" x14ac:dyDescent="0.35">
      <c r="A43" s="118">
        <v>36</v>
      </c>
      <c r="B43" s="114" t="s">
        <v>115</v>
      </c>
      <c r="C43" s="109" t="e">
        <f>VLOOKUP(Table257519913140106110130[[#This Row],[PEG]],Table1016[#All],2,FALSE)</f>
        <v>#N/A</v>
      </c>
      <c r="D43" s="115"/>
      <c r="E43" s="125" t="e">
        <f>VLOOKUP(Table257519913140106110130[[#This Row],[PEG]],Table1016[#All],3,FALSE)</f>
        <v>#N/A</v>
      </c>
    </row>
    <row r="44" spans="1:5" x14ac:dyDescent="0.35">
      <c r="A44" s="118">
        <v>37</v>
      </c>
      <c r="B44" s="114" t="s">
        <v>13</v>
      </c>
      <c r="C44" s="18" t="s">
        <v>13</v>
      </c>
      <c r="D44" s="115"/>
      <c r="E44" s="32"/>
    </row>
  </sheetData>
  <mergeCells count="1">
    <mergeCell ref="A1:B1"/>
  </mergeCells>
  <conditionalFormatting sqref="B8:B18">
    <cfRule type="containsText" dxfId="2193" priority="1" operator="containsText" text="Hear">
      <formula>NOT(ISERROR(SEARCH("Hear",B8)))</formula>
    </cfRule>
  </conditionalFormatting>
  <conditionalFormatting sqref="B30">
    <cfRule type="containsText" dxfId="2192" priority="4" operator="containsText" text="Hear">
      <formula>NOT(ISERROR(SEARCH("Hear",B30)))</formula>
    </cfRule>
  </conditionalFormatting>
  <conditionalFormatting sqref="B43:B44">
    <cfRule type="containsText" dxfId="2191" priority="8" operator="containsText" text="Hear">
      <formula>NOT(ISERROR(SEARCH("Hear",B43)))</formula>
    </cfRule>
  </conditionalFormatting>
  <conditionalFormatting sqref="E44">
    <cfRule type="containsText" dxfId="2190" priority="6" operator="containsText" text="WEB SERVICE">
      <formula>NOT(ISERROR(SEARCH("WEB SERVICE",E44)))</formula>
    </cfRule>
    <cfRule type="containsText" dxfId="2189" priority="7" operator="containsText" text="DB">
      <formula>NOT(ISERROR(SEARCH("DB",E44)))</formula>
    </cfRule>
  </conditionalFormatting>
  <conditionalFormatting sqref="C44">
    <cfRule type="expression" dxfId="2188" priority="9">
      <formula>$B44="Dial"</formula>
    </cfRule>
    <cfRule type="expression" dxfId="2187" priority="11">
      <formula>$B44="HANGUP"</formula>
    </cfRule>
  </conditionalFormatting>
  <conditionalFormatting sqref="C44">
    <cfRule type="expression" dxfId="2186" priority="10">
      <formula>$B44="Speak"</formula>
    </cfRule>
  </conditionalFormatting>
  <conditionalFormatting sqref="B36:B38 B40:B41">
    <cfRule type="containsText" dxfId="2185" priority="3" operator="containsText" text="Hear">
      <formula>NOT(ISERROR(SEARCH("Hear",B36)))</formula>
    </cfRule>
  </conditionalFormatting>
  <conditionalFormatting sqref="B19:B29 B31:B35 B42">
    <cfRule type="containsText" dxfId="2184" priority="5" operator="containsText" text="Hear">
      <formula>NOT(ISERROR(SEARCH("Hear",B19)))</formula>
    </cfRule>
  </conditionalFormatting>
  <hyperlinks>
    <hyperlink ref="A1" location="'Test Case Overview'!A1" display="Return to Test Case Overview" xr:uid="{44006381-A683-41B0-B03F-F16ED091FE17}"/>
  </hyperlinks>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expression" priority="12" id="{EB45EDD6-374C-4802-9F34-13BDE7AB7AA9}">
            <xm:f>'TC1'!$B8="Speak"</xm:f>
            <x14:dxf>
              <font>
                <b/>
                <i val="0"/>
                <color rgb="FFFF0000"/>
              </font>
            </x14:dxf>
          </x14:cfRule>
          <xm:sqref>C8</xm:sqref>
        </x14:conditionalFormatting>
        <x14:conditionalFormatting xmlns:xm="http://schemas.microsoft.com/office/excel/2006/main">
          <x14:cfRule type="containsText" priority="15" operator="containsText" text="Hear" id="{9E190CD8-B7AC-450C-BAAB-D076542FF59D}">
            <xm:f>NOT(ISERROR(SEARCH("Hear",'TC3'!B34)))</xm:f>
            <x14:dxf>
              <font>
                <color theme="9" tint="-0.24994659260841701"/>
              </font>
              <fill>
                <patternFill>
                  <bgColor theme="9" tint="0.59996337778862885"/>
                </patternFill>
              </fill>
            </x14:dxf>
          </x14:cfRule>
          <xm:sqref>B41</xm:sqref>
        </x14:conditionalFormatting>
        <x14:conditionalFormatting xmlns:xm="http://schemas.microsoft.com/office/excel/2006/main">
          <x14:cfRule type="expression" priority="16" id="{99A41ED2-64C8-4EF2-828E-091B907E0017}">
            <xm:f>'TC1'!$B8="Dial"</xm:f>
            <x14:dxf>
              <font>
                <b/>
                <i val="0"/>
                <color rgb="FFFF0000"/>
              </font>
            </x14:dxf>
          </x14:cfRule>
          <x14:cfRule type="expression" priority="16" id="{DB513F5B-7658-4BC3-9574-EC6FEBB82419}">
            <xm:f>'TC1'!$B8="HANGUP"</xm:f>
            <x14:dxf>
              <font>
                <b/>
                <i val="0"/>
              </font>
            </x14:dxf>
          </x14:cfRule>
          <xm:sqref>C8</xm:sqref>
        </x14:conditionalFormatting>
        <x14:conditionalFormatting xmlns:xm="http://schemas.microsoft.com/office/excel/2006/main">
          <x14:cfRule type="expression" priority="2562" id="{EB45EDD6-374C-4802-9F34-13BDE7AB7AA9}">
            <xm:f>'TC1'!$B16="Speak"</xm:f>
            <x14:dxf>
              <font>
                <b/>
                <i val="0"/>
                <color rgb="FFFF0000"/>
              </font>
            </x14:dxf>
          </x14:cfRule>
          <xm:sqref>C34:C43</xm:sqref>
        </x14:conditionalFormatting>
        <x14:conditionalFormatting xmlns:xm="http://schemas.microsoft.com/office/excel/2006/main">
          <x14:cfRule type="expression" priority="2563" id="{EB45EDD6-374C-4802-9F34-13BDE7AB7AA9}">
            <xm:f>'TC1'!#REF!="Speak"</xm:f>
            <x14:dxf>
              <font>
                <b/>
                <i val="0"/>
                <color rgb="FFFF0000"/>
              </font>
            </x14:dxf>
          </x14:cfRule>
          <xm:sqref>C17:C33</xm:sqref>
        </x14:conditionalFormatting>
        <x14:conditionalFormatting xmlns:xm="http://schemas.microsoft.com/office/excel/2006/main">
          <x14:cfRule type="containsText" priority="2567" operator="containsText" text="WEB SERVICE" id="{A8DEE675-1E84-4696-BEA1-7D097B6F16C8}">
            <xm:f>NOT(ISERROR(SEARCH("WEB SERVICE",'TC1'!E16)))</xm:f>
            <x14:dxf>
              <font>
                <color rgb="FF9C0006"/>
              </font>
              <fill>
                <patternFill>
                  <bgColor rgb="FFFFC7CE"/>
                </patternFill>
              </fill>
            </x14:dxf>
          </x14:cfRule>
          <x14:cfRule type="containsText" priority="2568" operator="containsText" text="DB" id="{57899273-9407-42C7-AB25-87913D031207}">
            <xm:f>NOT(ISERROR(SEARCH("DB",'TC1'!E16)))</xm:f>
            <x14:dxf>
              <font>
                <color rgb="FF006100"/>
              </font>
              <fill>
                <patternFill>
                  <bgColor rgb="FFC6EFCE"/>
                </patternFill>
              </fill>
            </x14:dxf>
          </x14:cfRule>
          <xm:sqref>E34:E43</xm:sqref>
        </x14:conditionalFormatting>
        <x14:conditionalFormatting xmlns:xm="http://schemas.microsoft.com/office/excel/2006/main">
          <x14:cfRule type="containsText" priority="2569" operator="containsText" text="WEB SERVICE" id="{A8DEE675-1E84-4696-BEA1-7D097B6F16C8}">
            <xm:f>NOT(ISERROR(SEARCH("WEB SERVICE",'TC1'!#REF!)))</xm:f>
            <x14:dxf>
              <font>
                <color rgb="FF9C0006"/>
              </font>
              <fill>
                <patternFill>
                  <bgColor rgb="FFFFC7CE"/>
                </patternFill>
              </fill>
            </x14:dxf>
          </x14:cfRule>
          <x14:cfRule type="containsText" priority="2570" operator="containsText" text="DB" id="{57899273-9407-42C7-AB25-87913D031207}">
            <xm:f>NOT(ISERROR(SEARCH("DB",'TC1'!#REF!)))</xm:f>
            <x14:dxf>
              <font>
                <color rgb="FF006100"/>
              </font>
              <fill>
                <patternFill>
                  <bgColor rgb="FFC6EFCE"/>
                </patternFill>
              </fill>
            </x14:dxf>
          </x14:cfRule>
          <xm:sqref>E17:E33</xm:sqref>
        </x14:conditionalFormatting>
        <x14:conditionalFormatting xmlns:xm="http://schemas.microsoft.com/office/excel/2006/main">
          <x14:cfRule type="expression" priority="2575" id="{99A41ED2-64C8-4EF2-828E-091B907E0017}">
            <xm:f>'TC1'!$B16="Dial"</xm:f>
            <x14:dxf>
              <font>
                <b/>
                <i val="0"/>
                <color rgb="FFFF0000"/>
              </font>
            </x14:dxf>
          </x14:cfRule>
          <x14:cfRule type="expression" priority="2576" id="{DB513F5B-7658-4BC3-9574-EC6FEBB82419}">
            <xm:f>'TC1'!$B16="HANGUP"</xm:f>
            <x14:dxf>
              <font>
                <b/>
                <i val="0"/>
              </font>
            </x14:dxf>
          </x14:cfRule>
          <xm:sqref>C34:C43</xm:sqref>
        </x14:conditionalFormatting>
        <x14:conditionalFormatting xmlns:xm="http://schemas.microsoft.com/office/excel/2006/main">
          <x14:cfRule type="expression" priority="2577" id="{99A41ED2-64C8-4EF2-828E-091B907E0017}">
            <xm:f>'TC1'!#REF!="Dial"</xm:f>
            <x14:dxf>
              <font>
                <b/>
                <i val="0"/>
                <color rgb="FFFF0000"/>
              </font>
            </x14:dxf>
          </x14:cfRule>
          <x14:cfRule type="expression" priority="2578" id="{DB513F5B-7658-4BC3-9574-EC6FEBB82419}">
            <xm:f>'TC1'!#REF!="HANGUP"</xm:f>
            <x14:dxf>
              <font>
                <b/>
                <i val="0"/>
              </font>
            </x14:dxf>
          </x14:cfRule>
          <xm:sqref>C17:C33</xm:sqref>
        </x14:conditionalFormatting>
        <x14:conditionalFormatting xmlns:xm="http://schemas.microsoft.com/office/excel/2006/main">
          <x14:cfRule type="expression" priority="5244" id="{EB45EDD6-374C-4802-9F34-13BDE7AB7AA9}">
            <xm:f>'TC1'!$B9="Speak"</xm:f>
            <x14:dxf>
              <font>
                <b/>
                <i val="0"/>
                <color rgb="FFFF0000"/>
              </font>
            </x14:dxf>
          </x14:cfRule>
          <xm:sqref>C12:C15</xm:sqref>
        </x14:conditionalFormatting>
        <x14:conditionalFormatting xmlns:xm="http://schemas.microsoft.com/office/excel/2006/main">
          <x14:cfRule type="expression" priority="5245" id="{EB45EDD6-374C-4802-9F34-13BDE7AB7AA9}">
            <xm:f>'TC1'!#REF!="Speak"</xm:f>
            <x14:dxf>
              <font>
                <b/>
                <i val="0"/>
                <color rgb="FFFF0000"/>
              </font>
            </x14:dxf>
          </x14:cfRule>
          <xm:sqref>C9:C11</xm:sqref>
        </x14:conditionalFormatting>
        <x14:conditionalFormatting xmlns:xm="http://schemas.microsoft.com/office/excel/2006/main">
          <x14:cfRule type="containsText" priority="5247" operator="containsText" text="WEB SERVICE" id="{A8DEE675-1E84-4696-BEA1-7D097B6F16C8}">
            <xm:f>NOT(ISERROR(SEARCH("WEB SERVICE",'TC1'!#REF!)))</xm:f>
            <x14:dxf>
              <font>
                <color rgb="FF9C0006"/>
              </font>
              <fill>
                <patternFill>
                  <bgColor rgb="FFFFC7CE"/>
                </patternFill>
              </fill>
            </x14:dxf>
          </x14:cfRule>
          <x14:cfRule type="containsText" priority="5248" operator="containsText" text="DB" id="{57899273-9407-42C7-AB25-87913D031207}">
            <xm:f>NOT(ISERROR(SEARCH("DB",'TC1'!#REF!)))</xm:f>
            <x14:dxf>
              <font>
                <color rgb="FF006100"/>
              </font>
              <fill>
                <patternFill>
                  <bgColor rgb="FFC6EFCE"/>
                </patternFill>
              </fill>
            </x14:dxf>
          </x14:cfRule>
          <xm:sqref>E9:E11</xm:sqref>
        </x14:conditionalFormatting>
        <x14:conditionalFormatting xmlns:xm="http://schemas.microsoft.com/office/excel/2006/main">
          <x14:cfRule type="containsText" priority="5249" operator="containsText" text="WEB SERVICE" id="{A8DEE675-1E84-4696-BEA1-7D097B6F16C8}">
            <xm:f>NOT(ISERROR(SEARCH("WEB SERVICE",'TC1'!E9)))</xm:f>
            <x14:dxf>
              <font>
                <color rgb="FF9C0006"/>
              </font>
              <fill>
                <patternFill>
                  <bgColor rgb="FFFFC7CE"/>
                </patternFill>
              </fill>
            </x14:dxf>
          </x14:cfRule>
          <x14:cfRule type="containsText" priority="5250" operator="containsText" text="DB" id="{57899273-9407-42C7-AB25-87913D031207}">
            <xm:f>NOT(ISERROR(SEARCH("DB",'TC1'!E9)))</xm:f>
            <x14:dxf>
              <font>
                <color rgb="FF006100"/>
              </font>
              <fill>
                <patternFill>
                  <bgColor rgb="FFC6EFCE"/>
                </patternFill>
              </fill>
            </x14:dxf>
          </x14:cfRule>
          <xm:sqref>E12:E15</xm:sqref>
        </x14:conditionalFormatting>
        <x14:conditionalFormatting xmlns:xm="http://schemas.microsoft.com/office/excel/2006/main">
          <x14:cfRule type="expression" priority="5255" id="{99A41ED2-64C8-4EF2-828E-091B907E0017}">
            <xm:f>'TC1'!$B9="Dial"</xm:f>
            <x14:dxf>
              <font>
                <b/>
                <i val="0"/>
                <color rgb="FFFF0000"/>
              </font>
            </x14:dxf>
          </x14:cfRule>
          <x14:cfRule type="expression" priority="5256" id="{DB513F5B-7658-4BC3-9574-EC6FEBB82419}">
            <xm:f>'TC1'!$B9="HANGUP"</xm:f>
            <x14:dxf>
              <font>
                <b/>
                <i val="0"/>
              </font>
            </x14:dxf>
          </x14:cfRule>
          <xm:sqref>C12:C15</xm:sqref>
        </x14:conditionalFormatting>
        <x14:conditionalFormatting xmlns:xm="http://schemas.microsoft.com/office/excel/2006/main">
          <x14:cfRule type="expression" priority="5257" id="{99A41ED2-64C8-4EF2-828E-091B907E0017}">
            <xm:f>'TC1'!#REF!="Dial"</xm:f>
            <x14:dxf>
              <font>
                <b/>
                <i val="0"/>
                <color rgb="FFFF0000"/>
              </font>
            </x14:dxf>
          </x14:cfRule>
          <x14:cfRule type="expression" priority="5258" id="{DB513F5B-7658-4BC3-9574-EC6FEBB82419}">
            <xm:f>'TC1'!#REF!="HANGUP"</xm:f>
            <x14:dxf>
              <font>
                <b/>
                <i val="0"/>
              </font>
            </x14:dxf>
          </x14:cfRule>
          <xm:sqref>C9:C11</xm:sqref>
        </x14:conditionalFormatting>
        <x14:conditionalFormatting xmlns:xm="http://schemas.microsoft.com/office/excel/2006/main">
          <x14:cfRule type="expression" priority="7549" id="{EB45EDD6-374C-4802-9F34-13BDE7AB7AA9}">
            <xm:f>'TC1'!$B15="Speak"</xm:f>
            <x14:dxf>
              <font>
                <b/>
                <i val="0"/>
                <color rgb="FFFF0000"/>
              </font>
            </x14:dxf>
          </x14:cfRule>
          <xm:sqref>C16</xm:sqref>
        </x14:conditionalFormatting>
        <x14:conditionalFormatting xmlns:xm="http://schemas.microsoft.com/office/excel/2006/main">
          <x14:cfRule type="containsText" priority="7552" operator="containsText" text="WEB SERVICE" id="{A8DEE675-1E84-4696-BEA1-7D097B6F16C8}">
            <xm:f>NOT(ISERROR(SEARCH("WEB SERVICE",'TC1'!E15)))</xm:f>
            <x14:dxf>
              <font>
                <color rgb="FF9C0006"/>
              </font>
              <fill>
                <patternFill>
                  <bgColor rgb="FFFFC7CE"/>
                </patternFill>
              </fill>
            </x14:dxf>
          </x14:cfRule>
          <x14:cfRule type="containsText" priority="7553" operator="containsText" text="DB" id="{57899273-9407-42C7-AB25-87913D031207}">
            <xm:f>NOT(ISERROR(SEARCH("DB",'TC1'!E15)))</xm:f>
            <x14:dxf>
              <font>
                <color rgb="FF006100"/>
              </font>
              <fill>
                <patternFill>
                  <bgColor rgb="FFC6EFCE"/>
                </patternFill>
              </fill>
            </x14:dxf>
          </x14:cfRule>
          <xm:sqref>E16</xm:sqref>
        </x14:conditionalFormatting>
        <x14:conditionalFormatting xmlns:xm="http://schemas.microsoft.com/office/excel/2006/main">
          <x14:cfRule type="expression" priority="7556" id="{99A41ED2-64C8-4EF2-828E-091B907E0017}">
            <xm:f>'TC1'!$B15="Dial"</xm:f>
            <x14:dxf>
              <font>
                <b/>
                <i val="0"/>
                <color rgb="FFFF0000"/>
              </font>
            </x14:dxf>
          </x14:cfRule>
          <x14:cfRule type="expression" priority="7557" id="{DB513F5B-7658-4BC3-9574-EC6FEBB82419}">
            <xm:f>'TC1'!$B15="HANGUP"</xm:f>
            <x14:dxf>
              <font>
                <b/>
                <i val="0"/>
              </font>
            </x14:dxf>
          </x14:cfRule>
          <xm:sqref>C16</xm:sqref>
        </x14:conditionalFormatting>
        <x14:conditionalFormatting xmlns:xm="http://schemas.microsoft.com/office/excel/2006/main">
          <x14:cfRule type="containsText" priority="10132" operator="containsText" text="Hear" id="{4A831D39-C4AA-43A4-A8F5-A53B62A33902}">
            <xm:f>NOT(ISERROR(SEARCH("Hear",'TC26'!#REF!)))</xm:f>
            <x14:dxf>
              <font>
                <color theme="9" tint="-0.24994659260841701"/>
              </font>
              <fill>
                <patternFill>
                  <bgColor theme="9" tint="0.59996337778862885"/>
                </patternFill>
              </fill>
            </x14:dxf>
          </x14:cfRule>
          <xm:sqref>B39</xm:sqref>
        </x14:conditionalFormatting>
      </x14:conditionalFormattings>
    </ext>
  </extLst>
</worksheet>
</file>

<file path=xl/worksheets/sheet1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400-000000000000}">
  <sheetPr codeName="Sheet118"/>
  <dimension ref="A1:E44"/>
  <sheetViews>
    <sheetView zoomScaleNormal="100" workbookViewId="0">
      <selection sqref="A1:E44"/>
    </sheetView>
  </sheetViews>
  <sheetFormatPr defaultRowHeight="14.5" x14ac:dyDescent="0.35"/>
  <cols>
    <col min="1" max="1" width="14.453125" bestFit="1" customWidth="1"/>
    <col min="2" max="2" width="42.6328125" customWidth="1"/>
    <col min="3" max="3" width="106.1796875" customWidth="1"/>
    <col min="4" max="4" width="21.81640625" bestFit="1" customWidth="1"/>
    <col min="5" max="5" width="20.6328125" customWidth="1"/>
  </cols>
  <sheetData>
    <row r="1" spans="1:5" ht="18.5" x14ac:dyDescent="0.35">
      <c r="A1" s="192" t="s">
        <v>4</v>
      </c>
      <c r="B1" s="192"/>
      <c r="C1" s="105"/>
      <c r="D1" s="111"/>
      <c r="E1" s="97"/>
    </row>
    <row r="2" spans="1:5" x14ac:dyDescent="0.35">
      <c r="A2" s="106" t="s">
        <v>5</v>
      </c>
      <c r="B2" s="107" t="str">
        <f ca="1">MID(CELL("filename",A1),FIND("]",CELL("filename",A1))+1,LEN(CELL("filename",A1))-FIND("]",CELL("filename",A1)))</f>
        <v>TC116</v>
      </c>
      <c r="C2" s="98"/>
      <c r="D2" s="111"/>
      <c r="E2" s="97"/>
    </row>
    <row r="3" spans="1:5" x14ac:dyDescent="0.35">
      <c r="A3" s="104" t="s">
        <v>19</v>
      </c>
      <c r="B3" s="112">
        <f ca="1">VLOOKUP(B2,Table53[#All],2,FALSE)</f>
        <v>0</v>
      </c>
      <c r="C3" s="98"/>
      <c r="D3" s="111"/>
      <c r="E3" s="97"/>
    </row>
    <row r="4" spans="1:5" ht="29" x14ac:dyDescent="0.35">
      <c r="A4" s="113" t="s">
        <v>20</v>
      </c>
      <c r="B4" s="99">
        <f ca="1">VLOOKUP(B2,Table53[#All],4,FALSE)</f>
        <v>0</v>
      </c>
      <c r="C4" s="98"/>
      <c r="D4" s="111"/>
      <c r="E4" s="97"/>
    </row>
    <row r="5" spans="1:5" x14ac:dyDescent="0.35">
      <c r="A5" s="104" t="s">
        <v>6</v>
      </c>
      <c r="B5" s="77">
        <f ca="1">VLOOKUP(B2,Table53[#All],3,FALSE)</f>
        <v>0</v>
      </c>
      <c r="C5" s="98"/>
      <c r="D5" s="111"/>
      <c r="E5" s="97"/>
    </row>
    <row r="6" spans="1:5" x14ac:dyDescent="0.35">
      <c r="A6" s="97"/>
      <c r="B6" s="97"/>
      <c r="C6" s="98"/>
      <c r="D6" s="111"/>
      <c r="E6" s="97"/>
    </row>
    <row r="7" spans="1:5" ht="15.5" x14ac:dyDescent="0.35">
      <c r="A7" s="100" t="s">
        <v>7</v>
      </c>
      <c r="B7" s="101" t="s">
        <v>8</v>
      </c>
      <c r="C7" s="102" t="s">
        <v>9</v>
      </c>
      <c r="D7" s="102" t="s">
        <v>14</v>
      </c>
      <c r="E7" s="103" t="s">
        <v>10</v>
      </c>
    </row>
    <row r="8" spans="1:5" x14ac:dyDescent="0.35">
      <c r="A8" s="118">
        <v>1</v>
      </c>
      <c r="B8" s="114" t="s">
        <v>114</v>
      </c>
      <c r="C8" s="109" t="s">
        <v>125</v>
      </c>
      <c r="D8" s="128"/>
      <c r="E8" s="125" t="s">
        <v>11</v>
      </c>
    </row>
    <row r="9" spans="1:5" x14ac:dyDescent="0.35">
      <c r="A9" s="118">
        <v>2</v>
      </c>
      <c r="B9" s="114" t="s">
        <v>12</v>
      </c>
      <c r="C9" s="109" t="e">
        <f>VLOOKUP(Table257519913140106110134[[#This Row],[PEG]],Table1016[#All],2,FALSE)</f>
        <v>#N/A</v>
      </c>
      <c r="D9" s="128"/>
      <c r="E9" s="125" t="e">
        <f>VLOOKUP(Table257519913140106110134[[#This Row],[PEG]],Table1016[#All],3,FALSE)</f>
        <v>#N/A</v>
      </c>
    </row>
    <row r="10" spans="1:5" x14ac:dyDescent="0.35">
      <c r="A10" s="118">
        <v>3</v>
      </c>
      <c r="B10" s="114" t="s">
        <v>115</v>
      </c>
      <c r="C10" s="109" t="e">
        <f>VLOOKUP(Table257519913140106110134[[#This Row],[PEG]],Table1016[#All],2,FALSE)</f>
        <v>#N/A</v>
      </c>
      <c r="D10" s="128"/>
      <c r="E10" s="125" t="e">
        <f>VLOOKUP(Table257519913140106110134[[#This Row],[PEG]],Table1016[#All],3,FALSE)</f>
        <v>#N/A</v>
      </c>
    </row>
    <row r="11" spans="1:5" x14ac:dyDescent="0.35">
      <c r="A11" s="118">
        <v>4</v>
      </c>
      <c r="B11" s="114" t="s">
        <v>115</v>
      </c>
      <c r="C11" s="109" t="e">
        <f>VLOOKUP(Table257519913140106110134[[#This Row],[PEG]],Table1016[#All],2,FALSE)</f>
        <v>#N/A</v>
      </c>
      <c r="D11" s="128"/>
      <c r="E11" s="125" t="e">
        <f>VLOOKUP(Table257519913140106110134[[#This Row],[PEG]],Table1016[#All],3,FALSE)</f>
        <v>#N/A</v>
      </c>
    </row>
    <row r="12" spans="1:5" x14ac:dyDescent="0.35">
      <c r="A12" s="118">
        <v>5</v>
      </c>
      <c r="B12" s="114" t="s">
        <v>114</v>
      </c>
      <c r="C12" s="109" t="e">
        <f>VLOOKUP(Table257519913140106110134[[#This Row],[PEG]],Table1016[#All],2,FALSE)</f>
        <v>#N/A</v>
      </c>
      <c r="D12" s="128"/>
      <c r="E12" s="125" t="e">
        <f>VLOOKUP(Table257519913140106110134[[#This Row],[PEG]],Table1016[#All],3,FALSE)</f>
        <v>#N/A</v>
      </c>
    </row>
    <row r="13" spans="1:5" x14ac:dyDescent="0.35">
      <c r="A13" s="118">
        <v>6</v>
      </c>
      <c r="B13" s="114" t="s">
        <v>115</v>
      </c>
      <c r="C13" s="109" t="e">
        <f>VLOOKUP(Table257519913140106110134[[#This Row],[PEG]],Table1016[#All],2,FALSE)</f>
        <v>#N/A</v>
      </c>
      <c r="D13" s="128"/>
      <c r="E13" s="125" t="e">
        <f>VLOOKUP(Table257519913140106110134[[#This Row],[PEG]],Table1016[#All],3,FALSE)</f>
        <v>#N/A</v>
      </c>
    </row>
    <row r="14" spans="1:5" x14ac:dyDescent="0.35">
      <c r="A14" s="118">
        <v>7</v>
      </c>
      <c r="B14" s="114" t="s">
        <v>114</v>
      </c>
      <c r="C14" s="109" t="e">
        <f>VLOOKUP(Table257519913140106110134[[#This Row],[PEG]],Table1016[#All],2,FALSE)</f>
        <v>#N/A</v>
      </c>
      <c r="D14" s="128"/>
      <c r="E14" s="125" t="e">
        <f>VLOOKUP(Table257519913140106110134[[#This Row],[PEG]],Table1016[#All],3,FALSE)</f>
        <v>#N/A</v>
      </c>
    </row>
    <row r="15" spans="1:5" x14ac:dyDescent="0.35">
      <c r="A15" s="118">
        <v>8</v>
      </c>
      <c r="B15" s="114" t="s">
        <v>115</v>
      </c>
      <c r="C15" s="109" t="e">
        <f>VLOOKUP(Table257519913140106110134[[#This Row],[PEG]],Table1016[#All],2,FALSE)</f>
        <v>#N/A</v>
      </c>
      <c r="D15" s="116"/>
      <c r="E15" s="125" t="e">
        <f>VLOOKUP(Table257519913140106110134[[#This Row],[PEG]],Table1016[#All],3,FALSE)</f>
        <v>#N/A</v>
      </c>
    </row>
    <row r="16" spans="1:5" x14ac:dyDescent="0.35">
      <c r="A16" s="118">
        <v>9</v>
      </c>
      <c r="B16" s="114" t="s">
        <v>12</v>
      </c>
      <c r="C16" s="109" t="e">
        <f>VLOOKUP(Table257519913140106110134[[#This Row],[PEG]],Table1016[#All],2,FALSE)</f>
        <v>#N/A</v>
      </c>
      <c r="D16" s="116"/>
      <c r="E16" s="125" t="e">
        <f>VLOOKUP(Table257519913140106110134[[#This Row],[PEG]],Table1016[#All],3,FALSE)</f>
        <v>#N/A</v>
      </c>
    </row>
    <row r="17" spans="1:5" x14ac:dyDescent="0.35">
      <c r="A17" s="118">
        <v>10</v>
      </c>
      <c r="B17" s="114" t="s">
        <v>12</v>
      </c>
      <c r="C17" s="109" t="e">
        <f>VLOOKUP(Table257519913140106110134[[#This Row],[PEG]],Table1016[#All],2,FALSE)</f>
        <v>#N/A</v>
      </c>
      <c r="D17" s="117"/>
      <c r="E17" s="125" t="e">
        <f>VLOOKUP(Table257519913140106110134[[#This Row],[PEG]],Table1016[#All],3,FALSE)</f>
        <v>#N/A</v>
      </c>
    </row>
    <row r="18" spans="1:5" x14ac:dyDescent="0.35">
      <c r="A18" s="118">
        <v>11</v>
      </c>
      <c r="B18" s="114" t="s">
        <v>115</v>
      </c>
      <c r="C18" s="109" t="e">
        <f>VLOOKUP(Table257519913140106110134[[#This Row],[PEG]],Table1016[#All],2,FALSE)</f>
        <v>#N/A</v>
      </c>
      <c r="D18" s="117"/>
      <c r="E18" s="125" t="e">
        <f>VLOOKUP(Table257519913140106110134[[#This Row],[PEG]],Table1016[#All],3,FALSE)</f>
        <v>#N/A</v>
      </c>
    </row>
    <row r="19" spans="1:5" x14ac:dyDescent="0.35">
      <c r="A19" s="118">
        <v>12</v>
      </c>
      <c r="B19" s="114" t="s">
        <v>115</v>
      </c>
      <c r="C19" s="109" t="e">
        <f>VLOOKUP(Table257519913140106110134[[#This Row],[PEG]],Table1016[#All],2,FALSE)</f>
        <v>#N/A</v>
      </c>
      <c r="D19" s="117"/>
      <c r="E19" s="125" t="e">
        <f>VLOOKUP(Table257519913140106110134[[#This Row],[PEG]],Table1016[#All],3,FALSE)</f>
        <v>#N/A</v>
      </c>
    </row>
    <row r="20" spans="1:5" x14ac:dyDescent="0.35">
      <c r="A20" s="118">
        <v>13</v>
      </c>
      <c r="B20" s="114" t="s">
        <v>114</v>
      </c>
      <c r="C20" s="109" t="e">
        <f>VLOOKUP(Table257519913140106110134[[#This Row],[PEG]],Table1016[#All],2,FALSE)</f>
        <v>#N/A</v>
      </c>
      <c r="D20" s="117"/>
      <c r="E20" s="125" t="e">
        <f>VLOOKUP(Table257519913140106110134[[#This Row],[PEG]],Table1016[#All],3,FALSE)</f>
        <v>#N/A</v>
      </c>
    </row>
    <row r="21" spans="1:5" x14ac:dyDescent="0.35">
      <c r="A21" s="118">
        <v>14</v>
      </c>
      <c r="B21" s="114" t="s">
        <v>12</v>
      </c>
      <c r="C21" s="109" t="e">
        <f>VLOOKUP(Table257519913140106110134[[#This Row],[PEG]],Table1016[#All],2,FALSE)</f>
        <v>#N/A</v>
      </c>
      <c r="D21" s="117"/>
      <c r="E21" s="125" t="e">
        <f>VLOOKUP(Table257519913140106110134[[#This Row],[PEG]],Table1016[#All],3,FALSE)</f>
        <v>#N/A</v>
      </c>
    </row>
    <row r="22" spans="1:5" x14ac:dyDescent="0.35">
      <c r="A22" s="118">
        <v>15</v>
      </c>
      <c r="B22" s="114" t="s">
        <v>12</v>
      </c>
      <c r="C22" s="109" t="e">
        <f>VLOOKUP(Table257519913140106110134[[#This Row],[PEG]],Table1016[#All],2,FALSE)</f>
        <v>#N/A</v>
      </c>
      <c r="D22" s="117"/>
      <c r="E22" s="125" t="e">
        <f>VLOOKUP(Table257519913140106110134[[#This Row],[PEG]],Table1016[#All],3,FALSE)</f>
        <v>#N/A</v>
      </c>
    </row>
    <row r="23" spans="1:5" x14ac:dyDescent="0.35">
      <c r="A23" s="118">
        <v>16</v>
      </c>
      <c r="B23" s="114" t="s">
        <v>115</v>
      </c>
      <c r="C23" s="109" t="e">
        <f>VLOOKUP(Table257519913140106110134[[#This Row],[PEG]],Table1016[#All],2,FALSE)</f>
        <v>#N/A</v>
      </c>
      <c r="D23" s="117"/>
      <c r="E23" s="125" t="e">
        <f>VLOOKUP(Table257519913140106110134[[#This Row],[PEG]],Table1016[#All],3,FALSE)</f>
        <v>#N/A</v>
      </c>
    </row>
    <row r="24" spans="1:5" x14ac:dyDescent="0.35">
      <c r="A24" s="118">
        <v>17</v>
      </c>
      <c r="B24" s="114" t="s">
        <v>114</v>
      </c>
      <c r="C24" s="109" t="e">
        <f>VLOOKUP(Table257519913140106110134[[#This Row],[PEG]],Table1016[#All],2,FALSE)</f>
        <v>#N/A</v>
      </c>
      <c r="D24" s="117"/>
      <c r="E24" s="125" t="e">
        <f>VLOOKUP(Table257519913140106110134[[#This Row],[PEG]],Table1016[#All],3,FALSE)</f>
        <v>#N/A</v>
      </c>
    </row>
    <row r="25" spans="1:5" x14ac:dyDescent="0.35">
      <c r="A25" s="118">
        <v>18</v>
      </c>
      <c r="B25" s="114" t="s">
        <v>12</v>
      </c>
      <c r="C25" s="109" t="e">
        <f>VLOOKUP(Table257519913140106110134[[#This Row],[PEG]],Table1016[#All],2,FALSE)</f>
        <v>#N/A</v>
      </c>
      <c r="D25" s="117"/>
      <c r="E25" s="125" t="e">
        <f>VLOOKUP(Table257519913140106110134[[#This Row],[PEG]],Table1016[#All],3,FALSE)</f>
        <v>#N/A</v>
      </c>
    </row>
    <row r="26" spans="1:5" x14ac:dyDescent="0.35">
      <c r="A26" s="118">
        <v>19</v>
      </c>
      <c r="B26" s="114" t="s">
        <v>12</v>
      </c>
      <c r="C26" s="109" t="e">
        <f>VLOOKUP(Table257519913140106110134[[#This Row],[PEG]],Table1016[#All],2,FALSE)</f>
        <v>#N/A</v>
      </c>
      <c r="D26" s="117"/>
      <c r="E26" s="125" t="e">
        <f>VLOOKUP(Table257519913140106110134[[#This Row],[PEG]],Table1016[#All],3,FALSE)</f>
        <v>#N/A</v>
      </c>
    </row>
    <row r="27" spans="1:5" x14ac:dyDescent="0.35">
      <c r="A27" s="118">
        <v>20</v>
      </c>
      <c r="B27" s="114" t="s">
        <v>115</v>
      </c>
      <c r="C27" s="109" t="e">
        <f>VLOOKUP(Table257519913140106110134[[#This Row],[PEG]],Table1016[#All],2,FALSE)</f>
        <v>#N/A</v>
      </c>
      <c r="D27" s="117"/>
      <c r="E27" s="125" t="e">
        <f>VLOOKUP(Table257519913140106110134[[#This Row],[PEG]],Table1016[#All],3,FALSE)</f>
        <v>#N/A</v>
      </c>
    </row>
    <row r="28" spans="1:5" x14ac:dyDescent="0.35">
      <c r="A28" s="118">
        <v>21</v>
      </c>
      <c r="B28" s="114" t="s">
        <v>114</v>
      </c>
      <c r="C28" s="109" t="e">
        <f>VLOOKUP(Table257519913140106110134[[#This Row],[PEG]],Table1016[#All],2,FALSE)</f>
        <v>#N/A</v>
      </c>
      <c r="D28" s="117"/>
      <c r="E28" s="125" t="e">
        <f>VLOOKUP(Table257519913140106110134[[#This Row],[PEG]],Table1016[#All],3,FALSE)</f>
        <v>#N/A</v>
      </c>
    </row>
    <row r="29" spans="1:5" x14ac:dyDescent="0.35">
      <c r="A29" s="118">
        <v>22</v>
      </c>
      <c r="B29" s="114" t="s">
        <v>12</v>
      </c>
      <c r="C29" s="109" t="e">
        <f>VLOOKUP(Table257519913140106110134[[#This Row],[PEG]],Table1016[#All],2,FALSE)</f>
        <v>#N/A</v>
      </c>
      <c r="D29" s="117"/>
      <c r="E29" s="125" t="e">
        <f>VLOOKUP(Table257519913140106110134[[#This Row],[PEG]],Table1016[#All],3,FALSE)</f>
        <v>#N/A</v>
      </c>
    </row>
    <row r="30" spans="1:5" x14ac:dyDescent="0.35">
      <c r="A30" s="118">
        <v>23</v>
      </c>
      <c r="B30" s="114" t="s">
        <v>12</v>
      </c>
      <c r="C30" s="109" t="e">
        <f>VLOOKUP(Table257519913140106110134[[#This Row],[PEG]],Table1016[#All],2,FALSE)</f>
        <v>#N/A</v>
      </c>
      <c r="D30" s="117"/>
      <c r="E30" s="125" t="e">
        <f>VLOOKUP(Table257519913140106110134[[#This Row],[PEG]],Table1016[#All],3,FALSE)</f>
        <v>#N/A</v>
      </c>
    </row>
    <row r="31" spans="1:5" x14ac:dyDescent="0.35">
      <c r="A31" s="118">
        <v>24</v>
      </c>
      <c r="B31" s="114" t="s">
        <v>115</v>
      </c>
      <c r="C31" s="109" t="e">
        <f>VLOOKUP(Table257519913140106110134[[#This Row],[PEG]],Table1016[#All],2,FALSE)</f>
        <v>#N/A</v>
      </c>
      <c r="D31" s="117"/>
      <c r="E31" s="125" t="e">
        <f>VLOOKUP(Table257519913140106110134[[#This Row],[PEG]],Table1016[#All],3,FALSE)</f>
        <v>#N/A</v>
      </c>
    </row>
    <row r="32" spans="1:5" x14ac:dyDescent="0.35">
      <c r="A32" s="118">
        <v>25</v>
      </c>
      <c r="B32" s="114" t="s">
        <v>115</v>
      </c>
      <c r="C32" s="109" t="e">
        <f>VLOOKUP(Table257519913140106110134[[#This Row],[PEG]],Table1016[#All],2,FALSE)</f>
        <v>#N/A</v>
      </c>
      <c r="D32" s="117"/>
      <c r="E32" s="125" t="e">
        <f>VLOOKUP(Table257519913140106110134[[#This Row],[PEG]],Table1016[#All],3,FALSE)</f>
        <v>#N/A</v>
      </c>
    </row>
    <row r="33" spans="1:5" x14ac:dyDescent="0.35">
      <c r="A33" s="118">
        <v>26</v>
      </c>
      <c r="B33" s="114" t="s">
        <v>124</v>
      </c>
      <c r="C33" s="109" t="e">
        <f>VLOOKUP(Table257519913140106110134[[#This Row],[PEG]],Table1016[#All],2,FALSE)</f>
        <v>#N/A</v>
      </c>
      <c r="D33" s="117"/>
      <c r="E33" s="125" t="e">
        <f>VLOOKUP(Table257519913140106110134[[#This Row],[PEG]],Table1016[#All],3,FALSE)</f>
        <v>#N/A</v>
      </c>
    </row>
    <row r="34" spans="1:5" x14ac:dyDescent="0.35">
      <c r="A34" s="118">
        <v>27</v>
      </c>
      <c r="B34" s="114" t="s">
        <v>115</v>
      </c>
      <c r="C34" s="109" t="e">
        <f>VLOOKUP(Table257519913140106110134[[#This Row],[PEG]],Table1016[#All],2,FALSE)</f>
        <v>#N/A</v>
      </c>
      <c r="D34" s="117"/>
      <c r="E34" s="125" t="e">
        <f>VLOOKUP(Table257519913140106110134[[#This Row],[PEG]],Table1016[#All],3,FALSE)</f>
        <v>#N/A</v>
      </c>
    </row>
    <row r="35" spans="1:5" x14ac:dyDescent="0.35">
      <c r="A35" s="118">
        <v>28</v>
      </c>
      <c r="B35" s="114" t="s">
        <v>124</v>
      </c>
      <c r="C35" s="109" t="e">
        <f>VLOOKUP(Table257519913140106110134[[#This Row],[PEG]],Table1016[#All],2,FALSE)</f>
        <v>#N/A</v>
      </c>
      <c r="D35" s="117"/>
      <c r="E35" s="125" t="e">
        <f>VLOOKUP(Table257519913140106110134[[#This Row],[PEG]],Table1016[#All],3,FALSE)</f>
        <v>#N/A</v>
      </c>
    </row>
    <row r="36" spans="1:5" x14ac:dyDescent="0.35">
      <c r="A36" s="118">
        <v>29</v>
      </c>
      <c r="B36" s="114" t="s">
        <v>115</v>
      </c>
      <c r="C36" s="109" t="e">
        <f>VLOOKUP(Table257519913140106110134[[#This Row],[PEG]],Table1016[#All],2,FALSE)</f>
        <v>#N/A</v>
      </c>
      <c r="D36" s="117"/>
      <c r="E36" s="125" t="e">
        <f>VLOOKUP(Table257519913140106110134[[#This Row],[PEG]],Table1016[#All],3,FALSE)</f>
        <v>#N/A</v>
      </c>
    </row>
    <row r="37" spans="1:5" x14ac:dyDescent="0.35">
      <c r="A37" s="118">
        <v>30</v>
      </c>
      <c r="B37" s="114" t="s">
        <v>12</v>
      </c>
      <c r="C37" s="109" t="e">
        <f>VLOOKUP(Table257519913140106110134[[#This Row],[PEG]],Table1016[#All],2,FALSE)</f>
        <v>#N/A</v>
      </c>
      <c r="D37" s="117"/>
      <c r="E37" s="125" t="e">
        <f>VLOOKUP(Table257519913140106110134[[#This Row],[PEG]],Table1016[#All],3,FALSE)</f>
        <v>#N/A</v>
      </c>
    </row>
    <row r="38" spans="1:5" x14ac:dyDescent="0.35">
      <c r="A38" s="118">
        <v>31</v>
      </c>
      <c r="B38" s="114" t="s">
        <v>12</v>
      </c>
      <c r="C38" s="109" t="e">
        <f>VLOOKUP(Table257519913140106110134[[#This Row],[PEG]],Table1016[#All],2,FALSE)</f>
        <v>#N/A</v>
      </c>
      <c r="D38" s="117"/>
      <c r="E38" s="125" t="e">
        <f>VLOOKUP(Table257519913140106110134[[#This Row],[PEG]],Table1016[#All],3,FALSE)</f>
        <v>#N/A</v>
      </c>
    </row>
    <row r="39" spans="1:5" x14ac:dyDescent="0.35">
      <c r="A39" s="118">
        <v>32</v>
      </c>
      <c r="B39" s="114" t="s">
        <v>12</v>
      </c>
      <c r="C39" s="109" t="e">
        <f>VLOOKUP(Table257519913140106110134[[#This Row],[PEG]],Table1016[#All],2,FALSE)</f>
        <v>#N/A</v>
      </c>
      <c r="D39" s="117"/>
      <c r="E39" s="125" t="e">
        <f>VLOOKUP(Table257519913140106110134[[#This Row],[PEG]],Table1016[#All],3,FALSE)</f>
        <v>#N/A</v>
      </c>
    </row>
    <row r="40" spans="1:5" x14ac:dyDescent="0.35">
      <c r="A40" s="118">
        <v>33</v>
      </c>
      <c r="B40" s="114" t="s">
        <v>12</v>
      </c>
      <c r="C40" s="109" t="e">
        <f>VLOOKUP(Table257519913140106110134[[#This Row],[PEG]],Table1016[#All],2,FALSE)</f>
        <v>#N/A</v>
      </c>
      <c r="D40" s="117"/>
      <c r="E40" s="125" t="e">
        <f>VLOOKUP(Table257519913140106110134[[#This Row],[PEG]],Table1016[#All],3,FALSE)</f>
        <v>#N/A</v>
      </c>
    </row>
    <row r="41" spans="1:5" x14ac:dyDescent="0.35">
      <c r="A41" s="118">
        <v>34</v>
      </c>
      <c r="B41" s="114" t="s">
        <v>115</v>
      </c>
      <c r="C41" s="109" t="e">
        <f>VLOOKUP(Table257519913140106110134[[#This Row],[PEG]],Table1016[#All],2,FALSE)</f>
        <v>#N/A</v>
      </c>
      <c r="D41" s="117"/>
      <c r="E41" s="125" t="e">
        <f>VLOOKUP(Table257519913140106110134[[#This Row],[PEG]],Table1016[#All],3,FALSE)</f>
        <v>#N/A</v>
      </c>
    </row>
    <row r="42" spans="1:5" x14ac:dyDescent="0.35">
      <c r="A42" s="118">
        <v>35</v>
      </c>
      <c r="B42" s="114" t="s">
        <v>12</v>
      </c>
      <c r="C42" s="109" t="e">
        <f>VLOOKUP(Table257519913140106110134[[#This Row],[PEG]],Table1016[#All],2,FALSE)</f>
        <v>#N/A</v>
      </c>
      <c r="D42" s="115"/>
      <c r="E42" s="125" t="e">
        <f>VLOOKUP(Table257519913140106110134[[#This Row],[PEG]],Table1016[#All],3,FALSE)</f>
        <v>#N/A</v>
      </c>
    </row>
    <row r="43" spans="1:5" x14ac:dyDescent="0.35">
      <c r="A43" s="118">
        <v>36</v>
      </c>
      <c r="B43" s="114" t="s">
        <v>115</v>
      </c>
      <c r="C43" s="109" t="e">
        <f>VLOOKUP(Table257519913140106110134[[#This Row],[PEG]],Table1016[#All],2,FALSE)</f>
        <v>#N/A</v>
      </c>
      <c r="D43" s="115"/>
      <c r="E43" s="125" t="e">
        <f>VLOOKUP(Table257519913140106110134[[#This Row],[PEG]],Table1016[#All],3,FALSE)</f>
        <v>#N/A</v>
      </c>
    </row>
    <row r="44" spans="1:5" x14ac:dyDescent="0.35">
      <c r="A44" s="118">
        <v>37</v>
      </c>
      <c r="B44" s="114" t="s">
        <v>13</v>
      </c>
      <c r="C44" s="18" t="s">
        <v>13</v>
      </c>
      <c r="D44" s="115"/>
      <c r="E44" s="32"/>
    </row>
  </sheetData>
  <mergeCells count="1">
    <mergeCell ref="A1:B1"/>
  </mergeCells>
  <conditionalFormatting sqref="B8:B18">
    <cfRule type="containsText" dxfId="2153" priority="1" operator="containsText" text="Hear">
      <formula>NOT(ISERROR(SEARCH("Hear",B8)))</formula>
    </cfRule>
  </conditionalFormatting>
  <conditionalFormatting sqref="B30">
    <cfRule type="containsText" dxfId="2152" priority="4" operator="containsText" text="Hear">
      <formula>NOT(ISERROR(SEARCH("Hear",B30)))</formula>
    </cfRule>
  </conditionalFormatting>
  <conditionalFormatting sqref="B43:B44">
    <cfRule type="containsText" dxfId="2151" priority="8" operator="containsText" text="Hear">
      <formula>NOT(ISERROR(SEARCH("Hear",B43)))</formula>
    </cfRule>
  </conditionalFormatting>
  <conditionalFormatting sqref="E44">
    <cfRule type="containsText" dxfId="2150" priority="6" operator="containsText" text="WEB SERVICE">
      <formula>NOT(ISERROR(SEARCH("WEB SERVICE",E44)))</formula>
    </cfRule>
    <cfRule type="containsText" dxfId="2149" priority="7" operator="containsText" text="DB">
      <formula>NOT(ISERROR(SEARCH("DB",E44)))</formula>
    </cfRule>
  </conditionalFormatting>
  <conditionalFormatting sqref="C44">
    <cfRule type="expression" dxfId="2148" priority="9">
      <formula>$B44="Dial"</formula>
    </cfRule>
    <cfRule type="expression" dxfId="2147" priority="11">
      <formula>$B44="HANGUP"</formula>
    </cfRule>
  </conditionalFormatting>
  <conditionalFormatting sqref="C44">
    <cfRule type="expression" dxfId="2146" priority="10">
      <formula>$B44="Speak"</formula>
    </cfRule>
  </conditionalFormatting>
  <conditionalFormatting sqref="B36:B38 B40:B41">
    <cfRule type="containsText" dxfId="2145" priority="3" operator="containsText" text="Hear">
      <formula>NOT(ISERROR(SEARCH("Hear",B36)))</formula>
    </cfRule>
  </conditionalFormatting>
  <conditionalFormatting sqref="B19:B29 B31:B35 B42">
    <cfRule type="containsText" dxfId="2144" priority="5" operator="containsText" text="Hear">
      <formula>NOT(ISERROR(SEARCH("Hear",B19)))</formula>
    </cfRule>
  </conditionalFormatting>
  <hyperlinks>
    <hyperlink ref="A1" location="'Test Case Overview'!A1" display="Return to Test Case Overview" xr:uid="{3F1FCBB7-61D1-4C64-BD83-F0B1E9E80D2E}"/>
  </hyperlinks>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expression" priority="12" id="{D2E48D38-1D9A-472B-91B4-054C75919FE0}">
            <xm:f>'TC1'!$B8="Speak"</xm:f>
            <x14:dxf>
              <font>
                <b/>
                <i val="0"/>
                <color rgb="FFFF0000"/>
              </font>
            </x14:dxf>
          </x14:cfRule>
          <xm:sqref>C8</xm:sqref>
        </x14:conditionalFormatting>
        <x14:conditionalFormatting xmlns:xm="http://schemas.microsoft.com/office/excel/2006/main">
          <x14:cfRule type="containsText" priority="15" operator="containsText" text="Hear" id="{FF9F46F7-DDC8-4A30-A2B9-AD4022ED8E2E}">
            <xm:f>NOT(ISERROR(SEARCH("Hear",'TC3'!B34)))</xm:f>
            <x14:dxf>
              <font>
                <color theme="9" tint="-0.24994659260841701"/>
              </font>
              <fill>
                <patternFill>
                  <bgColor theme="9" tint="0.59996337778862885"/>
                </patternFill>
              </fill>
            </x14:dxf>
          </x14:cfRule>
          <xm:sqref>B41</xm:sqref>
        </x14:conditionalFormatting>
        <x14:conditionalFormatting xmlns:xm="http://schemas.microsoft.com/office/excel/2006/main">
          <x14:cfRule type="expression" priority="16" id="{5DAF338E-94E5-49D0-814C-01D986C2EDF0}">
            <xm:f>'TC1'!$B8="Dial"</xm:f>
            <x14:dxf>
              <font>
                <b/>
                <i val="0"/>
                <color rgb="FFFF0000"/>
              </font>
            </x14:dxf>
          </x14:cfRule>
          <x14:cfRule type="expression" priority="16" id="{FD6CF4D5-B027-466E-93BB-684EDB167A84}">
            <xm:f>'TC1'!$B8="HANGUP"</xm:f>
            <x14:dxf>
              <font>
                <b/>
                <i val="0"/>
              </font>
            </x14:dxf>
          </x14:cfRule>
          <xm:sqref>C8</xm:sqref>
        </x14:conditionalFormatting>
        <x14:conditionalFormatting xmlns:xm="http://schemas.microsoft.com/office/excel/2006/main">
          <x14:cfRule type="expression" priority="2582" id="{D2E48D38-1D9A-472B-91B4-054C75919FE0}">
            <xm:f>'TC1'!$B16="Speak"</xm:f>
            <x14:dxf>
              <font>
                <b/>
                <i val="0"/>
                <color rgb="FFFF0000"/>
              </font>
            </x14:dxf>
          </x14:cfRule>
          <xm:sqref>C34:C43</xm:sqref>
        </x14:conditionalFormatting>
        <x14:conditionalFormatting xmlns:xm="http://schemas.microsoft.com/office/excel/2006/main">
          <x14:cfRule type="expression" priority="2583" id="{D2E48D38-1D9A-472B-91B4-054C75919FE0}">
            <xm:f>'TC1'!#REF!="Speak"</xm:f>
            <x14:dxf>
              <font>
                <b/>
                <i val="0"/>
                <color rgb="FFFF0000"/>
              </font>
            </x14:dxf>
          </x14:cfRule>
          <xm:sqref>C17:C33</xm:sqref>
        </x14:conditionalFormatting>
        <x14:conditionalFormatting xmlns:xm="http://schemas.microsoft.com/office/excel/2006/main">
          <x14:cfRule type="containsText" priority="2587" operator="containsText" text="WEB SERVICE" id="{BE43C30D-ACA7-4D08-8A44-5A4C84431EB0}">
            <xm:f>NOT(ISERROR(SEARCH("WEB SERVICE",'TC1'!E16)))</xm:f>
            <x14:dxf>
              <font>
                <color rgb="FF9C0006"/>
              </font>
              <fill>
                <patternFill>
                  <bgColor rgb="FFFFC7CE"/>
                </patternFill>
              </fill>
            </x14:dxf>
          </x14:cfRule>
          <x14:cfRule type="containsText" priority="2588" operator="containsText" text="DB" id="{C6CC1FAC-FD53-4A3E-A35A-43AA33A41185}">
            <xm:f>NOT(ISERROR(SEARCH("DB",'TC1'!E16)))</xm:f>
            <x14:dxf>
              <font>
                <color rgb="FF006100"/>
              </font>
              <fill>
                <patternFill>
                  <bgColor rgb="FFC6EFCE"/>
                </patternFill>
              </fill>
            </x14:dxf>
          </x14:cfRule>
          <xm:sqref>E34:E43</xm:sqref>
        </x14:conditionalFormatting>
        <x14:conditionalFormatting xmlns:xm="http://schemas.microsoft.com/office/excel/2006/main">
          <x14:cfRule type="containsText" priority="2589" operator="containsText" text="WEB SERVICE" id="{BE43C30D-ACA7-4D08-8A44-5A4C84431EB0}">
            <xm:f>NOT(ISERROR(SEARCH("WEB SERVICE",'TC1'!#REF!)))</xm:f>
            <x14:dxf>
              <font>
                <color rgb="FF9C0006"/>
              </font>
              <fill>
                <patternFill>
                  <bgColor rgb="FFFFC7CE"/>
                </patternFill>
              </fill>
            </x14:dxf>
          </x14:cfRule>
          <x14:cfRule type="containsText" priority="2590" operator="containsText" text="DB" id="{C6CC1FAC-FD53-4A3E-A35A-43AA33A41185}">
            <xm:f>NOT(ISERROR(SEARCH("DB",'TC1'!#REF!)))</xm:f>
            <x14:dxf>
              <font>
                <color rgb="FF006100"/>
              </font>
              <fill>
                <patternFill>
                  <bgColor rgb="FFC6EFCE"/>
                </patternFill>
              </fill>
            </x14:dxf>
          </x14:cfRule>
          <xm:sqref>E17:E33</xm:sqref>
        </x14:conditionalFormatting>
        <x14:conditionalFormatting xmlns:xm="http://schemas.microsoft.com/office/excel/2006/main">
          <x14:cfRule type="expression" priority="2595" id="{5DAF338E-94E5-49D0-814C-01D986C2EDF0}">
            <xm:f>'TC1'!$B16="Dial"</xm:f>
            <x14:dxf>
              <font>
                <b/>
                <i val="0"/>
                <color rgb="FFFF0000"/>
              </font>
            </x14:dxf>
          </x14:cfRule>
          <x14:cfRule type="expression" priority="2596" id="{FD6CF4D5-B027-466E-93BB-684EDB167A84}">
            <xm:f>'TC1'!$B16="HANGUP"</xm:f>
            <x14:dxf>
              <font>
                <b/>
                <i val="0"/>
              </font>
            </x14:dxf>
          </x14:cfRule>
          <xm:sqref>C34:C43</xm:sqref>
        </x14:conditionalFormatting>
        <x14:conditionalFormatting xmlns:xm="http://schemas.microsoft.com/office/excel/2006/main">
          <x14:cfRule type="expression" priority="2597" id="{5DAF338E-94E5-49D0-814C-01D986C2EDF0}">
            <xm:f>'TC1'!#REF!="Dial"</xm:f>
            <x14:dxf>
              <font>
                <b/>
                <i val="0"/>
                <color rgb="FFFF0000"/>
              </font>
            </x14:dxf>
          </x14:cfRule>
          <x14:cfRule type="expression" priority="2598" id="{FD6CF4D5-B027-466E-93BB-684EDB167A84}">
            <xm:f>'TC1'!#REF!="HANGUP"</xm:f>
            <x14:dxf>
              <font>
                <b/>
                <i val="0"/>
              </font>
            </x14:dxf>
          </x14:cfRule>
          <xm:sqref>C17:C33</xm:sqref>
        </x14:conditionalFormatting>
        <x14:conditionalFormatting xmlns:xm="http://schemas.microsoft.com/office/excel/2006/main">
          <x14:cfRule type="expression" priority="5262" id="{D2E48D38-1D9A-472B-91B4-054C75919FE0}">
            <xm:f>'TC1'!$B9="Speak"</xm:f>
            <x14:dxf>
              <font>
                <b/>
                <i val="0"/>
                <color rgb="FFFF0000"/>
              </font>
            </x14:dxf>
          </x14:cfRule>
          <xm:sqref>C12:C15</xm:sqref>
        </x14:conditionalFormatting>
        <x14:conditionalFormatting xmlns:xm="http://schemas.microsoft.com/office/excel/2006/main">
          <x14:cfRule type="expression" priority="5263" id="{D2E48D38-1D9A-472B-91B4-054C75919FE0}">
            <xm:f>'TC1'!#REF!="Speak"</xm:f>
            <x14:dxf>
              <font>
                <b/>
                <i val="0"/>
                <color rgb="FFFF0000"/>
              </font>
            </x14:dxf>
          </x14:cfRule>
          <xm:sqref>C9:C11</xm:sqref>
        </x14:conditionalFormatting>
        <x14:conditionalFormatting xmlns:xm="http://schemas.microsoft.com/office/excel/2006/main">
          <x14:cfRule type="containsText" priority="5265" operator="containsText" text="WEB SERVICE" id="{BE43C30D-ACA7-4D08-8A44-5A4C84431EB0}">
            <xm:f>NOT(ISERROR(SEARCH("WEB SERVICE",'TC1'!#REF!)))</xm:f>
            <x14:dxf>
              <font>
                <color rgb="FF9C0006"/>
              </font>
              <fill>
                <patternFill>
                  <bgColor rgb="FFFFC7CE"/>
                </patternFill>
              </fill>
            </x14:dxf>
          </x14:cfRule>
          <x14:cfRule type="containsText" priority="5266" operator="containsText" text="DB" id="{C6CC1FAC-FD53-4A3E-A35A-43AA33A41185}">
            <xm:f>NOT(ISERROR(SEARCH("DB",'TC1'!#REF!)))</xm:f>
            <x14:dxf>
              <font>
                <color rgb="FF006100"/>
              </font>
              <fill>
                <patternFill>
                  <bgColor rgb="FFC6EFCE"/>
                </patternFill>
              </fill>
            </x14:dxf>
          </x14:cfRule>
          <xm:sqref>E9:E11</xm:sqref>
        </x14:conditionalFormatting>
        <x14:conditionalFormatting xmlns:xm="http://schemas.microsoft.com/office/excel/2006/main">
          <x14:cfRule type="containsText" priority="5267" operator="containsText" text="WEB SERVICE" id="{BE43C30D-ACA7-4D08-8A44-5A4C84431EB0}">
            <xm:f>NOT(ISERROR(SEARCH("WEB SERVICE",'TC1'!E9)))</xm:f>
            <x14:dxf>
              <font>
                <color rgb="FF9C0006"/>
              </font>
              <fill>
                <patternFill>
                  <bgColor rgb="FFFFC7CE"/>
                </patternFill>
              </fill>
            </x14:dxf>
          </x14:cfRule>
          <x14:cfRule type="containsText" priority="5268" operator="containsText" text="DB" id="{C6CC1FAC-FD53-4A3E-A35A-43AA33A41185}">
            <xm:f>NOT(ISERROR(SEARCH("DB",'TC1'!E9)))</xm:f>
            <x14:dxf>
              <font>
                <color rgb="FF006100"/>
              </font>
              <fill>
                <patternFill>
                  <bgColor rgb="FFC6EFCE"/>
                </patternFill>
              </fill>
            </x14:dxf>
          </x14:cfRule>
          <xm:sqref>E12:E15</xm:sqref>
        </x14:conditionalFormatting>
        <x14:conditionalFormatting xmlns:xm="http://schemas.microsoft.com/office/excel/2006/main">
          <x14:cfRule type="expression" priority="5273" id="{5DAF338E-94E5-49D0-814C-01D986C2EDF0}">
            <xm:f>'TC1'!$B9="Dial"</xm:f>
            <x14:dxf>
              <font>
                <b/>
                <i val="0"/>
                <color rgb="FFFF0000"/>
              </font>
            </x14:dxf>
          </x14:cfRule>
          <x14:cfRule type="expression" priority="5274" id="{FD6CF4D5-B027-466E-93BB-684EDB167A84}">
            <xm:f>'TC1'!$B9="HANGUP"</xm:f>
            <x14:dxf>
              <font>
                <b/>
                <i val="0"/>
              </font>
            </x14:dxf>
          </x14:cfRule>
          <xm:sqref>C12:C15</xm:sqref>
        </x14:conditionalFormatting>
        <x14:conditionalFormatting xmlns:xm="http://schemas.microsoft.com/office/excel/2006/main">
          <x14:cfRule type="expression" priority="5275" id="{5DAF338E-94E5-49D0-814C-01D986C2EDF0}">
            <xm:f>'TC1'!#REF!="Dial"</xm:f>
            <x14:dxf>
              <font>
                <b/>
                <i val="0"/>
                <color rgb="FFFF0000"/>
              </font>
            </x14:dxf>
          </x14:cfRule>
          <x14:cfRule type="expression" priority="5276" id="{FD6CF4D5-B027-466E-93BB-684EDB167A84}">
            <xm:f>'TC1'!#REF!="HANGUP"</xm:f>
            <x14:dxf>
              <font>
                <b/>
                <i val="0"/>
              </font>
            </x14:dxf>
          </x14:cfRule>
          <xm:sqref>C9:C11</xm:sqref>
        </x14:conditionalFormatting>
        <x14:conditionalFormatting xmlns:xm="http://schemas.microsoft.com/office/excel/2006/main">
          <x14:cfRule type="expression" priority="7564" id="{D2E48D38-1D9A-472B-91B4-054C75919FE0}">
            <xm:f>'TC1'!$B15="Speak"</xm:f>
            <x14:dxf>
              <font>
                <b/>
                <i val="0"/>
                <color rgb="FFFF0000"/>
              </font>
            </x14:dxf>
          </x14:cfRule>
          <xm:sqref>C16</xm:sqref>
        </x14:conditionalFormatting>
        <x14:conditionalFormatting xmlns:xm="http://schemas.microsoft.com/office/excel/2006/main">
          <x14:cfRule type="containsText" priority="7567" operator="containsText" text="WEB SERVICE" id="{BE43C30D-ACA7-4D08-8A44-5A4C84431EB0}">
            <xm:f>NOT(ISERROR(SEARCH("WEB SERVICE",'TC1'!E15)))</xm:f>
            <x14:dxf>
              <font>
                <color rgb="FF9C0006"/>
              </font>
              <fill>
                <patternFill>
                  <bgColor rgb="FFFFC7CE"/>
                </patternFill>
              </fill>
            </x14:dxf>
          </x14:cfRule>
          <x14:cfRule type="containsText" priority="7568" operator="containsText" text="DB" id="{C6CC1FAC-FD53-4A3E-A35A-43AA33A41185}">
            <xm:f>NOT(ISERROR(SEARCH("DB",'TC1'!E15)))</xm:f>
            <x14:dxf>
              <font>
                <color rgb="FF006100"/>
              </font>
              <fill>
                <patternFill>
                  <bgColor rgb="FFC6EFCE"/>
                </patternFill>
              </fill>
            </x14:dxf>
          </x14:cfRule>
          <xm:sqref>E16</xm:sqref>
        </x14:conditionalFormatting>
        <x14:conditionalFormatting xmlns:xm="http://schemas.microsoft.com/office/excel/2006/main">
          <x14:cfRule type="expression" priority="7571" id="{5DAF338E-94E5-49D0-814C-01D986C2EDF0}">
            <xm:f>'TC1'!$B15="Dial"</xm:f>
            <x14:dxf>
              <font>
                <b/>
                <i val="0"/>
                <color rgb="FFFF0000"/>
              </font>
            </x14:dxf>
          </x14:cfRule>
          <x14:cfRule type="expression" priority="7572" id="{FD6CF4D5-B027-466E-93BB-684EDB167A84}">
            <xm:f>'TC1'!$B15="HANGUP"</xm:f>
            <x14:dxf>
              <font>
                <b/>
                <i val="0"/>
              </font>
            </x14:dxf>
          </x14:cfRule>
          <xm:sqref>C16</xm:sqref>
        </x14:conditionalFormatting>
        <x14:conditionalFormatting xmlns:xm="http://schemas.microsoft.com/office/excel/2006/main">
          <x14:cfRule type="containsText" priority="10152" operator="containsText" text="Hear" id="{40214357-93FB-4BB0-9A15-2F4A143614ED}">
            <xm:f>NOT(ISERROR(SEARCH("Hear",'TC26'!#REF!)))</xm:f>
            <x14:dxf>
              <font>
                <color theme="9" tint="-0.24994659260841701"/>
              </font>
              <fill>
                <patternFill>
                  <bgColor theme="9" tint="0.59996337778862885"/>
                </patternFill>
              </fill>
            </x14:dxf>
          </x14:cfRule>
          <xm:sqref>B39</xm:sqref>
        </x14:conditionalFormatting>
      </x14:conditionalFormattings>
    </ext>
  </extLst>
</worksheet>
</file>

<file path=xl/worksheets/sheet1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500-000000000000}">
  <sheetPr codeName="Sheet119"/>
  <dimension ref="A1:E44"/>
  <sheetViews>
    <sheetView zoomScaleNormal="100" workbookViewId="0">
      <selection sqref="A1:E44"/>
    </sheetView>
  </sheetViews>
  <sheetFormatPr defaultRowHeight="14.5" x14ac:dyDescent="0.35"/>
  <cols>
    <col min="1" max="1" width="14.453125" bestFit="1" customWidth="1"/>
    <col min="2" max="2" width="42.6328125" customWidth="1"/>
    <col min="3" max="3" width="106.1796875" customWidth="1"/>
    <col min="4" max="4" width="21.81640625" bestFit="1" customWidth="1"/>
    <col min="5" max="5" width="20.6328125" customWidth="1"/>
  </cols>
  <sheetData>
    <row r="1" spans="1:5" ht="18.5" x14ac:dyDescent="0.35">
      <c r="A1" s="192" t="s">
        <v>4</v>
      </c>
      <c r="B1" s="192"/>
      <c r="C1" s="105"/>
      <c r="D1" s="111"/>
      <c r="E1" s="97"/>
    </row>
    <row r="2" spans="1:5" x14ac:dyDescent="0.35">
      <c r="A2" s="106" t="s">
        <v>5</v>
      </c>
      <c r="B2" s="107" t="str">
        <f ca="1">MID(CELL("filename",A1),FIND("]",CELL("filename",A1))+1,LEN(CELL("filename",A1))-FIND("]",CELL("filename",A1)))</f>
        <v>TC117</v>
      </c>
      <c r="C2" s="98"/>
      <c r="D2" s="111"/>
      <c r="E2" s="97"/>
    </row>
    <row r="3" spans="1:5" x14ac:dyDescent="0.35">
      <c r="A3" s="104" t="s">
        <v>19</v>
      </c>
      <c r="B3" s="112">
        <f ca="1">VLOOKUP(B2,Table53[#All],2,FALSE)</f>
        <v>0</v>
      </c>
      <c r="C3" s="98"/>
      <c r="D3" s="111"/>
      <c r="E3" s="97"/>
    </row>
    <row r="4" spans="1:5" ht="29" x14ac:dyDescent="0.35">
      <c r="A4" s="113" t="s">
        <v>20</v>
      </c>
      <c r="B4" s="99">
        <f ca="1">VLOOKUP(B2,Table53[#All],4,FALSE)</f>
        <v>0</v>
      </c>
      <c r="C4" s="98"/>
      <c r="D4" s="111"/>
      <c r="E4" s="97"/>
    </row>
    <row r="5" spans="1:5" x14ac:dyDescent="0.35">
      <c r="A5" s="104" t="s">
        <v>6</v>
      </c>
      <c r="B5" s="77">
        <f ca="1">VLOOKUP(B2,Table53[#All],3,FALSE)</f>
        <v>0</v>
      </c>
      <c r="C5" s="98"/>
      <c r="D5" s="111"/>
      <c r="E5" s="97"/>
    </row>
    <row r="6" spans="1:5" x14ac:dyDescent="0.35">
      <c r="A6" s="97"/>
      <c r="B6" s="97"/>
      <c r="C6" s="98"/>
      <c r="D6" s="111"/>
      <c r="E6" s="97"/>
    </row>
    <row r="7" spans="1:5" ht="15.5" x14ac:dyDescent="0.35">
      <c r="A7" s="100" t="s">
        <v>7</v>
      </c>
      <c r="B7" s="101" t="s">
        <v>8</v>
      </c>
      <c r="C7" s="102" t="s">
        <v>9</v>
      </c>
      <c r="D7" s="102" t="s">
        <v>14</v>
      </c>
      <c r="E7" s="103" t="s">
        <v>10</v>
      </c>
    </row>
    <row r="8" spans="1:5" x14ac:dyDescent="0.35">
      <c r="A8" s="118">
        <v>1</v>
      </c>
      <c r="B8" s="114" t="s">
        <v>114</v>
      </c>
      <c r="C8" s="109" t="s">
        <v>125</v>
      </c>
      <c r="D8" s="128"/>
      <c r="E8" s="125" t="s">
        <v>11</v>
      </c>
    </row>
    <row r="9" spans="1:5" x14ac:dyDescent="0.35">
      <c r="A9" s="118">
        <v>2</v>
      </c>
      <c r="B9" s="114" t="s">
        <v>12</v>
      </c>
      <c r="C9" s="109" t="e">
        <f>VLOOKUP(Table257519913140106110140[[#This Row],[PEG]],Table1016[#All],2,FALSE)</f>
        <v>#N/A</v>
      </c>
      <c r="D9" s="128"/>
      <c r="E9" s="125" t="e">
        <f>VLOOKUP(Table257519913140106110140[[#This Row],[PEG]],Table1016[#All],3,FALSE)</f>
        <v>#N/A</v>
      </c>
    </row>
    <row r="10" spans="1:5" x14ac:dyDescent="0.35">
      <c r="A10" s="118">
        <v>3</v>
      </c>
      <c r="B10" s="114" t="s">
        <v>115</v>
      </c>
      <c r="C10" s="109" t="e">
        <f>VLOOKUP(Table257519913140106110140[[#This Row],[PEG]],Table1016[#All],2,FALSE)</f>
        <v>#N/A</v>
      </c>
      <c r="D10" s="128"/>
      <c r="E10" s="125" t="e">
        <f>VLOOKUP(Table257519913140106110140[[#This Row],[PEG]],Table1016[#All],3,FALSE)</f>
        <v>#N/A</v>
      </c>
    </row>
    <row r="11" spans="1:5" x14ac:dyDescent="0.35">
      <c r="A11" s="118">
        <v>4</v>
      </c>
      <c r="B11" s="114" t="s">
        <v>115</v>
      </c>
      <c r="C11" s="109" t="e">
        <f>VLOOKUP(Table257519913140106110140[[#This Row],[PEG]],Table1016[#All],2,FALSE)</f>
        <v>#N/A</v>
      </c>
      <c r="D11" s="128"/>
      <c r="E11" s="125" t="e">
        <f>VLOOKUP(Table257519913140106110140[[#This Row],[PEG]],Table1016[#All],3,FALSE)</f>
        <v>#N/A</v>
      </c>
    </row>
    <row r="12" spans="1:5" x14ac:dyDescent="0.35">
      <c r="A12" s="118">
        <v>5</v>
      </c>
      <c r="B12" s="114" t="s">
        <v>114</v>
      </c>
      <c r="C12" s="109" t="e">
        <f>VLOOKUP(Table257519913140106110140[[#This Row],[PEG]],Table1016[#All],2,FALSE)</f>
        <v>#N/A</v>
      </c>
      <c r="D12" s="128"/>
      <c r="E12" s="125" t="e">
        <f>VLOOKUP(Table257519913140106110140[[#This Row],[PEG]],Table1016[#All],3,FALSE)</f>
        <v>#N/A</v>
      </c>
    </row>
    <row r="13" spans="1:5" x14ac:dyDescent="0.35">
      <c r="A13" s="118">
        <v>6</v>
      </c>
      <c r="B13" s="114" t="s">
        <v>115</v>
      </c>
      <c r="C13" s="109" t="e">
        <f>VLOOKUP(Table257519913140106110140[[#This Row],[PEG]],Table1016[#All],2,FALSE)</f>
        <v>#N/A</v>
      </c>
      <c r="D13" s="128"/>
      <c r="E13" s="125" t="e">
        <f>VLOOKUP(Table257519913140106110140[[#This Row],[PEG]],Table1016[#All],3,FALSE)</f>
        <v>#N/A</v>
      </c>
    </row>
    <row r="14" spans="1:5" x14ac:dyDescent="0.35">
      <c r="A14" s="118">
        <v>7</v>
      </c>
      <c r="B14" s="114" t="s">
        <v>114</v>
      </c>
      <c r="C14" s="109" t="e">
        <f>VLOOKUP(Table257519913140106110140[[#This Row],[PEG]],Table1016[#All],2,FALSE)</f>
        <v>#N/A</v>
      </c>
      <c r="D14" s="128"/>
      <c r="E14" s="125" t="e">
        <f>VLOOKUP(Table257519913140106110140[[#This Row],[PEG]],Table1016[#All],3,FALSE)</f>
        <v>#N/A</v>
      </c>
    </row>
    <row r="15" spans="1:5" x14ac:dyDescent="0.35">
      <c r="A15" s="118">
        <v>8</v>
      </c>
      <c r="B15" s="114" t="s">
        <v>115</v>
      </c>
      <c r="C15" s="109" t="e">
        <f>VLOOKUP(Table257519913140106110140[[#This Row],[PEG]],Table1016[#All],2,FALSE)</f>
        <v>#N/A</v>
      </c>
      <c r="D15" s="116"/>
      <c r="E15" s="125" t="e">
        <f>VLOOKUP(Table257519913140106110140[[#This Row],[PEG]],Table1016[#All],3,FALSE)</f>
        <v>#N/A</v>
      </c>
    </row>
    <row r="16" spans="1:5" x14ac:dyDescent="0.35">
      <c r="A16" s="118">
        <v>9</v>
      </c>
      <c r="B16" s="114" t="s">
        <v>12</v>
      </c>
      <c r="C16" s="109" t="e">
        <f>VLOOKUP(Table257519913140106110140[[#This Row],[PEG]],Table1016[#All],2,FALSE)</f>
        <v>#N/A</v>
      </c>
      <c r="D16" s="116"/>
      <c r="E16" s="125" t="e">
        <f>VLOOKUP(Table257519913140106110140[[#This Row],[PEG]],Table1016[#All],3,FALSE)</f>
        <v>#N/A</v>
      </c>
    </row>
    <row r="17" spans="1:5" x14ac:dyDescent="0.35">
      <c r="A17" s="118">
        <v>10</v>
      </c>
      <c r="B17" s="114" t="s">
        <v>12</v>
      </c>
      <c r="C17" s="109" t="e">
        <f>VLOOKUP(Table257519913140106110140[[#This Row],[PEG]],Table1016[#All],2,FALSE)</f>
        <v>#N/A</v>
      </c>
      <c r="D17" s="117"/>
      <c r="E17" s="125" t="e">
        <f>VLOOKUP(Table257519913140106110140[[#This Row],[PEG]],Table1016[#All],3,FALSE)</f>
        <v>#N/A</v>
      </c>
    </row>
    <row r="18" spans="1:5" x14ac:dyDescent="0.35">
      <c r="A18" s="118">
        <v>11</v>
      </c>
      <c r="B18" s="114" t="s">
        <v>115</v>
      </c>
      <c r="C18" s="109" t="e">
        <f>VLOOKUP(Table257519913140106110140[[#This Row],[PEG]],Table1016[#All],2,FALSE)</f>
        <v>#N/A</v>
      </c>
      <c r="D18" s="117"/>
      <c r="E18" s="125" t="e">
        <f>VLOOKUP(Table257519913140106110140[[#This Row],[PEG]],Table1016[#All],3,FALSE)</f>
        <v>#N/A</v>
      </c>
    </row>
    <row r="19" spans="1:5" x14ac:dyDescent="0.35">
      <c r="A19" s="118">
        <v>12</v>
      </c>
      <c r="B19" s="114" t="s">
        <v>115</v>
      </c>
      <c r="C19" s="109" t="e">
        <f>VLOOKUP(Table257519913140106110140[[#This Row],[PEG]],Table1016[#All],2,FALSE)</f>
        <v>#N/A</v>
      </c>
      <c r="D19" s="117"/>
      <c r="E19" s="125" t="e">
        <f>VLOOKUP(Table257519913140106110140[[#This Row],[PEG]],Table1016[#All],3,FALSE)</f>
        <v>#N/A</v>
      </c>
    </row>
    <row r="20" spans="1:5" x14ac:dyDescent="0.35">
      <c r="A20" s="118">
        <v>13</v>
      </c>
      <c r="B20" s="114" t="s">
        <v>114</v>
      </c>
      <c r="C20" s="109" t="e">
        <f>VLOOKUP(Table257519913140106110140[[#This Row],[PEG]],Table1016[#All],2,FALSE)</f>
        <v>#N/A</v>
      </c>
      <c r="D20" s="117"/>
      <c r="E20" s="125" t="e">
        <f>VLOOKUP(Table257519913140106110140[[#This Row],[PEG]],Table1016[#All],3,FALSE)</f>
        <v>#N/A</v>
      </c>
    </row>
    <row r="21" spans="1:5" x14ac:dyDescent="0.35">
      <c r="A21" s="118">
        <v>14</v>
      </c>
      <c r="B21" s="114" t="s">
        <v>12</v>
      </c>
      <c r="C21" s="109" t="e">
        <f>VLOOKUP(Table257519913140106110140[[#This Row],[PEG]],Table1016[#All],2,FALSE)</f>
        <v>#N/A</v>
      </c>
      <c r="D21" s="117"/>
      <c r="E21" s="125" t="e">
        <f>VLOOKUP(Table257519913140106110140[[#This Row],[PEG]],Table1016[#All],3,FALSE)</f>
        <v>#N/A</v>
      </c>
    </row>
    <row r="22" spans="1:5" x14ac:dyDescent="0.35">
      <c r="A22" s="118">
        <v>15</v>
      </c>
      <c r="B22" s="114" t="s">
        <v>12</v>
      </c>
      <c r="C22" s="109" t="e">
        <f>VLOOKUP(Table257519913140106110140[[#This Row],[PEG]],Table1016[#All],2,FALSE)</f>
        <v>#N/A</v>
      </c>
      <c r="D22" s="117"/>
      <c r="E22" s="125" t="e">
        <f>VLOOKUP(Table257519913140106110140[[#This Row],[PEG]],Table1016[#All],3,FALSE)</f>
        <v>#N/A</v>
      </c>
    </row>
    <row r="23" spans="1:5" x14ac:dyDescent="0.35">
      <c r="A23" s="118">
        <v>16</v>
      </c>
      <c r="B23" s="114" t="s">
        <v>115</v>
      </c>
      <c r="C23" s="109" t="e">
        <f>VLOOKUP(Table257519913140106110140[[#This Row],[PEG]],Table1016[#All],2,FALSE)</f>
        <v>#N/A</v>
      </c>
      <c r="D23" s="117"/>
      <c r="E23" s="125" t="e">
        <f>VLOOKUP(Table257519913140106110140[[#This Row],[PEG]],Table1016[#All],3,FALSE)</f>
        <v>#N/A</v>
      </c>
    </row>
    <row r="24" spans="1:5" x14ac:dyDescent="0.35">
      <c r="A24" s="118">
        <v>17</v>
      </c>
      <c r="B24" s="114" t="s">
        <v>114</v>
      </c>
      <c r="C24" s="109" t="e">
        <f>VLOOKUP(Table257519913140106110140[[#This Row],[PEG]],Table1016[#All],2,FALSE)</f>
        <v>#N/A</v>
      </c>
      <c r="D24" s="117"/>
      <c r="E24" s="125" t="e">
        <f>VLOOKUP(Table257519913140106110140[[#This Row],[PEG]],Table1016[#All],3,FALSE)</f>
        <v>#N/A</v>
      </c>
    </row>
    <row r="25" spans="1:5" x14ac:dyDescent="0.35">
      <c r="A25" s="118">
        <v>18</v>
      </c>
      <c r="B25" s="114" t="s">
        <v>12</v>
      </c>
      <c r="C25" s="109" t="e">
        <f>VLOOKUP(Table257519913140106110140[[#This Row],[PEG]],Table1016[#All],2,FALSE)</f>
        <v>#N/A</v>
      </c>
      <c r="D25" s="117"/>
      <c r="E25" s="125" t="e">
        <f>VLOOKUP(Table257519913140106110140[[#This Row],[PEG]],Table1016[#All],3,FALSE)</f>
        <v>#N/A</v>
      </c>
    </row>
    <row r="26" spans="1:5" x14ac:dyDescent="0.35">
      <c r="A26" s="118">
        <v>19</v>
      </c>
      <c r="B26" s="114" t="s">
        <v>12</v>
      </c>
      <c r="C26" s="109" t="e">
        <f>VLOOKUP(Table257519913140106110140[[#This Row],[PEG]],Table1016[#All],2,FALSE)</f>
        <v>#N/A</v>
      </c>
      <c r="D26" s="117"/>
      <c r="E26" s="125" t="e">
        <f>VLOOKUP(Table257519913140106110140[[#This Row],[PEG]],Table1016[#All],3,FALSE)</f>
        <v>#N/A</v>
      </c>
    </row>
    <row r="27" spans="1:5" x14ac:dyDescent="0.35">
      <c r="A27" s="118">
        <v>20</v>
      </c>
      <c r="B27" s="114" t="s">
        <v>115</v>
      </c>
      <c r="C27" s="109" t="e">
        <f>VLOOKUP(Table257519913140106110140[[#This Row],[PEG]],Table1016[#All],2,FALSE)</f>
        <v>#N/A</v>
      </c>
      <c r="D27" s="117"/>
      <c r="E27" s="125" t="e">
        <f>VLOOKUP(Table257519913140106110140[[#This Row],[PEG]],Table1016[#All],3,FALSE)</f>
        <v>#N/A</v>
      </c>
    </row>
    <row r="28" spans="1:5" x14ac:dyDescent="0.35">
      <c r="A28" s="118">
        <v>21</v>
      </c>
      <c r="B28" s="114" t="s">
        <v>114</v>
      </c>
      <c r="C28" s="109" t="e">
        <f>VLOOKUP(Table257519913140106110140[[#This Row],[PEG]],Table1016[#All],2,FALSE)</f>
        <v>#N/A</v>
      </c>
      <c r="D28" s="117"/>
      <c r="E28" s="125" t="e">
        <f>VLOOKUP(Table257519913140106110140[[#This Row],[PEG]],Table1016[#All],3,FALSE)</f>
        <v>#N/A</v>
      </c>
    </row>
    <row r="29" spans="1:5" x14ac:dyDescent="0.35">
      <c r="A29" s="118">
        <v>22</v>
      </c>
      <c r="B29" s="114" t="s">
        <v>12</v>
      </c>
      <c r="C29" s="109" t="e">
        <f>VLOOKUP(Table257519913140106110140[[#This Row],[PEG]],Table1016[#All],2,FALSE)</f>
        <v>#N/A</v>
      </c>
      <c r="D29" s="117"/>
      <c r="E29" s="125" t="e">
        <f>VLOOKUP(Table257519913140106110140[[#This Row],[PEG]],Table1016[#All],3,FALSE)</f>
        <v>#N/A</v>
      </c>
    </row>
    <row r="30" spans="1:5" x14ac:dyDescent="0.35">
      <c r="A30" s="118">
        <v>23</v>
      </c>
      <c r="B30" s="114" t="s">
        <v>12</v>
      </c>
      <c r="C30" s="109" t="e">
        <f>VLOOKUP(Table257519913140106110140[[#This Row],[PEG]],Table1016[#All],2,FALSE)</f>
        <v>#N/A</v>
      </c>
      <c r="D30" s="117"/>
      <c r="E30" s="125" t="e">
        <f>VLOOKUP(Table257519913140106110140[[#This Row],[PEG]],Table1016[#All],3,FALSE)</f>
        <v>#N/A</v>
      </c>
    </row>
    <row r="31" spans="1:5" x14ac:dyDescent="0.35">
      <c r="A31" s="118">
        <v>24</v>
      </c>
      <c r="B31" s="114" t="s">
        <v>115</v>
      </c>
      <c r="C31" s="109" t="e">
        <f>VLOOKUP(Table257519913140106110140[[#This Row],[PEG]],Table1016[#All],2,FALSE)</f>
        <v>#N/A</v>
      </c>
      <c r="D31" s="117"/>
      <c r="E31" s="125" t="e">
        <f>VLOOKUP(Table257519913140106110140[[#This Row],[PEG]],Table1016[#All],3,FALSE)</f>
        <v>#N/A</v>
      </c>
    </row>
    <row r="32" spans="1:5" x14ac:dyDescent="0.35">
      <c r="A32" s="118">
        <v>25</v>
      </c>
      <c r="B32" s="114" t="s">
        <v>115</v>
      </c>
      <c r="C32" s="109" t="e">
        <f>VLOOKUP(Table257519913140106110140[[#This Row],[PEG]],Table1016[#All],2,FALSE)</f>
        <v>#N/A</v>
      </c>
      <c r="D32" s="117"/>
      <c r="E32" s="125" t="e">
        <f>VLOOKUP(Table257519913140106110140[[#This Row],[PEG]],Table1016[#All],3,FALSE)</f>
        <v>#N/A</v>
      </c>
    </row>
    <row r="33" spans="1:5" x14ac:dyDescent="0.35">
      <c r="A33" s="118">
        <v>26</v>
      </c>
      <c r="B33" s="114" t="s">
        <v>124</v>
      </c>
      <c r="C33" s="109" t="e">
        <f>VLOOKUP(Table257519913140106110140[[#This Row],[PEG]],Table1016[#All],2,FALSE)</f>
        <v>#N/A</v>
      </c>
      <c r="D33" s="117"/>
      <c r="E33" s="125" t="e">
        <f>VLOOKUP(Table257519913140106110140[[#This Row],[PEG]],Table1016[#All],3,FALSE)</f>
        <v>#N/A</v>
      </c>
    </row>
    <row r="34" spans="1:5" x14ac:dyDescent="0.35">
      <c r="A34" s="118">
        <v>27</v>
      </c>
      <c r="B34" s="114" t="s">
        <v>115</v>
      </c>
      <c r="C34" s="109" t="e">
        <f>VLOOKUP(Table257519913140106110140[[#This Row],[PEG]],Table1016[#All],2,FALSE)</f>
        <v>#N/A</v>
      </c>
      <c r="D34" s="117"/>
      <c r="E34" s="125" t="e">
        <f>VLOOKUP(Table257519913140106110140[[#This Row],[PEG]],Table1016[#All],3,FALSE)</f>
        <v>#N/A</v>
      </c>
    </row>
    <row r="35" spans="1:5" x14ac:dyDescent="0.35">
      <c r="A35" s="118">
        <v>28</v>
      </c>
      <c r="B35" s="114" t="s">
        <v>124</v>
      </c>
      <c r="C35" s="109" t="e">
        <f>VLOOKUP(Table257519913140106110140[[#This Row],[PEG]],Table1016[#All],2,FALSE)</f>
        <v>#N/A</v>
      </c>
      <c r="D35" s="117"/>
      <c r="E35" s="125" t="e">
        <f>VLOOKUP(Table257519913140106110140[[#This Row],[PEG]],Table1016[#All],3,FALSE)</f>
        <v>#N/A</v>
      </c>
    </row>
    <row r="36" spans="1:5" x14ac:dyDescent="0.35">
      <c r="A36" s="118">
        <v>29</v>
      </c>
      <c r="B36" s="114" t="s">
        <v>115</v>
      </c>
      <c r="C36" s="109" t="e">
        <f>VLOOKUP(Table257519913140106110140[[#This Row],[PEG]],Table1016[#All],2,FALSE)</f>
        <v>#N/A</v>
      </c>
      <c r="D36" s="117"/>
      <c r="E36" s="125" t="e">
        <f>VLOOKUP(Table257519913140106110140[[#This Row],[PEG]],Table1016[#All],3,FALSE)</f>
        <v>#N/A</v>
      </c>
    </row>
    <row r="37" spans="1:5" x14ac:dyDescent="0.35">
      <c r="A37" s="118">
        <v>30</v>
      </c>
      <c r="B37" s="114" t="s">
        <v>12</v>
      </c>
      <c r="C37" s="109" t="e">
        <f>VLOOKUP(Table257519913140106110140[[#This Row],[PEG]],Table1016[#All],2,FALSE)</f>
        <v>#N/A</v>
      </c>
      <c r="D37" s="117"/>
      <c r="E37" s="125" t="e">
        <f>VLOOKUP(Table257519913140106110140[[#This Row],[PEG]],Table1016[#All],3,FALSE)</f>
        <v>#N/A</v>
      </c>
    </row>
    <row r="38" spans="1:5" x14ac:dyDescent="0.35">
      <c r="A38" s="118">
        <v>31</v>
      </c>
      <c r="B38" s="114" t="s">
        <v>12</v>
      </c>
      <c r="C38" s="109" t="e">
        <f>VLOOKUP(Table257519913140106110140[[#This Row],[PEG]],Table1016[#All],2,FALSE)</f>
        <v>#N/A</v>
      </c>
      <c r="D38" s="117"/>
      <c r="E38" s="125" t="e">
        <f>VLOOKUP(Table257519913140106110140[[#This Row],[PEG]],Table1016[#All],3,FALSE)</f>
        <v>#N/A</v>
      </c>
    </row>
    <row r="39" spans="1:5" x14ac:dyDescent="0.35">
      <c r="A39" s="118">
        <v>32</v>
      </c>
      <c r="B39" s="114" t="s">
        <v>12</v>
      </c>
      <c r="C39" s="109" t="e">
        <f>VLOOKUP(Table257519913140106110140[[#This Row],[PEG]],Table1016[#All],2,FALSE)</f>
        <v>#N/A</v>
      </c>
      <c r="D39" s="117"/>
      <c r="E39" s="125" t="e">
        <f>VLOOKUP(Table257519913140106110140[[#This Row],[PEG]],Table1016[#All],3,FALSE)</f>
        <v>#N/A</v>
      </c>
    </row>
    <row r="40" spans="1:5" x14ac:dyDescent="0.35">
      <c r="A40" s="118">
        <v>33</v>
      </c>
      <c r="B40" s="114" t="s">
        <v>12</v>
      </c>
      <c r="C40" s="109" t="e">
        <f>VLOOKUP(Table257519913140106110140[[#This Row],[PEG]],Table1016[#All],2,FALSE)</f>
        <v>#N/A</v>
      </c>
      <c r="D40" s="117"/>
      <c r="E40" s="125" t="e">
        <f>VLOOKUP(Table257519913140106110140[[#This Row],[PEG]],Table1016[#All],3,FALSE)</f>
        <v>#N/A</v>
      </c>
    </row>
    <row r="41" spans="1:5" x14ac:dyDescent="0.35">
      <c r="A41" s="118">
        <v>34</v>
      </c>
      <c r="B41" s="114" t="s">
        <v>115</v>
      </c>
      <c r="C41" s="109" t="e">
        <f>VLOOKUP(Table257519913140106110140[[#This Row],[PEG]],Table1016[#All],2,FALSE)</f>
        <v>#N/A</v>
      </c>
      <c r="D41" s="117"/>
      <c r="E41" s="125" t="e">
        <f>VLOOKUP(Table257519913140106110140[[#This Row],[PEG]],Table1016[#All],3,FALSE)</f>
        <v>#N/A</v>
      </c>
    </row>
    <row r="42" spans="1:5" x14ac:dyDescent="0.35">
      <c r="A42" s="118">
        <v>35</v>
      </c>
      <c r="B42" s="114" t="s">
        <v>12</v>
      </c>
      <c r="C42" s="109" t="e">
        <f>VLOOKUP(Table257519913140106110140[[#This Row],[PEG]],Table1016[#All],2,FALSE)</f>
        <v>#N/A</v>
      </c>
      <c r="D42" s="115"/>
      <c r="E42" s="125" t="e">
        <f>VLOOKUP(Table257519913140106110140[[#This Row],[PEG]],Table1016[#All],3,FALSE)</f>
        <v>#N/A</v>
      </c>
    </row>
    <row r="43" spans="1:5" x14ac:dyDescent="0.35">
      <c r="A43" s="118">
        <v>36</v>
      </c>
      <c r="B43" s="114" t="s">
        <v>115</v>
      </c>
      <c r="C43" s="109" t="e">
        <f>VLOOKUP(Table257519913140106110140[[#This Row],[PEG]],Table1016[#All],2,FALSE)</f>
        <v>#N/A</v>
      </c>
      <c r="D43" s="115"/>
      <c r="E43" s="125" t="e">
        <f>VLOOKUP(Table257519913140106110140[[#This Row],[PEG]],Table1016[#All],3,FALSE)</f>
        <v>#N/A</v>
      </c>
    </row>
    <row r="44" spans="1:5" x14ac:dyDescent="0.35">
      <c r="A44" s="118">
        <v>37</v>
      </c>
      <c r="B44" s="114" t="s">
        <v>13</v>
      </c>
      <c r="C44" s="18" t="s">
        <v>13</v>
      </c>
      <c r="D44" s="115"/>
      <c r="E44" s="32"/>
    </row>
  </sheetData>
  <mergeCells count="1">
    <mergeCell ref="A1:B1"/>
  </mergeCells>
  <conditionalFormatting sqref="B8:B18">
    <cfRule type="containsText" dxfId="2113" priority="1" operator="containsText" text="Hear">
      <formula>NOT(ISERROR(SEARCH("Hear",B8)))</formula>
    </cfRule>
  </conditionalFormatting>
  <conditionalFormatting sqref="B30">
    <cfRule type="containsText" dxfId="2112" priority="4" operator="containsText" text="Hear">
      <formula>NOT(ISERROR(SEARCH("Hear",B30)))</formula>
    </cfRule>
  </conditionalFormatting>
  <conditionalFormatting sqref="B43:B44">
    <cfRule type="containsText" dxfId="2111" priority="8" operator="containsText" text="Hear">
      <formula>NOT(ISERROR(SEARCH("Hear",B43)))</formula>
    </cfRule>
  </conditionalFormatting>
  <conditionalFormatting sqref="E44">
    <cfRule type="containsText" dxfId="2110" priority="6" operator="containsText" text="WEB SERVICE">
      <formula>NOT(ISERROR(SEARCH("WEB SERVICE",E44)))</formula>
    </cfRule>
    <cfRule type="containsText" dxfId="2109" priority="7" operator="containsText" text="DB">
      <formula>NOT(ISERROR(SEARCH("DB",E44)))</formula>
    </cfRule>
  </conditionalFormatting>
  <conditionalFormatting sqref="C44">
    <cfRule type="expression" dxfId="2108" priority="9">
      <formula>$B44="Dial"</formula>
    </cfRule>
    <cfRule type="expression" dxfId="2107" priority="11">
      <formula>$B44="HANGUP"</formula>
    </cfRule>
  </conditionalFormatting>
  <conditionalFormatting sqref="C44">
    <cfRule type="expression" dxfId="2106" priority="10">
      <formula>$B44="Speak"</formula>
    </cfRule>
  </conditionalFormatting>
  <conditionalFormatting sqref="B36:B38 B40:B41">
    <cfRule type="containsText" dxfId="2105" priority="3" operator="containsText" text="Hear">
      <formula>NOT(ISERROR(SEARCH("Hear",B36)))</formula>
    </cfRule>
  </conditionalFormatting>
  <conditionalFormatting sqref="B19:B29 B31:B35 B42">
    <cfRule type="containsText" dxfId="2104" priority="5" operator="containsText" text="Hear">
      <formula>NOT(ISERROR(SEARCH("Hear",B19)))</formula>
    </cfRule>
  </conditionalFormatting>
  <hyperlinks>
    <hyperlink ref="A1" location="'Test Case Overview'!A1" display="Return to Test Case Overview" xr:uid="{01824E2E-0FD8-4B18-AA27-D8BF1C8AA24E}"/>
  </hyperlinks>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expression" priority="12" id="{A0BF26FC-4B86-4A95-AE9E-D5AF2C806349}">
            <xm:f>'TC1'!$B8="Speak"</xm:f>
            <x14:dxf>
              <font>
                <b/>
                <i val="0"/>
                <color rgb="FFFF0000"/>
              </font>
            </x14:dxf>
          </x14:cfRule>
          <xm:sqref>C8</xm:sqref>
        </x14:conditionalFormatting>
        <x14:conditionalFormatting xmlns:xm="http://schemas.microsoft.com/office/excel/2006/main">
          <x14:cfRule type="containsText" priority="15" operator="containsText" text="Hear" id="{C113DB4E-A045-46AF-B294-81A83B318AA5}">
            <xm:f>NOT(ISERROR(SEARCH("Hear",'TC3'!B34)))</xm:f>
            <x14:dxf>
              <font>
                <color theme="9" tint="-0.24994659260841701"/>
              </font>
              <fill>
                <patternFill>
                  <bgColor theme="9" tint="0.59996337778862885"/>
                </patternFill>
              </fill>
            </x14:dxf>
          </x14:cfRule>
          <xm:sqref>B41</xm:sqref>
        </x14:conditionalFormatting>
        <x14:conditionalFormatting xmlns:xm="http://schemas.microsoft.com/office/excel/2006/main">
          <x14:cfRule type="expression" priority="16" id="{33B20648-FA88-4B1B-A392-7B4F14AA2950}">
            <xm:f>'TC1'!$B8="Dial"</xm:f>
            <x14:dxf>
              <font>
                <b/>
                <i val="0"/>
                <color rgb="FFFF0000"/>
              </font>
            </x14:dxf>
          </x14:cfRule>
          <x14:cfRule type="expression" priority="16" id="{A4883667-E5AB-4B82-8BEB-4F4AF65E2246}">
            <xm:f>'TC1'!$B8="HANGUP"</xm:f>
            <x14:dxf>
              <font>
                <b/>
                <i val="0"/>
              </font>
            </x14:dxf>
          </x14:cfRule>
          <xm:sqref>C8</xm:sqref>
        </x14:conditionalFormatting>
        <x14:conditionalFormatting xmlns:xm="http://schemas.microsoft.com/office/excel/2006/main">
          <x14:cfRule type="expression" priority="2602" id="{A0BF26FC-4B86-4A95-AE9E-D5AF2C806349}">
            <xm:f>'TC1'!$B16="Speak"</xm:f>
            <x14:dxf>
              <font>
                <b/>
                <i val="0"/>
                <color rgb="FFFF0000"/>
              </font>
            </x14:dxf>
          </x14:cfRule>
          <xm:sqref>C34:C43</xm:sqref>
        </x14:conditionalFormatting>
        <x14:conditionalFormatting xmlns:xm="http://schemas.microsoft.com/office/excel/2006/main">
          <x14:cfRule type="expression" priority="2603" id="{A0BF26FC-4B86-4A95-AE9E-D5AF2C806349}">
            <xm:f>'TC1'!#REF!="Speak"</xm:f>
            <x14:dxf>
              <font>
                <b/>
                <i val="0"/>
                <color rgb="FFFF0000"/>
              </font>
            </x14:dxf>
          </x14:cfRule>
          <xm:sqref>C17:C33</xm:sqref>
        </x14:conditionalFormatting>
        <x14:conditionalFormatting xmlns:xm="http://schemas.microsoft.com/office/excel/2006/main">
          <x14:cfRule type="containsText" priority="2607" operator="containsText" text="WEB SERVICE" id="{F2B416C1-CC5C-4A64-A968-B63656CD6D65}">
            <xm:f>NOT(ISERROR(SEARCH("WEB SERVICE",'TC1'!E16)))</xm:f>
            <x14:dxf>
              <font>
                <color rgb="FF9C0006"/>
              </font>
              <fill>
                <patternFill>
                  <bgColor rgb="FFFFC7CE"/>
                </patternFill>
              </fill>
            </x14:dxf>
          </x14:cfRule>
          <x14:cfRule type="containsText" priority="2608" operator="containsText" text="DB" id="{6A563591-5097-46E9-AB21-5EF3EC79FA50}">
            <xm:f>NOT(ISERROR(SEARCH("DB",'TC1'!E16)))</xm:f>
            <x14:dxf>
              <font>
                <color rgb="FF006100"/>
              </font>
              <fill>
                <patternFill>
                  <bgColor rgb="FFC6EFCE"/>
                </patternFill>
              </fill>
            </x14:dxf>
          </x14:cfRule>
          <xm:sqref>E34:E43</xm:sqref>
        </x14:conditionalFormatting>
        <x14:conditionalFormatting xmlns:xm="http://schemas.microsoft.com/office/excel/2006/main">
          <x14:cfRule type="containsText" priority="2609" operator="containsText" text="WEB SERVICE" id="{F2B416C1-CC5C-4A64-A968-B63656CD6D65}">
            <xm:f>NOT(ISERROR(SEARCH("WEB SERVICE",'TC1'!#REF!)))</xm:f>
            <x14:dxf>
              <font>
                <color rgb="FF9C0006"/>
              </font>
              <fill>
                <patternFill>
                  <bgColor rgb="FFFFC7CE"/>
                </patternFill>
              </fill>
            </x14:dxf>
          </x14:cfRule>
          <x14:cfRule type="containsText" priority="2610" operator="containsText" text="DB" id="{6A563591-5097-46E9-AB21-5EF3EC79FA50}">
            <xm:f>NOT(ISERROR(SEARCH("DB",'TC1'!#REF!)))</xm:f>
            <x14:dxf>
              <font>
                <color rgb="FF006100"/>
              </font>
              <fill>
                <patternFill>
                  <bgColor rgb="FFC6EFCE"/>
                </patternFill>
              </fill>
            </x14:dxf>
          </x14:cfRule>
          <xm:sqref>E17:E33</xm:sqref>
        </x14:conditionalFormatting>
        <x14:conditionalFormatting xmlns:xm="http://schemas.microsoft.com/office/excel/2006/main">
          <x14:cfRule type="expression" priority="2615" id="{33B20648-FA88-4B1B-A392-7B4F14AA2950}">
            <xm:f>'TC1'!$B16="Dial"</xm:f>
            <x14:dxf>
              <font>
                <b/>
                <i val="0"/>
                <color rgb="FFFF0000"/>
              </font>
            </x14:dxf>
          </x14:cfRule>
          <x14:cfRule type="expression" priority="2616" id="{A4883667-E5AB-4B82-8BEB-4F4AF65E2246}">
            <xm:f>'TC1'!$B16="HANGUP"</xm:f>
            <x14:dxf>
              <font>
                <b/>
                <i val="0"/>
              </font>
            </x14:dxf>
          </x14:cfRule>
          <xm:sqref>C34:C43</xm:sqref>
        </x14:conditionalFormatting>
        <x14:conditionalFormatting xmlns:xm="http://schemas.microsoft.com/office/excel/2006/main">
          <x14:cfRule type="expression" priority="2617" id="{33B20648-FA88-4B1B-A392-7B4F14AA2950}">
            <xm:f>'TC1'!#REF!="Dial"</xm:f>
            <x14:dxf>
              <font>
                <b/>
                <i val="0"/>
                <color rgb="FFFF0000"/>
              </font>
            </x14:dxf>
          </x14:cfRule>
          <x14:cfRule type="expression" priority="2618" id="{A4883667-E5AB-4B82-8BEB-4F4AF65E2246}">
            <xm:f>'TC1'!#REF!="HANGUP"</xm:f>
            <x14:dxf>
              <font>
                <b/>
                <i val="0"/>
              </font>
            </x14:dxf>
          </x14:cfRule>
          <xm:sqref>C17:C33</xm:sqref>
        </x14:conditionalFormatting>
        <x14:conditionalFormatting xmlns:xm="http://schemas.microsoft.com/office/excel/2006/main">
          <x14:cfRule type="expression" priority="5280" id="{A0BF26FC-4B86-4A95-AE9E-D5AF2C806349}">
            <xm:f>'TC1'!$B9="Speak"</xm:f>
            <x14:dxf>
              <font>
                <b/>
                <i val="0"/>
                <color rgb="FFFF0000"/>
              </font>
            </x14:dxf>
          </x14:cfRule>
          <xm:sqref>C12:C15</xm:sqref>
        </x14:conditionalFormatting>
        <x14:conditionalFormatting xmlns:xm="http://schemas.microsoft.com/office/excel/2006/main">
          <x14:cfRule type="expression" priority="5281" id="{A0BF26FC-4B86-4A95-AE9E-D5AF2C806349}">
            <xm:f>'TC1'!#REF!="Speak"</xm:f>
            <x14:dxf>
              <font>
                <b/>
                <i val="0"/>
                <color rgb="FFFF0000"/>
              </font>
            </x14:dxf>
          </x14:cfRule>
          <xm:sqref>C9:C11</xm:sqref>
        </x14:conditionalFormatting>
        <x14:conditionalFormatting xmlns:xm="http://schemas.microsoft.com/office/excel/2006/main">
          <x14:cfRule type="containsText" priority="5283" operator="containsText" text="WEB SERVICE" id="{F2B416C1-CC5C-4A64-A968-B63656CD6D65}">
            <xm:f>NOT(ISERROR(SEARCH("WEB SERVICE",'TC1'!#REF!)))</xm:f>
            <x14:dxf>
              <font>
                <color rgb="FF9C0006"/>
              </font>
              <fill>
                <patternFill>
                  <bgColor rgb="FFFFC7CE"/>
                </patternFill>
              </fill>
            </x14:dxf>
          </x14:cfRule>
          <x14:cfRule type="containsText" priority="5284" operator="containsText" text="DB" id="{6A563591-5097-46E9-AB21-5EF3EC79FA50}">
            <xm:f>NOT(ISERROR(SEARCH("DB",'TC1'!#REF!)))</xm:f>
            <x14:dxf>
              <font>
                <color rgb="FF006100"/>
              </font>
              <fill>
                <patternFill>
                  <bgColor rgb="FFC6EFCE"/>
                </patternFill>
              </fill>
            </x14:dxf>
          </x14:cfRule>
          <xm:sqref>E9:E11</xm:sqref>
        </x14:conditionalFormatting>
        <x14:conditionalFormatting xmlns:xm="http://schemas.microsoft.com/office/excel/2006/main">
          <x14:cfRule type="containsText" priority="5285" operator="containsText" text="WEB SERVICE" id="{F2B416C1-CC5C-4A64-A968-B63656CD6D65}">
            <xm:f>NOT(ISERROR(SEARCH("WEB SERVICE",'TC1'!E9)))</xm:f>
            <x14:dxf>
              <font>
                <color rgb="FF9C0006"/>
              </font>
              <fill>
                <patternFill>
                  <bgColor rgb="FFFFC7CE"/>
                </patternFill>
              </fill>
            </x14:dxf>
          </x14:cfRule>
          <x14:cfRule type="containsText" priority="5286" operator="containsText" text="DB" id="{6A563591-5097-46E9-AB21-5EF3EC79FA50}">
            <xm:f>NOT(ISERROR(SEARCH("DB",'TC1'!E9)))</xm:f>
            <x14:dxf>
              <font>
                <color rgb="FF006100"/>
              </font>
              <fill>
                <patternFill>
                  <bgColor rgb="FFC6EFCE"/>
                </patternFill>
              </fill>
            </x14:dxf>
          </x14:cfRule>
          <xm:sqref>E12:E15</xm:sqref>
        </x14:conditionalFormatting>
        <x14:conditionalFormatting xmlns:xm="http://schemas.microsoft.com/office/excel/2006/main">
          <x14:cfRule type="expression" priority="5291" id="{33B20648-FA88-4B1B-A392-7B4F14AA2950}">
            <xm:f>'TC1'!$B9="Dial"</xm:f>
            <x14:dxf>
              <font>
                <b/>
                <i val="0"/>
                <color rgb="FFFF0000"/>
              </font>
            </x14:dxf>
          </x14:cfRule>
          <x14:cfRule type="expression" priority="5292" id="{A4883667-E5AB-4B82-8BEB-4F4AF65E2246}">
            <xm:f>'TC1'!$B9="HANGUP"</xm:f>
            <x14:dxf>
              <font>
                <b/>
                <i val="0"/>
              </font>
            </x14:dxf>
          </x14:cfRule>
          <xm:sqref>C12:C15</xm:sqref>
        </x14:conditionalFormatting>
        <x14:conditionalFormatting xmlns:xm="http://schemas.microsoft.com/office/excel/2006/main">
          <x14:cfRule type="expression" priority="5293" id="{33B20648-FA88-4B1B-A392-7B4F14AA2950}">
            <xm:f>'TC1'!#REF!="Dial"</xm:f>
            <x14:dxf>
              <font>
                <b/>
                <i val="0"/>
                <color rgb="FFFF0000"/>
              </font>
            </x14:dxf>
          </x14:cfRule>
          <x14:cfRule type="expression" priority="5294" id="{A4883667-E5AB-4B82-8BEB-4F4AF65E2246}">
            <xm:f>'TC1'!#REF!="HANGUP"</xm:f>
            <x14:dxf>
              <font>
                <b/>
                <i val="0"/>
              </font>
            </x14:dxf>
          </x14:cfRule>
          <xm:sqref>C9:C11</xm:sqref>
        </x14:conditionalFormatting>
        <x14:conditionalFormatting xmlns:xm="http://schemas.microsoft.com/office/excel/2006/main">
          <x14:cfRule type="expression" priority="7579" id="{A0BF26FC-4B86-4A95-AE9E-D5AF2C806349}">
            <xm:f>'TC1'!$B15="Speak"</xm:f>
            <x14:dxf>
              <font>
                <b/>
                <i val="0"/>
                <color rgb="FFFF0000"/>
              </font>
            </x14:dxf>
          </x14:cfRule>
          <xm:sqref>C16</xm:sqref>
        </x14:conditionalFormatting>
        <x14:conditionalFormatting xmlns:xm="http://schemas.microsoft.com/office/excel/2006/main">
          <x14:cfRule type="containsText" priority="7582" operator="containsText" text="WEB SERVICE" id="{F2B416C1-CC5C-4A64-A968-B63656CD6D65}">
            <xm:f>NOT(ISERROR(SEARCH("WEB SERVICE",'TC1'!E15)))</xm:f>
            <x14:dxf>
              <font>
                <color rgb="FF9C0006"/>
              </font>
              <fill>
                <patternFill>
                  <bgColor rgb="FFFFC7CE"/>
                </patternFill>
              </fill>
            </x14:dxf>
          </x14:cfRule>
          <x14:cfRule type="containsText" priority="7583" operator="containsText" text="DB" id="{6A563591-5097-46E9-AB21-5EF3EC79FA50}">
            <xm:f>NOT(ISERROR(SEARCH("DB",'TC1'!E15)))</xm:f>
            <x14:dxf>
              <font>
                <color rgb="FF006100"/>
              </font>
              <fill>
                <patternFill>
                  <bgColor rgb="FFC6EFCE"/>
                </patternFill>
              </fill>
            </x14:dxf>
          </x14:cfRule>
          <xm:sqref>E16</xm:sqref>
        </x14:conditionalFormatting>
        <x14:conditionalFormatting xmlns:xm="http://schemas.microsoft.com/office/excel/2006/main">
          <x14:cfRule type="expression" priority="7586" id="{33B20648-FA88-4B1B-A392-7B4F14AA2950}">
            <xm:f>'TC1'!$B15="Dial"</xm:f>
            <x14:dxf>
              <font>
                <b/>
                <i val="0"/>
                <color rgb="FFFF0000"/>
              </font>
            </x14:dxf>
          </x14:cfRule>
          <x14:cfRule type="expression" priority="7587" id="{A4883667-E5AB-4B82-8BEB-4F4AF65E2246}">
            <xm:f>'TC1'!$B15="HANGUP"</xm:f>
            <x14:dxf>
              <font>
                <b/>
                <i val="0"/>
              </font>
            </x14:dxf>
          </x14:cfRule>
          <xm:sqref>C16</xm:sqref>
        </x14:conditionalFormatting>
        <x14:conditionalFormatting xmlns:xm="http://schemas.microsoft.com/office/excel/2006/main">
          <x14:cfRule type="containsText" priority="10172" operator="containsText" text="Hear" id="{26EC5E61-952C-4618-90A5-5A0CE3619177}">
            <xm:f>NOT(ISERROR(SEARCH("Hear",'TC26'!#REF!)))</xm:f>
            <x14:dxf>
              <font>
                <color theme="9" tint="-0.24994659260841701"/>
              </font>
              <fill>
                <patternFill>
                  <bgColor theme="9" tint="0.59996337778862885"/>
                </patternFill>
              </fill>
            </x14:dxf>
          </x14:cfRule>
          <xm:sqref>B39</xm:sqref>
        </x14:conditionalFormatting>
      </x14:conditionalFormattings>
    </ext>
  </extLst>
</worksheet>
</file>

<file path=xl/worksheets/sheet1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600-000000000000}">
  <sheetPr codeName="Sheet120"/>
  <dimension ref="A1:E44"/>
  <sheetViews>
    <sheetView zoomScaleNormal="100" workbookViewId="0">
      <selection sqref="A1:E44"/>
    </sheetView>
  </sheetViews>
  <sheetFormatPr defaultRowHeight="14.5" x14ac:dyDescent="0.35"/>
  <cols>
    <col min="1" max="1" width="14.453125" bestFit="1" customWidth="1"/>
    <col min="2" max="2" width="42.6328125" customWidth="1"/>
    <col min="3" max="3" width="106.1796875" customWidth="1"/>
    <col min="4" max="4" width="21.81640625" bestFit="1" customWidth="1"/>
    <col min="5" max="5" width="20.6328125" customWidth="1"/>
  </cols>
  <sheetData>
    <row r="1" spans="1:5" ht="18.5" x14ac:dyDescent="0.35">
      <c r="A1" s="192" t="s">
        <v>4</v>
      </c>
      <c r="B1" s="192"/>
      <c r="C1" s="105"/>
      <c r="D1" s="111"/>
      <c r="E1" s="97"/>
    </row>
    <row r="2" spans="1:5" x14ac:dyDescent="0.35">
      <c r="A2" s="106" t="s">
        <v>5</v>
      </c>
      <c r="B2" s="107" t="str">
        <f ca="1">MID(CELL("filename",A1),FIND("]",CELL("filename",A1))+1,LEN(CELL("filename",A1))-FIND("]",CELL("filename",A1)))</f>
        <v>TC118</v>
      </c>
      <c r="C2" s="98"/>
      <c r="D2" s="111"/>
      <c r="E2" s="97"/>
    </row>
    <row r="3" spans="1:5" x14ac:dyDescent="0.35">
      <c r="A3" s="104" t="s">
        <v>19</v>
      </c>
      <c r="B3" s="112">
        <f ca="1">VLOOKUP(B2,Table53[#All],2,FALSE)</f>
        <v>0</v>
      </c>
      <c r="C3" s="98"/>
      <c r="D3" s="111"/>
      <c r="E3" s="97"/>
    </row>
    <row r="4" spans="1:5" ht="29" x14ac:dyDescent="0.35">
      <c r="A4" s="113" t="s">
        <v>20</v>
      </c>
      <c r="B4" s="99">
        <f ca="1">VLOOKUP(B2,Table53[#All],4,FALSE)</f>
        <v>0</v>
      </c>
      <c r="C4" s="98"/>
      <c r="D4" s="111"/>
      <c r="E4" s="97"/>
    </row>
    <row r="5" spans="1:5" x14ac:dyDescent="0.35">
      <c r="A5" s="104" t="s">
        <v>6</v>
      </c>
      <c r="B5" s="77">
        <f ca="1">VLOOKUP(B2,Table53[#All],3,FALSE)</f>
        <v>0</v>
      </c>
      <c r="C5" s="98"/>
      <c r="D5" s="111"/>
      <c r="E5" s="97"/>
    </row>
    <row r="6" spans="1:5" x14ac:dyDescent="0.35">
      <c r="A6" s="97"/>
      <c r="B6" s="97"/>
      <c r="C6" s="98"/>
      <c r="D6" s="111"/>
      <c r="E6" s="97"/>
    </row>
    <row r="7" spans="1:5" ht="15.5" x14ac:dyDescent="0.35">
      <c r="A7" s="100" t="s">
        <v>7</v>
      </c>
      <c r="B7" s="101" t="s">
        <v>8</v>
      </c>
      <c r="C7" s="102" t="s">
        <v>9</v>
      </c>
      <c r="D7" s="102" t="s">
        <v>14</v>
      </c>
      <c r="E7" s="103" t="s">
        <v>10</v>
      </c>
    </row>
    <row r="8" spans="1:5" x14ac:dyDescent="0.35">
      <c r="A8" s="118">
        <v>1</v>
      </c>
      <c r="B8" s="114" t="s">
        <v>114</v>
      </c>
      <c r="C8" s="109" t="s">
        <v>125</v>
      </c>
      <c r="D8" s="128"/>
      <c r="E8" s="125" t="s">
        <v>11</v>
      </c>
    </row>
    <row r="9" spans="1:5" x14ac:dyDescent="0.35">
      <c r="A9" s="118">
        <v>2</v>
      </c>
      <c r="B9" s="114" t="s">
        <v>12</v>
      </c>
      <c r="C9" s="109" t="e">
        <f>VLOOKUP(Table257519913140106110143[[#This Row],[PEG]],Table1016[#All],2,FALSE)</f>
        <v>#N/A</v>
      </c>
      <c r="D9" s="128"/>
      <c r="E9" s="125" t="e">
        <f>VLOOKUP(Table257519913140106110143[[#This Row],[PEG]],Table1016[#All],3,FALSE)</f>
        <v>#N/A</v>
      </c>
    </row>
    <row r="10" spans="1:5" x14ac:dyDescent="0.35">
      <c r="A10" s="118">
        <v>3</v>
      </c>
      <c r="B10" s="114" t="s">
        <v>115</v>
      </c>
      <c r="C10" s="109" t="e">
        <f>VLOOKUP(Table257519913140106110143[[#This Row],[PEG]],Table1016[#All],2,FALSE)</f>
        <v>#N/A</v>
      </c>
      <c r="D10" s="128"/>
      <c r="E10" s="125" t="e">
        <f>VLOOKUP(Table257519913140106110143[[#This Row],[PEG]],Table1016[#All],3,FALSE)</f>
        <v>#N/A</v>
      </c>
    </row>
    <row r="11" spans="1:5" x14ac:dyDescent="0.35">
      <c r="A11" s="118">
        <v>4</v>
      </c>
      <c r="B11" s="114" t="s">
        <v>115</v>
      </c>
      <c r="C11" s="109" t="e">
        <f>VLOOKUP(Table257519913140106110143[[#This Row],[PEG]],Table1016[#All],2,FALSE)</f>
        <v>#N/A</v>
      </c>
      <c r="D11" s="128"/>
      <c r="E11" s="125" t="e">
        <f>VLOOKUP(Table257519913140106110143[[#This Row],[PEG]],Table1016[#All],3,FALSE)</f>
        <v>#N/A</v>
      </c>
    </row>
    <row r="12" spans="1:5" x14ac:dyDescent="0.35">
      <c r="A12" s="118">
        <v>5</v>
      </c>
      <c r="B12" s="114" t="s">
        <v>114</v>
      </c>
      <c r="C12" s="109" t="e">
        <f>VLOOKUP(Table257519913140106110143[[#This Row],[PEG]],Table1016[#All],2,FALSE)</f>
        <v>#N/A</v>
      </c>
      <c r="D12" s="128"/>
      <c r="E12" s="125" t="e">
        <f>VLOOKUP(Table257519913140106110143[[#This Row],[PEG]],Table1016[#All],3,FALSE)</f>
        <v>#N/A</v>
      </c>
    </row>
    <row r="13" spans="1:5" x14ac:dyDescent="0.35">
      <c r="A13" s="118">
        <v>6</v>
      </c>
      <c r="B13" s="114" t="s">
        <v>115</v>
      </c>
      <c r="C13" s="109" t="e">
        <f>VLOOKUP(Table257519913140106110143[[#This Row],[PEG]],Table1016[#All],2,FALSE)</f>
        <v>#N/A</v>
      </c>
      <c r="D13" s="128"/>
      <c r="E13" s="125" t="e">
        <f>VLOOKUP(Table257519913140106110143[[#This Row],[PEG]],Table1016[#All],3,FALSE)</f>
        <v>#N/A</v>
      </c>
    </row>
    <row r="14" spans="1:5" x14ac:dyDescent="0.35">
      <c r="A14" s="118">
        <v>7</v>
      </c>
      <c r="B14" s="114" t="s">
        <v>114</v>
      </c>
      <c r="C14" s="109" t="e">
        <f>VLOOKUP(Table257519913140106110143[[#This Row],[PEG]],Table1016[#All],2,FALSE)</f>
        <v>#N/A</v>
      </c>
      <c r="D14" s="128"/>
      <c r="E14" s="125" t="e">
        <f>VLOOKUP(Table257519913140106110143[[#This Row],[PEG]],Table1016[#All],3,FALSE)</f>
        <v>#N/A</v>
      </c>
    </row>
    <row r="15" spans="1:5" x14ac:dyDescent="0.35">
      <c r="A15" s="118">
        <v>8</v>
      </c>
      <c r="B15" s="114" t="s">
        <v>115</v>
      </c>
      <c r="C15" s="109" t="e">
        <f>VLOOKUP(Table257519913140106110143[[#This Row],[PEG]],Table1016[#All],2,FALSE)</f>
        <v>#N/A</v>
      </c>
      <c r="D15" s="116"/>
      <c r="E15" s="125" t="e">
        <f>VLOOKUP(Table257519913140106110143[[#This Row],[PEG]],Table1016[#All],3,FALSE)</f>
        <v>#N/A</v>
      </c>
    </row>
    <row r="16" spans="1:5" x14ac:dyDescent="0.35">
      <c r="A16" s="118">
        <v>9</v>
      </c>
      <c r="B16" s="114" t="s">
        <v>12</v>
      </c>
      <c r="C16" s="109" t="e">
        <f>VLOOKUP(Table257519913140106110143[[#This Row],[PEG]],Table1016[#All],2,FALSE)</f>
        <v>#N/A</v>
      </c>
      <c r="D16" s="116"/>
      <c r="E16" s="125" t="e">
        <f>VLOOKUP(Table257519913140106110143[[#This Row],[PEG]],Table1016[#All],3,FALSE)</f>
        <v>#N/A</v>
      </c>
    </row>
    <row r="17" spans="1:5" x14ac:dyDescent="0.35">
      <c r="A17" s="118">
        <v>10</v>
      </c>
      <c r="B17" s="114" t="s">
        <v>12</v>
      </c>
      <c r="C17" s="109" t="e">
        <f>VLOOKUP(Table257519913140106110143[[#This Row],[PEG]],Table1016[#All],2,FALSE)</f>
        <v>#N/A</v>
      </c>
      <c r="D17" s="117"/>
      <c r="E17" s="125" t="e">
        <f>VLOOKUP(Table257519913140106110143[[#This Row],[PEG]],Table1016[#All],3,FALSE)</f>
        <v>#N/A</v>
      </c>
    </row>
    <row r="18" spans="1:5" x14ac:dyDescent="0.35">
      <c r="A18" s="118">
        <v>11</v>
      </c>
      <c r="B18" s="114" t="s">
        <v>115</v>
      </c>
      <c r="C18" s="109" t="e">
        <f>VLOOKUP(Table257519913140106110143[[#This Row],[PEG]],Table1016[#All],2,FALSE)</f>
        <v>#N/A</v>
      </c>
      <c r="D18" s="117"/>
      <c r="E18" s="125" t="e">
        <f>VLOOKUP(Table257519913140106110143[[#This Row],[PEG]],Table1016[#All],3,FALSE)</f>
        <v>#N/A</v>
      </c>
    </row>
    <row r="19" spans="1:5" x14ac:dyDescent="0.35">
      <c r="A19" s="118">
        <v>12</v>
      </c>
      <c r="B19" s="114" t="s">
        <v>115</v>
      </c>
      <c r="C19" s="109" t="e">
        <f>VLOOKUP(Table257519913140106110143[[#This Row],[PEG]],Table1016[#All],2,FALSE)</f>
        <v>#N/A</v>
      </c>
      <c r="D19" s="117"/>
      <c r="E19" s="125" t="e">
        <f>VLOOKUP(Table257519913140106110143[[#This Row],[PEG]],Table1016[#All],3,FALSE)</f>
        <v>#N/A</v>
      </c>
    </row>
    <row r="20" spans="1:5" x14ac:dyDescent="0.35">
      <c r="A20" s="118">
        <v>13</v>
      </c>
      <c r="B20" s="114" t="s">
        <v>114</v>
      </c>
      <c r="C20" s="109" t="e">
        <f>VLOOKUP(Table257519913140106110143[[#This Row],[PEG]],Table1016[#All],2,FALSE)</f>
        <v>#N/A</v>
      </c>
      <c r="D20" s="117"/>
      <c r="E20" s="125" t="e">
        <f>VLOOKUP(Table257519913140106110143[[#This Row],[PEG]],Table1016[#All],3,FALSE)</f>
        <v>#N/A</v>
      </c>
    </row>
    <row r="21" spans="1:5" x14ac:dyDescent="0.35">
      <c r="A21" s="118">
        <v>14</v>
      </c>
      <c r="B21" s="114" t="s">
        <v>12</v>
      </c>
      <c r="C21" s="109" t="e">
        <f>VLOOKUP(Table257519913140106110143[[#This Row],[PEG]],Table1016[#All],2,FALSE)</f>
        <v>#N/A</v>
      </c>
      <c r="D21" s="117"/>
      <c r="E21" s="125" t="e">
        <f>VLOOKUP(Table257519913140106110143[[#This Row],[PEG]],Table1016[#All],3,FALSE)</f>
        <v>#N/A</v>
      </c>
    </row>
    <row r="22" spans="1:5" x14ac:dyDescent="0.35">
      <c r="A22" s="118">
        <v>15</v>
      </c>
      <c r="B22" s="114" t="s">
        <v>12</v>
      </c>
      <c r="C22" s="109" t="e">
        <f>VLOOKUP(Table257519913140106110143[[#This Row],[PEG]],Table1016[#All],2,FALSE)</f>
        <v>#N/A</v>
      </c>
      <c r="D22" s="117"/>
      <c r="E22" s="125" t="e">
        <f>VLOOKUP(Table257519913140106110143[[#This Row],[PEG]],Table1016[#All],3,FALSE)</f>
        <v>#N/A</v>
      </c>
    </row>
    <row r="23" spans="1:5" x14ac:dyDescent="0.35">
      <c r="A23" s="118">
        <v>16</v>
      </c>
      <c r="B23" s="114" t="s">
        <v>115</v>
      </c>
      <c r="C23" s="109" t="e">
        <f>VLOOKUP(Table257519913140106110143[[#This Row],[PEG]],Table1016[#All],2,FALSE)</f>
        <v>#N/A</v>
      </c>
      <c r="D23" s="117"/>
      <c r="E23" s="125" t="e">
        <f>VLOOKUP(Table257519913140106110143[[#This Row],[PEG]],Table1016[#All],3,FALSE)</f>
        <v>#N/A</v>
      </c>
    </row>
    <row r="24" spans="1:5" x14ac:dyDescent="0.35">
      <c r="A24" s="118">
        <v>17</v>
      </c>
      <c r="B24" s="114" t="s">
        <v>114</v>
      </c>
      <c r="C24" s="109" t="e">
        <f>VLOOKUP(Table257519913140106110143[[#This Row],[PEG]],Table1016[#All],2,FALSE)</f>
        <v>#N/A</v>
      </c>
      <c r="D24" s="117"/>
      <c r="E24" s="125" t="e">
        <f>VLOOKUP(Table257519913140106110143[[#This Row],[PEG]],Table1016[#All],3,FALSE)</f>
        <v>#N/A</v>
      </c>
    </row>
    <row r="25" spans="1:5" x14ac:dyDescent="0.35">
      <c r="A25" s="118">
        <v>18</v>
      </c>
      <c r="B25" s="114" t="s">
        <v>12</v>
      </c>
      <c r="C25" s="109" t="e">
        <f>VLOOKUP(Table257519913140106110143[[#This Row],[PEG]],Table1016[#All],2,FALSE)</f>
        <v>#N/A</v>
      </c>
      <c r="D25" s="117"/>
      <c r="E25" s="125" t="e">
        <f>VLOOKUP(Table257519913140106110143[[#This Row],[PEG]],Table1016[#All],3,FALSE)</f>
        <v>#N/A</v>
      </c>
    </row>
    <row r="26" spans="1:5" x14ac:dyDescent="0.35">
      <c r="A26" s="118">
        <v>19</v>
      </c>
      <c r="B26" s="114" t="s">
        <v>12</v>
      </c>
      <c r="C26" s="109" t="e">
        <f>VLOOKUP(Table257519913140106110143[[#This Row],[PEG]],Table1016[#All],2,FALSE)</f>
        <v>#N/A</v>
      </c>
      <c r="D26" s="117"/>
      <c r="E26" s="125" t="e">
        <f>VLOOKUP(Table257519913140106110143[[#This Row],[PEG]],Table1016[#All],3,FALSE)</f>
        <v>#N/A</v>
      </c>
    </row>
    <row r="27" spans="1:5" x14ac:dyDescent="0.35">
      <c r="A27" s="118">
        <v>20</v>
      </c>
      <c r="B27" s="114" t="s">
        <v>115</v>
      </c>
      <c r="C27" s="109" t="e">
        <f>VLOOKUP(Table257519913140106110143[[#This Row],[PEG]],Table1016[#All],2,FALSE)</f>
        <v>#N/A</v>
      </c>
      <c r="D27" s="117"/>
      <c r="E27" s="125" t="e">
        <f>VLOOKUP(Table257519913140106110143[[#This Row],[PEG]],Table1016[#All],3,FALSE)</f>
        <v>#N/A</v>
      </c>
    </row>
    <row r="28" spans="1:5" x14ac:dyDescent="0.35">
      <c r="A28" s="118">
        <v>21</v>
      </c>
      <c r="B28" s="114" t="s">
        <v>114</v>
      </c>
      <c r="C28" s="109" t="e">
        <f>VLOOKUP(Table257519913140106110143[[#This Row],[PEG]],Table1016[#All],2,FALSE)</f>
        <v>#N/A</v>
      </c>
      <c r="D28" s="117"/>
      <c r="E28" s="125" t="e">
        <f>VLOOKUP(Table257519913140106110143[[#This Row],[PEG]],Table1016[#All],3,FALSE)</f>
        <v>#N/A</v>
      </c>
    </row>
    <row r="29" spans="1:5" x14ac:dyDescent="0.35">
      <c r="A29" s="118">
        <v>22</v>
      </c>
      <c r="B29" s="114" t="s">
        <v>12</v>
      </c>
      <c r="C29" s="109" t="e">
        <f>VLOOKUP(Table257519913140106110143[[#This Row],[PEG]],Table1016[#All],2,FALSE)</f>
        <v>#N/A</v>
      </c>
      <c r="D29" s="117"/>
      <c r="E29" s="125" t="e">
        <f>VLOOKUP(Table257519913140106110143[[#This Row],[PEG]],Table1016[#All],3,FALSE)</f>
        <v>#N/A</v>
      </c>
    </row>
    <row r="30" spans="1:5" x14ac:dyDescent="0.35">
      <c r="A30" s="118">
        <v>23</v>
      </c>
      <c r="B30" s="114" t="s">
        <v>12</v>
      </c>
      <c r="C30" s="109" t="e">
        <f>VLOOKUP(Table257519913140106110143[[#This Row],[PEG]],Table1016[#All],2,FALSE)</f>
        <v>#N/A</v>
      </c>
      <c r="D30" s="117"/>
      <c r="E30" s="125" t="e">
        <f>VLOOKUP(Table257519913140106110143[[#This Row],[PEG]],Table1016[#All],3,FALSE)</f>
        <v>#N/A</v>
      </c>
    </row>
    <row r="31" spans="1:5" x14ac:dyDescent="0.35">
      <c r="A31" s="118">
        <v>24</v>
      </c>
      <c r="B31" s="114" t="s">
        <v>115</v>
      </c>
      <c r="C31" s="109" t="e">
        <f>VLOOKUP(Table257519913140106110143[[#This Row],[PEG]],Table1016[#All],2,FALSE)</f>
        <v>#N/A</v>
      </c>
      <c r="D31" s="117"/>
      <c r="E31" s="125" t="e">
        <f>VLOOKUP(Table257519913140106110143[[#This Row],[PEG]],Table1016[#All],3,FALSE)</f>
        <v>#N/A</v>
      </c>
    </row>
    <row r="32" spans="1:5" x14ac:dyDescent="0.35">
      <c r="A32" s="118">
        <v>25</v>
      </c>
      <c r="B32" s="114" t="s">
        <v>115</v>
      </c>
      <c r="C32" s="109" t="e">
        <f>VLOOKUP(Table257519913140106110143[[#This Row],[PEG]],Table1016[#All],2,FALSE)</f>
        <v>#N/A</v>
      </c>
      <c r="D32" s="117"/>
      <c r="E32" s="125" t="e">
        <f>VLOOKUP(Table257519913140106110143[[#This Row],[PEG]],Table1016[#All],3,FALSE)</f>
        <v>#N/A</v>
      </c>
    </row>
    <row r="33" spans="1:5" x14ac:dyDescent="0.35">
      <c r="A33" s="118">
        <v>26</v>
      </c>
      <c r="B33" s="114" t="s">
        <v>124</v>
      </c>
      <c r="C33" s="109" t="e">
        <f>VLOOKUP(Table257519913140106110143[[#This Row],[PEG]],Table1016[#All],2,FALSE)</f>
        <v>#N/A</v>
      </c>
      <c r="D33" s="117"/>
      <c r="E33" s="125" t="e">
        <f>VLOOKUP(Table257519913140106110143[[#This Row],[PEG]],Table1016[#All],3,FALSE)</f>
        <v>#N/A</v>
      </c>
    </row>
    <row r="34" spans="1:5" x14ac:dyDescent="0.35">
      <c r="A34" s="118">
        <v>27</v>
      </c>
      <c r="B34" s="114" t="s">
        <v>115</v>
      </c>
      <c r="C34" s="109" t="e">
        <f>VLOOKUP(Table257519913140106110143[[#This Row],[PEG]],Table1016[#All],2,FALSE)</f>
        <v>#N/A</v>
      </c>
      <c r="D34" s="117"/>
      <c r="E34" s="125" t="e">
        <f>VLOOKUP(Table257519913140106110143[[#This Row],[PEG]],Table1016[#All],3,FALSE)</f>
        <v>#N/A</v>
      </c>
    </row>
    <row r="35" spans="1:5" x14ac:dyDescent="0.35">
      <c r="A35" s="118">
        <v>28</v>
      </c>
      <c r="B35" s="114" t="s">
        <v>124</v>
      </c>
      <c r="C35" s="109" t="e">
        <f>VLOOKUP(Table257519913140106110143[[#This Row],[PEG]],Table1016[#All],2,FALSE)</f>
        <v>#N/A</v>
      </c>
      <c r="D35" s="117"/>
      <c r="E35" s="125" t="e">
        <f>VLOOKUP(Table257519913140106110143[[#This Row],[PEG]],Table1016[#All],3,FALSE)</f>
        <v>#N/A</v>
      </c>
    </row>
    <row r="36" spans="1:5" x14ac:dyDescent="0.35">
      <c r="A36" s="118">
        <v>29</v>
      </c>
      <c r="B36" s="114" t="s">
        <v>115</v>
      </c>
      <c r="C36" s="109" t="e">
        <f>VLOOKUP(Table257519913140106110143[[#This Row],[PEG]],Table1016[#All],2,FALSE)</f>
        <v>#N/A</v>
      </c>
      <c r="D36" s="117"/>
      <c r="E36" s="125" t="e">
        <f>VLOOKUP(Table257519913140106110143[[#This Row],[PEG]],Table1016[#All],3,FALSE)</f>
        <v>#N/A</v>
      </c>
    </row>
    <row r="37" spans="1:5" x14ac:dyDescent="0.35">
      <c r="A37" s="118">
        <v>30</v>
      </c>
      <c r="B37" s="114" t="s">
        <v>12</v>
      </c>
      <c r="C37" s="109" t="e">
        <f>VLOOKUP(Table257519913140106110143[[#This Row],[PEG]],Table1016[#All],2,FALSE)</f>
        <v>#N/A</v>
      </c>
      <c r="D37" s="117"/>
      <c r="E37" s="125" t="e">
        <f>VLOOKUP(Table257519913140106110143[[#This Row],[PEG]],Table1016[#All],3,FALSE)</f>
        <v>#N/A</v>
      </c>
    </row>
    <row r="38" spans="1:5" x14ac:dyDescent="0.35">
      <c r="A38" s="118">
        <v>31</v>
      </c>
      <c r="B38" s="114" t="s">
        <v>12</v>
      </c>
      <c r="C38" s="109" t="e">
        <f>VLOOKUP(Table257519913140106110143[[#This Row],[PEG]],Table1016[#All],2,FALSE)</f>
        <v>#N/A</v>
      </c>
      <c r="D38" s="117"/>
      <c r="E38" s="125" t="e">
        <f>VLOOKUP(Table257519913140106110143[[#This Row],[PEG]],Table1016[#All],3,FALSE)</f>
        <v>#N/A</v>
      </c>
    </row>
    <row r="39" spans="1:5" x14ac:dyDescent="0.35">
      <c r="A39" s="118">
        <v>32</v>
      </c>
      <c r="B39" s="114" t="s">
        <v>12</v>
      </c>
      <c r="C39" s="109" t="e">
        <f>VLOOKUP(Table257519913140106110143[[#This Row],[PEG]],Table1016[#All],2,FALSE)</f>
        <v>#N/A</v>
      </c>
      <c r="D39" s="117"/>
      <c r="E39" s="125" t="e">
        <f>VLOOKUP(Table257519913140106110143[[#This Row],[PEG]],Table1016[#All],3,FALSE)</f>
        <v>#N/A</v>
      </c>
    </row>
    <row r="40" spans="1:5" x14ac:dyDescent="0.35">
      <c r="A40" s="118">
        <v>33</v>
      </c>
      <c r="B40" s="114" t="s">
        <v>12</v>
      </c>
      <c r="C40" s="109" t="e">
        <f>VLOOKUP(Table257519913140106110143[[#This Row],[PEG]],Table1016[#All],2,FALSE)</f>
        <v>#N/A</v>
      </c>
      <c r="D40" s="117"/>
      <c r="E40" s="125" t="e">
        <f>VLOOKUP(Table257519913140106110143[[#This Row],[PEG]],Table1016[#All],3,FALSE)</f>
        <v>#N/A</v>
      </c>
    </row>
    <row r="41" spans="1:5" x14ac:dyDescent="0.35">
      <c r="A41" s="118">
        <v>34</v>
      </c>
      <c r="B41" s="114" t="s">
        <v>115</v>
      </c>
      <c r="C41" s="109" t="e">
        <f>VLOOKUP(Table257519913140106110143[[#This Row],[PEG]],Table1016[#All],2,FALSE)</f>
        <v>#N/A</v>
      </c>
      <c r="D41" s="117"/>
      <c r="E41" s="125" t="e">
        <f>VLOOKUP(Table257519913140106110143[[#This Row],[PEG]],Table1016[#All],3,FALSE)</f>
        <v>#N/A</v>
      </c>
    </row>
    <row r="42" spans="1:5" x14ac:dyDescent="0.35">
      <c r="A42" s="118">
        <v>35</v>
      </c>
      <c r="B42" s="114" t="s">
        <v>12</v>
      </c>
      <c r="C42" s="109" t="e">
        <f>VLOOKUP(Table257519913140106110143[[#This Row],[PEG]],Table1016[#All],2,FALSE)</f>
        <v>#N/A</v>
      </c>
      <c r="D42" s="115"/>
      <c r="E42" s="125" t="e">
        <f>VLOOKUP(Table257519913140106110143[[#This Row],[PEG]],Table1016[#All],3,FALSE)</f>
        <v>#N/A</v>
      </c>
    </row>
    <row r="43" spans="1:5" x14ac:dyDescent="0.35">
      <c r="A43" s="118">
        <v>36</v>
      </c>
      <c r="B43" s="114" t="s">
        <v>115</v>
      </c>
      <c r="C43" s="109" t="e">
        <f>VLOOKUP(Table257519913140106110143[[#This Row],[PEG]],Table1016[#All],2,FALSE)</f>
        <v>#N/A</v>
      </c>
      <c r="D43" s="115"/>
      <c r="E43" s="125" t="e">
        <f>VLOOKUP(Table257519913140106110143[[#This Row],[PEG]],Table1016[#All],3,FALSE)</f>
        <v>#N/A</v>
      </c>
    </row>
    <row r="44" spans="1:5" x14ac:dyDescent="0.35">
      <c r="A44" s="118">
        <v>37</v>
      </c>
      <c r="B44" s="114" t="s">
        <v>13</v>
      </c>
      <c r="C44" s="18" t="s">
        <v>13</v>
      </c>
      <c r="D44" s="115"/>
      <c r="E44" s="32"/>
    </row>
  </sheetData>
  <mergeCells count="1">
    <mergeCell ref="A1:B1"/>
  </mergeCells>
  <conditionalFormatting sqref="B8:B18">
    <cfRule type="containsText" dxfId="2073" priority="1" operator="containsText" text="Hear">
      <formula>NOT(ISERROR(SEARCH("Hear",B8)))</formula>
    </cfRule>
  </conditionalFormatting>
  <conditionalFormatting sqref="B30">
    <cfRule type="containsText" dxfId="2072" priority="4" operator="containsText" text="Hear">
      <formula>NOT(ISERROR(SEARCH("Hear",B30)))</formula>
    </cfRule>
  </conditionalFormatting>
  <conditionalFormatting sqref="B43:B44">
    <cfRule type="containsText" dxfId="2071" priority="8" operator="containsText" text="Hear">
      <formula>NOT(ISERROR(SEARCH("Hear",B43)))</formula>
    </cfRule>
  </conditionalFormatting>
  <conditionalFormatting sqref="E44">
    <cfRule type="containsText" dxfId="2070" priority="6" operator="containsText" text="WEB SERVICE">
      <formula>NOT(ISERROR(SEARCH("WEB SERVICE",E44)))</formula>
    </cfRule>
    <cfRule type="containsText" dxfId="2069" priority="7" operator="containsText" text="DB">
      <formula>NOT(ISERROR(SEARCH("DB",E44)))</formula>
    </cfRule>
  </conditionalFormatting>
  <conditionalFormatting sqref="C44">
    <cfRule type="expression" dxfId="2068" priority="9">
      <formula>$B44="Dial"</formula>
    </cfRule>
    <cfRule type="expression" dxfId="2067" priority="11">
      <formula>$B44="HANGUP"</formula>
    </cfRule>
  </conditionalFormatting>
  <conditionalFormatting sqref="C44">
    <cfRule type="expression" dxfId="2066" priority="10">
      <formula>$B44="Speak"</formula>
    </cfRule>
  </conditionalFormatting>
  <conditionalFormatting sqref="B36:B38 B40:B41">
    <cfRule type="containsText" dxfId="2065" priority="3" operator="containsText" text="Hear">
      <formula>NOT(ISERROR(SEARCH("Hear",B36)))</formula>
    </cfRule>
  </conditionalFormatting>
  <conditionalFormatting sqref="B19:B29 B31:B35 B42">
    <cfRule type="containsText" dxfId="2064" priority="5" operator="containsText" text="Hear">
      <formula>NOT(ISERROR(SEARCH("Hear",B19)))</formula>
    </cfRule>
  </conditionalFormatting>
  <hyperlinks>
    <hyperlink ref="A1" location="'Test Case Overview'!A1" display="Return to Test Case Overview" xr:uid="{3EDEA988-887A-44F1-B7C5-6787F44496C6}"/>
  </hyperlinks>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expression" priority="12" id="{F90626D3-2467-43EA-B7A0-F9F29F3877E5}">
            <xm:f>'TC1'!$B8="Speak"</xm:f>
            <x14:dxf>
              <font>
                <b/>
                <i val="0"/>
                <color rgb="FFFF0000"/>
              </font>
            </x14:dxf>
          </x14:cfRule>
          <xm:sqref>C8</xm:sqref>
        </x14:conditionalFormatting>
        <x14:conditionalFormatting xmlns:xm="http://schemas.microsoft.com/office/excel/2006/main">
          <x14:cfRule type="containsText" priority="15" operator="containsText" text="Hear" id="{50239096-DC97-4307-8245-8628C9BBA3CE}">
            <xm:f>NOT(ISERROR(SEARCH("Hear",'TC3'!B34)))</xm:f>
            <x14:dxf>
              <font>
                <color theme="9" tint="-0.24994659260841701"/>
              </font>
              <fill>
                <patternFill>
                  <bgColor theme="9" tint="0.59996337778862885"/>
                </patternFill>
              </fill>
            </x14:dxf>
          </x14:cfRule>
          <xm:sqref>B41</xm:sqref>
        </x14:conditionalFormatting>
        <x14:conditionalFormatting xmlns:xm="http://schemas.microsoft.com/office/excel/2006/main">
          <x14:cfRule type="expression" priority="16" id="{CBEFCCE6-A9ED-4CF0-B8FC-EF79081E2A4A}">
            <xm:f>'TC1'!$B8="Dial"</xm:f>
            <x14:dxf>
              <font>
                <b/>
                <i val="0"/>
                <color rgb="FFFF0000"/>
              </font>
            </x14:dxf>
          </x14:cfRule>
          <x14:cfRule type="expression" priority="16" id="{457AF992-78B1-4207-8D68-697B4B2DD4A8}">
            <xm:f>'TC1'!$B8="HANGUP"</xm:f>
            <x14:dxf>
              <font>
                <b/>
                <i val="0"/>
              </font>
            </x14:dxf>
          </x14:cfRule>
          <xm:sqref>C8</xm:sqref>
        </x14:conditionalFormatting>
        <x14:conditionalFormatting xmlns:xm="http://schemas.microsoft.com/office/excel/2006/main">
          <x14:cfRule type="expression" priority="2622" id="{F90626D3-2467-43EA-B7A0-F9F29F3877E5}">
            <xm:f>'TC1'!$B16="Speak"</xm:f>
            <x14:dxf>
              <font>
                <b/>
                <i val="0"/>
                <color rgb="FFFF0000"/>
              </font>
            </x14:dxf>
          </x14:cfRule>
          <xm:sqref>C34:C43</xm:sqref>
        </x14:conditionalFormatting>
        <x14:conditionalFormatting xmlns:xm="http://schemas.microsoft.com/office/excel/2006/main">
          <x14:cfRule type="expression" priority="2623" id="{F90626D3-2467-43EA-B7A0-F9F29F3877E5}">
            <xm:f>'TC1'!#REF!="Speak"</xm:f>
            <x14:dxf>
              <font>
                <b/>
                <i val="0"/>
                <color rgb="FFFF0000"/>
              </font>
            </x14:dxf>
          </x14:cfRule>
          <xm:sqref>C17:C33</xm:sqref>
        </x14:conditionalFormatting>
        <x14:conditionalFormatting xmlns:xm="http://schemas.microsoft.com/office/excel/2006/main">
          <x14:cfRule type="containsText" priority="2627" operator="containsText" text="WEB SERVICE" id="{99405FBB-B8CB-4BA4-9C94-5C1165C1A22D}">
            <xm:f>NOT(ISERROR(SEARCH("WEB SERVICE",'TC1'!E16)))</xm:f>
            <x14:dxf>
              <font>
                <color rgb="FF9C0006"/>
              </font>
              <fill>
                <patternFill>
                  <bgColor rgb="FFFFC7CE"/>
                </patternFill>
              </fill>
            </x14:dxf>
          </x14:cfRule>
          <x14:cfRule type="containsText" priority="2628" operator="containsText" text="DB" id="{F3B33DC3-F19F-4EF2-8597-9CF8C4FE4FEA}">
            <xm:f>NOT(ISERROR(SEARCH("DB",'TC1'!E16)))</xm:f>
            <x14:dxf>
              <font>
                <color rgb="FF006100"/>
              </font>
              <fill>
                <patternFill>
                  <bgColor rgb="FFC6EFCE"/>
                </patternFill>
              </fill>
            </x14:dxf>
          </x14:cfRule>
          <xm:sqref>E34:E43</xm:sqref>
        </x14:conditionalFormatting>
        <x14:conditionalFormatting xmlns:xm="http://schemas.microsoft.com/office/excel/2006/main">
          <x14:cfRule type="containsText" priority="2629" operator="containsText" text="WEB SERVICE" id="{99405FBB-B8CB-4BA4-9C94-5C1165C1A22D}">
            <xm:f>NOT(ISERROR(SEARCH("WEB SERVICE",'TC1'!#REF!)))</xm:f>
            <x14:dxf>
              <font>
                <color rgb="FF9C0006"/>
              </font>
              <fill>
                <patternFill>
                  <bgColor rgb="FFFFC7CE"/>
                </patternFill>
              </fill>
            </x14:dxf>
          </x14:cfRule>
          <x14:cfRule type="containsText" priority="2630" operator="containsText" text="DB" id="{F3B33DC3-F19F-4EF2-8597-9CF8C4FE4FEA}">
            <xm:f>NOT(ISERROR(SEARCH("DB",'TC1'!#REF!)))</xm:f>
            <x14:dxf>
              <font>
                <color rgb="FF006100"/>
              </font>
              <fill>
                <patternFill>
                  <bgColor rgb="FFC6EFCE"/>
                </patternFill>
              </fill>
            </x14:dxf>
          </x14:cfRule>
          <xm:sqref>E17:E33</xm:sqref>
        </x14:conditionalFormatting>
        <x14:conditionalFormatting xmlns:xm="http://schemas.microsoft.com/office/excel/2006/main">
          <x14:cfRule type="expression" priority="2635" id="{CBEFCCE6-A9ED-4CF0-B8FC-EF79081E2A4A}">
            <xm:f>'TC1'!$B16="Dial"</xm:f>
            <x14:dxf>
              <font>
                <b/>
                <i val="0"/>
                <color rgb="FFFF0000"/>
              </font>
            </x14:dxf>
          </x14:cfRule>
          <x14:cfRule type="expression" priority="2636" id="{457AF992-78B1-4207-8D68-697B4B2DD4A8}">
            <xm:f>'TC1'!$B16="HANGUP"</xm:f>
            <x14:dxf>
              <font>
                <b/>
                <i val="0"/>
              </font>
            </x14:dxf>
          </x14:cfRule>
          <xm:sqref>C34:C43</xm:sqref>
        </x14:conditionalFormatting>
        <x14:conditionalFormatting xmlns:xm="http://schemas.microsoft.com/office/excel/2006/main">
          <x14:cfRule type="expression" priority="2637" id="{CBEFCCE6-A9ED-4CF0-B8FC-EF79081E2A4A}">
            <xm:f>'TC1'!#REF!="Dial"</xm:f>
            <x14:dxf>
              <font>
                <b/>
                <i val="0"/>
                <color rgb="FFFF0000"/>
              </font>
            </x14:dxf>
          </x14:cfRule>
          <x14:cfRule type="expression" priority="2638" id="{457AF992-78B1-4207-8D68-697B4B2DD4A8}">
            <xm:f>'TC1'!#REF!="HANGUP"</xm:f>
            <x14:dxf>
              <font>
                <b/>
                <i val="0"/>
              </font>
            </x14:dxf>
          </x14:cfRule>
          <xm:sqref>C17:C33</xm:sqref>
        </x14:conditionalFormatting>
        <x14:conditionalFormatting xmlns:xm="http://schemas.microsoft.com/office/excel/2006/main">
          <x14:cfRule type="expression" priority="5298" id="{F90626D3-2467-43EA-B7A0-F9F29F3877E5}">
            <xm:f>'TC1'!$B9="Speak"</xm:f>
            <x14:dxf>
              <font>
                <b/>
                <i val="0"/>
                <color rgb="FFFF0000"/>
              </font>
            </x14:dxf>
          </x14:cfRule>
          <xm:sqref>C12:C15</xm:sqref>
        </x14:conditionalFormatting>
        <x14:conditionalFormatting xmlns:xm="http://schemas.microsoft.com/office/excel/2006/main">
          <x14:cfRule type="expression" priority="5299" id="{F90626D3-2467-43EA-B7A0-F9F29F3877E5}">
            <xm:f>'TC1'!#REF!="Speak"</xm:f>
            <x14:dxf>
              <font>
                <b/>
                <i val="0"/>
                <color rgb="FFFF0000"/>
              </font>
            </x14:dxf>
          </x14:cfRule>
          <xm:sqref>C9:C11</xm:sqref>
        </x14:conditionalFormatting>
        <x14:conditionalFormatting xmlns:xm="http://schemas.microsoft.com/office/excel/2006/main">
          <x14:cfRule type="containsText" priority="5301" operator="containsText" text="WEB SERVICE" id="{99405FBB-B8CB-4BA4-9C94-5C1165C1A22D}">
            <xm:f>NOT(ISERROR(SEARCH("WEB SERVICE",'TC1'!#REF!)))</xm:f>
            <x14:dxf>
              <font>
                <color rgb="FF9C0006"/>
              </font>
              <fill>
                <patternFill>
                  <bgColor rgb="FFFFC7CE"/>
                </patternFill>
              </fill>
            </x14:dxf>
          </x14:cfRule>
          <x14:cfRule type="containsText" priority="5302" operator="containsText" text="DB" id="{F3B33DC3-F19F-4EF2-8597-9CF8C4FE4FEA}">
            <xm:f>NOT(ISERROR(SEARCH("DB",'TC1'!#REF!)))</xm:f>
            <x14:dxf>
              <font>
                <color rgb="FF006100"/>
              </font>
              <fill>
                <patternFill>
                  <bgColor rgb="FFC6EFCE"/>
                </patternFill>
              </fill>
            </x14:dxf>
          </x14:cfRule>
          <xm:sqref>E9:E11</xm:sqref>
        </x14:conditionalFormatting>
        <x14:conditionalFormatting xmlns:xm="http://schemas.microsoft.com/office/excel/2006/main">
          <x14:cfRule type="containsText" priority="5303" operator="containsText" text="WEB SERVICE" id="{99405FBB-B8CB-4BA4-9C94-5C1165C1A22D}">
            <xm:f>NOT(ISERROR(SEARCH("WEB SERVICE",'TC1'!E9)))</xm:f>
            <x14:dxf>
              <font>
                <color rgb="FF9C0006"/>
              </font>
              <fill>
                <patternFill>
                  <bgColor rgb="FFFFC7CE"/>
                </patternFill>
              </fill>
            </x14:dxf>
          </x14:cfRule>
          <x14:cfRule type="containsText" priority="5304" operator="containsText" text="DB" id="{F3B33DC3-F19F-4EF2-8597-9CF8C4FE4FEA}">
            <xm:f>NOT(ISERROR(SEARCH("DB",'TC1'!E9)))</xm:f>
            <x14:dxf>
              <font>
                <color rgb="FF006100"/>
              </font>
              <fill>
                <patternFill>
                  <bgColor rgb="FFC6EFCE"/>
                </patternFill>
              </fill>
            </x14:dxf>
          </x14:cfRule>
          <xm:sqref>E12:E15</xm:sqref>
        </x14:conditionalFormatting>
        <x14:conditionalFormatting xmlns:xm="http://schemas.microsoft.com/office/excel/2006/main">
          <x14:cfRule type="expression" priority="5309" id="{CBEFCCE6-A9ED-4CF0-B8FC-EF79081E2A4A}">
            <xm:f>'TC1'!$B9="Dial"</xm:f>
            <x14:dxf>
              <font>
                <b/>
                <i val="0"/>
                <color rgb="FFFF0000"/>
              </font>
            </x14:dxf>
          </x14:cfRule>
          <x14:cfRule type="expression" priority="5310" id="{457AF992-78B1-4207-8D68-697B4B2DD4A8}">
            <xm:f>'TC1'!$B9="HANGUP"</xm:f>
            <x14:dxf>
              <font>
                <b/>
                <i val="0"/>
              </font>
            </x14:dxf>
          </x14:cfRule>
          <xm:sqref>C12:C15</xm:sqref>
        </x14:conditionalFormatting>
        <x14:conditionalFormatting xmlns:xm="http://schemas.microsoft.com/office/excel/2006/main">
          <x14:cfRule type="expression" priority="5311" id="{CBEFCCE6-A9ED-4CF0-B8FC-EF79081E2A4A}">
            <xm:f>'TC1'!#REF!="Dial"</xm:f>
            <x14:dxf>
              <font>
                <b/>
                <i val="0"/>
                <color rgb="FFFF0000"/>
              </font>
            </x14:dxf>
          </x14:cfRule>
          <x14:cfRule type="expression" priority="5312" id="{457AF992-78B1-4207-8D68-697B4B2DD4A8}">
            <xm:f>'TC1'!#REF!="HANGUP"</xm:f>
            <x14:dxf>
              <font>
                <b/>
                <i val="0"/>
              </font>
            </x14:dxf>
          </x14:cfRule>
          <xm:sqref>C9:C11</xm:sqref>
        </x14:conditionalFormatting>
        <x14:conditionalFormatting xmlns:xm="http://schemas.microsoft.com/office/excel/2006/main">
          <x14:cfRule type="expression" priority="7594" id="{F90626D3-2467-43EA-B7A0-F9F29F3877E5}">
            <xm:f>'TC1'!$B15="Speak"</xm:f>
            <x14:dxf>
              <font>
                <b/>
                <i val="0"/>
                <color rgb="FFFF0000"/>
              </font>
            </x14:dxf>
          </x14:cfRule>
          <xm:sqref>C16</xm:sqref>
        </x14:conditionalFormatting>
        <x14:conditionalFormatting xmlns:xm="http://schemas.microsoft.com/office/excel/2006/main">
          <x14:cfRule type="containsText" priority="7597" operator="containsText" text="WEB SERVICE" id="{99405FBB-B8CB-4BA4-9C94-5C1165C1A22D}">
            <xm:f>NOT(ISERROR(SEARCH("WEB SERVICE",'TC1'!E15)))</xm:f>
            <x14:dxf>
              <font>
                <color rgb="FF9C0006"/>
              </font>
              <fill>
                <patternFill>
                  <bgColor rgb="FFFFC7CE"/>
                </patternFill>
              </fill>
            </x14:dxf>
          </x14:cfRule>
          <x14:cfRule type="containsText" priority="7598" operator="containsText" text="DB" id="{F3B33DC3-F19F-4EF2-8597-9CF8C4FE4FEA}">
            <xm:f>NOT(ISERROR(SEARCH("DB",'TC1'!E15)))</xm:f>
            <x14:dxf>
              <font>
                <color rgb="FF006100"/>
              </font>
              <fill>
                <patternFill>
                  <bgColor rgb="FFC6EFCE"/>
                </patternFill>
              </fill>
            </x14:dxf>
          </x14:cfRule>
          <xm:sqref>E16</xm:sqref>
        </x14:conditionalFormatting>
        <x14:conditionalFormatting xmlns:xm="http://schemas.microsoft.com/office/excel/2006/main">
          <x14:cfRule type="expression" priority="7601" id="{CBEFCCE6-A9ED-4CF0-B8FC-EF79081E2A4A}">
            <xm:f>'TC1'!$B15="Dial"</xm:f>
            <x14:dxf>
              <font>
                <b/>
                <i val="0"/>
                <color rgb="FFFF0000"/>
              </font>
            </x14:dxf>
          </x14:cfRule>
          <x14:cfRule type="expression" priority="7602" id="{457AF992-78B1-4207-8D68-697B4B2DD4A8}">
            <xm:f>'TC1'!$B15="HANGUP"</xm:f>
            <x14:dxf>
              <font>
                <b/>
                <i val="0"/>
              </font>
            </x14:dxf>
          </x14:cfRule>
          <xm:sqref>C16</xm:sqref>
        </x14:conditionalFormatting>
        <x14:conditionalFormatting xmlns:xm="http://schemas.microsoft.com/office/excel/2006/main">
          <x14:cfRule type="containsText" priority="10192" operator="containsText" text="Hear" id="{7640F42C-0D81-443D-90FF-833976B49E18}">
            <xm:f>NOT(ISERROR(SEARCH("Hear",'TC26'!#REF!)))</xm:f>
            <x14:dxf>
              <font>
                <color theme="9" tint="-0.24994659260841701"/>
              </font>
              <fill>
                <patternFill>
                  <bgColor theme="9" tint="0.59996337778862885"/>
                </patternFill>
              </fill>
            </x14:dxf>
          </x14:cfRule>
          <xm:sqref>B39</xm:sqref>
        </x14:conditionalFormatting>
      </x14:conditionalFormatting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3"/>
  <dimension ref="A1:E36"/>
  <sheetViews>
    <sheetView zoomScaleNormal="100" workbookViewId="0">
      <selection sqref="A1:B1"/>
    </sheetView>
  </sheetViews>
  <sheetFormatPr defaultRowHeight="14.5" x14ac:dyDescent="0.35"/>
  <cols>
    <col min="1" max="1" width="14.453125" style="97" bestFit="1" customWidth="1"/>
    <col min="2" max="2" width="42.6328125" style="97" customWidth="1"/>
    <col min="3" max="3" width="106.1796875" style="98" customWidth="1"/>
    <col min="4" max="4" width="21.81640625" style="111" bestFit="1" customWidth="1"/>
    <col min="5" max="5" width="20.6328125" style="97" customWidth="1"/>
  </cols>
  <sheetData>
    <row r="1" spans="1:5" ht="18.5" x14ac:dyDescent="0.35">
      <c r="A1" s="192" t="s">
        <v>4</v>
      </c>
      <c r="B1" s="192"/>
      <c r="C1" s="105"/>
    </row>
    <row r="2" spans="1:5" x14ac:dyDescent="0.35">
      <c r="A2" s="106" t="s">
        <v>5</v>
      </c>
      <c r="B2" s="107" t="str">
        <f ca="1">MID(CELL("filename",A1),FIND("]",CELL("filename",A1))+1,LEN(CELL("filename",A1))-FIND("]",CELL("filename",A1)))</f>
        <v>TC11</v>
      </c>
    </row>
    <row r="3" spans="1:5" x14ac:dyDescent="0.35">
      <c r="A3" s="104" t="s">
        <v>19</v>
      </c>
      <c r="B3" s="112">
        <f ca="1">VLOOKUP(B2,Table1[#All],2,FALSE)</f>
        <v>0</v>
      </c>
    </row>
    <row r="4" spans="1:5" ht="29" x14ac:dyDescent="0.35">
      <c r="A4" s="113" t="s">
        <v>20</v>
      </c>
      <c r="B4" s="99" t="str">
        <f ca="1">VLOOKUP(B2,Table1[#All],4,FALSE)</f>
        <v>Last Pmt Declined, Make Payment - yes</v>
      </c>
    </row>
    <row r="5" spans="1:5" x14ac:dyDescent="0.35">
      <c r="A5" s="104" t="s">
        <v>6</v>
      </c>
      <c r="B5" s="93" t="str">
        <f ca="1">VLOOKUP(B2,Table1[#All],3,FALSE)</f>
        <v>Recurring Declined - Make Payment</v>
      </c>
    </row>
    <row r="7" spans="1:5" ht="15.5" x14ac:dyDescent="0.35">
      <c r="A7" s="100" t="s">
        <v>7</v>
      </c>
      <c r="B7" s="101" t="s">
        <v>8</v>
      </c>
      <c r="C7" s="102" t="s">
        <v>9</v>
      </c>
      <c r="D7" s="102" t="s">
        <v>14</v>
      </c>
      <c r="E7" s="103" t="s">
        <v>10</v>
      </c>
    </row>
    <row r="8" spans="1:5" x14ac:dyDescent="0.35">
      <c r="A8" s="118">
        <v>1</v>
      </c>
      <c r="B8" s="114" t="s">
        <v>114</v>
      </c>
      <c r="C8" s="127" t="s">
        <v>240</v>
      </c>
      <c r="D8" s="128"/>
      <c r="E8" s="125" t="s">
        <v>11</v>
      </c>
    </row>
    <row r="9" spans="1:5" x14ac:dyDescent="0.35">
      <c r="A9" s="118">
        <v>2</v>
      </c>
      <c r="B9" s="114" t="s">
        <v>115</v>
      </c>
      <c r="C9" s="109" t="str">
        <f>VLOOKUP(Table2575525269102425[[#This Row],[PEG]],Table1016[#All],2,FALSE)</f>
        <v>To get started, tell me your Account Number</v>
      </c>
      <c r="D9" s="141" t="s">
        <v>245</v>
      </c>
      <c r="E9" s="125" t="str">
        <f>VLOOKUP(Table2575525269102425[[#This Row],[PEG]],Table1016[#All],3,FALSE)</f>
        <v>Prompt</v>
      </c>
    </row>
    <row r="10" spans="1:5" x14ac:dyDescent="0.35">
      <c r="A10" s="118">
        <v>3</v>
      </c>
      <c r="B10" s="114" t="s">
        <v>124</v>
      </c>
      <c r="C10" s="109" t="s">
        <v>412</v>
      </c>
      <c r="D10" s="128"/>
      <c r="E10" s="125" t="e">
        <f>VLOOKUP(Table2575525269102425[[#This Row],[PEG]],Table1016[#All],3,FALSE)</f>
        <v>#N/A</v>
      </c>
    </row>
    <row r="11" spans="1:5" ht="174" x14ac:dyDescent="0.35">
      <c r="A11" s="118">
        <v>4</v>
      </c>
      <c r="B11" s="114" t="s">
        <v>12</v>
      </c>
      <c r="C11" s="109" t="str">
        <f>VLOOKUP(Table2575525269102425[[#This Row],[PEG]],Table1016[#All],2,FALSE)</f>
        <v>SAP HANA – SAP01_GetMember
inputs:
idnumber = iIdnumber	T
idtype 	= iIdtype
outputs:
~ Billing Reference
~ Enrollment Details
~ Billing Details
~ Last Payment
~ Recurring Payment Method
~ Stored Payment Method</v>
      </c>
      <c r="D11" s="144" t="s">
        <v>371</v>
      </c>
      <c r="E11" s="125" t="str">
        <f>VLOOKUP(Table2575525269102425[[#This Row],[PEG]],Table1016[#All],3,FALSE)</f>
        <v>DB</v>
      </c>
    </row>
    <row r="12" spans="1:5" x14ac:dyDescent="0.35">
      <c r="A12" s="118">
        <v>5</v>
      </c>
      <c r="B12" s="114" t="s">
        <v>115</v>
      </c>
      <c r="C12" s="109" t="str">
        <f>VLOOKUP(Table2575525269102425[[#This Row],[PEG]],Table1016[#All],2,FALSE)</f>
        <v>Thanks, I found your account!</v>
      </c>
      <c r="D12" s="141" t="s">
        <v>248</v>
      </c>
      <c r="E12" s="125" t="str">
        <f>VLOOKUP(Table2575525269102425[[#This Row],[PEG]],Table1016[#All],3,FALSE)</f>
        <v>Prompt</v>
      </c>
    </row>
    <row r="13" spans="1:5" ht="29" x14ac:dyDescent="0.35">
      <c r="A13" s="118">
        <v>6</v>
      </c>
      <c r="B13" s="114" t="s">
        <v>115</v>
      </c>
      <c r="C13" s="109" t="str">
        <f>VLOOKUP(Table2575525269102425[[#This Row],[PEG]],Table1016[#All],2,FALSE)</f>
        <v>You are already setup for recurring payments in the amount of &lt;SAP01_CurrentDue&gt; to be deducted on the last day of each month.</v>
      </c>
      <c r="D13" s="142" t="s">
        <v>266</v>
      </c>
      <c r="E13" s="125" t="str">
        <f>VLOOKUP(Table2575525269102425[[#This Row],[PEG]],Table1016[#All],3,FALSE)</f>
        <v>Prompt</v>
      </c>
    </row>
    <row r="14" spans="1:5" x14ac:dyDescent="0.35">
      <c r="A14" s="118">
        <v>7</v>
      </c>
      <c r="B14" s="114" t="s">
        <v>115</v>
      </c>
      <c r="C14" s="130" t="str">
        <f>VLOOKUP(Table2575525269102425[[#This Row],[PEG]],Table1016[#All],2,FALSE)</f>
        <v>The last payment of &lt;SAP01_ivrLastPaymentAmount&gt; was declined.</v>
      </c>
      <c r="D14" s="143" t="s">
        <v>267</v>
      </c>
      <c r="E14" s="125" t="str">
        <f>VLOOKUP(Table2575525269102425[[#This Row],[PEG]],Table1016[#All],3,FALSE)</f>
        <v>Prompt</v>
      </c>
    </row>
    <row r="15" spans="1:5" x14ac:dyDescent="0.35">
      <c r="A15" s="118">
        <v>8</v>
      </c>
      <c r="B15" s="114" t="s">
        <v>115</v>
      </c>
      <c r="C15" s="109" t="str">
        <f>VLOOKUP(Table2575525269102425[[#This Row],[PEG]],Table1016[#All],2,FALSE)</f>
        <v>Would you like to make a payment now?</v>
      </c>
      <c r="D15" s="143" t="s">
        <v>268</v>
      </c>
      <c r="E15" s="125" t="str">
        <f>VLOOKUP(Table2575525269102425[[#This Row],[PEG]],Table1016[#All],3,FALSE)</f>
        <v>Prompt</v>
      </c>
    </row>
    <row r="16" spans="1:5" x14ac:dyDescent="0.35">
      <c r="A16" s="118">
        <v>9</v>
      </c>
      <c r="B16" s="114" t="s">
        <v>124</v>
      </c>
      <c r="C16" s="127" t="s">
        <v>388</v>
      </c>
      <c r="D16" s="143"/>
      <c r="E16" s="125" t="e">
        <f>VLOOKUP(Table2575525269102425[[#This Row],[PEG]],Table1016[#All],3,FALSE)</f>
        <v>#N/A</v>
      </c>
    </row>
    <row r="17" spans="1:5" x14ac:dyDescent="0.35">
      <c r="A17" s="118">
        <v>10</v>
      </c>
      <c r="B17" s="114" t="s">
        <v>115</v>
      </c>
      <c r="C17" s="109" t="str">
        <f>VLOOKUP(Table2575525269102425[[#This Row],[PEG]],Table1016[#All],2,FALSE)</f>
        <v>Ok, are you using Credit, Debit, Checking or Savings?</v>
      </c>
      <c r="D17" s="143" t="s">
        <v>286</v>
      </c>
      <c r="E17" s="125" t="str">
        <f>VLOOKUP(Table2575525269102425[[#This Row],[PEG]],Table1016[#All],3,FALSE)</f>
        <v>Prompt</v>
      </c>
    </row>
    <row r="18" spans="1:5" x14ac:dyDescent="0.35">
      <c r="A18" s="118">
        <v>11</v>
      </c>
      <c r="B18" s="114" t="s">
        <v>13</v>
      </c>
      <c r="C18" s="109" t="s">
        <v>13</v>
      </c>
      <c r="D18" s="143"/>
      <c r="E18" s="125" t="e">
        <f>VLOOKUP(Table2575525269102425[[#This Row],[PEG]],Table1016[#All],3,FALSE)</f>
        <v>#N/A</v>
      </c>
    </row>
    <row r="19" spans="1:5" x14ac:dyDescent="0.35">
      <c r="C19" s="26"/>
      <c r="D19" s="111" t="s">
        <v>0</v>
      </c>
    </row>
    <row r="20" spans="1:5" x14ac:dyDescent="0.35">
      <c r="C20" s="26"/>
    </row>
    <row r="21" spans="1:5" x14ac:dyDescent="0.35">
      <c r="C21" s="26"/>
    </row>
    <row r="22" spans="1:5" x14ac:dyDescent="0.35">
      <c r="C22" s="26"/>
    </row>
    <row r="23" spans="1:5" x14ac:dyDescent="0.35">
      <c r="C23" s="26"/>
    </row>
    <row r="24" spans="1:5" x14ac:dyDescent="0.35">
      <c r="C24" s="26"/>
    </row>
    <row r="25" spans="1:5" x14ac:dyDescent="0.35">
      <c r="C25" s="26"/>
    </row>
    <row r="26" spans="1:5" x14ac:dyDescent="0.35">
      <c r="C26" s="26"/>
    </row>
    <row r="27" spans="1:5" x14ac:dyDescent="0.35">
      <c r="C27" s="26"/>
    </row>
    <row r="28" spans="1:5" x14ac:dyDescent="0.35">
      <c r="C28" s="26"/>
    </row>
    <row r="29" spans="1:5" x14ac:dyDescent="0.35">
      <c r="C29" s="26"/>
    </row>
    <row r="30" spans="1:5" x14ac:dyDescent="0.35">
      <c r="C30" s="26"/>
    </row>
    <row r="31" spans="1:5" x14ac:dyDescent="0.35">
      <c r="C31" s="26"/>
    </row>
    <row r="32" spans="1:5" x14ac:dyDescent="0.35">
      <c r="C32" s="26"/>
    </row>
    <row r="33" spans="3:3" x14ac:dyDescent="0.35">
      <c r="C33" s="26"/>
    </row>
    <row r="34" spans="3:3" x14ac:dyDescent="0.35">
      <c r="C34" s="27"/>
    </row>
    <row r="35" spans="3:3" x14ac:dyDescent="0.35">
      <c r="C35" s="27"/>
    </row>
    <row r="36" spans="3:3" x14ac:dyDescent="0.35">
      <c r="C36" s="27"/>
    </row>
  </sheetData>
  <mergeCells count="1">
    <mergeCell ref="A1:B1"/>
  </mergeCells>
  <conditionalFormatting sqref="C17:C9975 C9:C13">
    <cfRule type="expression" dxfId="5748" priority="34">
      <formula>$B9="Dial"</formula>
    </cfRule>
    <cfRule type="expression" dxfId="5747" priority="36">
      <formula>$B9="HANGUP"</formula>
    </cfRule>
  </conditionalFormatting>
  <conditionalFormatting sqref="C16">
    <cfRule type="expression" dxfId="5746" priority="3">
      <formula>$B16="Dial"</formula>
    </cfRule>
    <cfRule type="expression" dxfId="5745" priority="4">
      <formula>$B16="HANGUP"</formula>
    </cfRule>
  </conditionalFormatting>
  <conditionalFormatting sqref="B8:B18">
    <cfRule type="containsText" dxfId="5744" priority="7" operator="containsText" text="Hear">
      <formula>NOT(ISERROR(SEARCH("Hear",B8)))</formula>
    </cfRule>
  </conditionalFormatting>
  <conditionalFormatting sqref="C15">
    <cfRule type="expression" dxfId="5743" priority="8">
      <formula>$B15="Dial"</formula>
    </cfRule>
    <cfRule type="expression" dxfId="5742" priority="10">
      <formula>$B15="HANGUP"</formula>
    </cfRule>
  </conditionalFormatting>
  <conditionalFormatting sqref="C15 C17:C18 C9:C13">
    <cfRule type="expression" dxfId="5741" priority="9">
      <formula>$B9="Speak"</formula>
    </cfRule>
  </conditionalFormatting>
  <conditionalFormatting sqref="C14">
    <cfRule type="expression" dxfId="5740" priority="5">
      <formula>$B14="Dial"</formula>
    </cfRule>
    <cfRule type="expression" dxfId="5739" priority="6">
      <formula>$B14="HANGUP"</formula>
    </cfRule>
  </conditionalFormatting>
  <conditionalFormatting sqref="C8">
    <cfRule type="expression" dxfId="5738" priority="1">
      <formula>$B8="Dial"</formula>
    </cfRule>
    <cfRule type="expression" dxfId="5737" priority="2">
      <formula>$B8="HANGUP"</formula>
    </cfRule>
  </conditionalFormatting>
  <hyperlinks>
    <hyperlink ref="A1" location="'Test Case Overview'!A1" display="Return to Test Case Overview" xr:uid="{00000000-0004-0000-0B00-000000000000}"/>
  </hyperlinks>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containsText" priority="730" operator="containsText" text="WEB SERVICE" id="{65860B60-B157-4757-A1E8-11529EEEA846}">
            <xm:f>NOT(ISERROR(SEARCH("WEB SERVICE",'TC1'!#REF!)))</xm:f>
            <x14:dxf>
              <font>
                <color rgb="FF9C0006"/>
              </font>
              <fill>
                <patternFill>
                  <bgColor rgb="FFFFC7CE"/>
                </patternFill>
              </fill>
            </x14:dxf>
          </x14:cfRule>
          <x14:cfRule type="containsText" priority="731" operator="containsText" text="DB" id="{568133F7-649C-4B22-8BB9-8A949A0AEB06}">
            <xm:f>NOT(ISERROR(SEARCH("DB",'TC1'!#REF!)))</xm:f>
            <x14:dxf>
              <font>
                <color rgb="FF006100"/>
              </font>
              <fill>
                <patternFill>
                  <bgColor rgb="FFC6EFCE"/>
                </patternFill>
              </fill>
            </x14:dxf>
          </x14:cfRule>
          <xm:sqref>E14:E18</xm:sqref>
        </x14:conditionalFormatting>
        <x14:conditionalFormatting xmlns:xm="http://schemas.microsoft.com/office/excel/2006/main">
          <x14:cfRule type="containsText" priority="3593" operator="containsText" text="WEB SERVICE" id="{65860B60-B157-4757-A1E8-11529EEEA846}">
            <xm:f>NOT(ISERROR(SEARCH("WEB SERVICE",'TC1'!E9)))</xm:f>
            <x14:dxf>
              <font>
                <color rgb="FF9C0006"/>
              </font>
              <fill>
                <patternFill>
                  <bgColor rgb="FFFFC7CE"/>
                </patternFill>
              </fill>
            </x14:dxf>
          </x14:cfRule>
          <x14:cfRule type="containsText" priority="3594" operator="containsText" text="DB" id="{568133F7-649C-4B22-8BB9-8A949A0AEB06}">
            <xm:f>NOT(ISERROR(SEARCH("DB",'TC1'!E9)))</xm:f>
            <x14:dxf>
              <font>
                <color rgb="FF006100"/>
              </font>
              <fill>
                <patternFill>
                  <bgColor rgb="FFC6EFCE"/>
                </patternFill>
              </fill>
            </x14:dxf>
          </x14:cfRule>
          <xm:sqref>E9:E12</xm:sqref>
        </x14:conditionalFormatting>
        <x14:conditionalFormatting xmlns:xm="http://schemas.microsoft.com/office/excel/2006/main">
          <x14:cfRule type="containsText" priority="6165" operator="containsText" text="WEB SERVICE" id="{65860B60-B157-4757-A1E8-11529EEEA846}">
            <xm:f>NOT(ISERROR(SEARCH("WEB SERVICE",'TC1'!E15)))</xm:f>
            <x14:dxf>
              <font>
                <color rgb="FF9C0006"/>
              </font>
              <fill>
                <patternFill>
                  <bgColor rgb="FFFFC7CE"/>
                </patternFill>
              </fill>
            </x14:dxf>
          </x14:cfRule>
          <x14:cfRule type="containsText" priority="6166" operator="containsText" text="DB" id="{568133F7-649C-4B22-8BB9-8A949A0AEB06}">
            <xm:f>NOT(ISERROR(SEARCH("DB",'TC1'!E15)))</xm:f>
            <x14:dxf>
              <font>
                <color rgb="FF006100"/>
              </font>
              <fill>
                <patternFill>
                  <bgColor rgb="FFC6EFCE"/>
                </patternFill>
              </fill>
            </x14:dxf>
          </x14:cfRule>
          <xm:sqref>E13</xm:sqref>
        </x14:conditionalFormatting>
      </x14:conditionalFormattings>
    </ext>
  </extLst>
</worksheet>
</file>

<file path=xl/worksheets/sheet1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700-000000000000}">
  <sheetPr codeName="Sheet121"/>
  <dimension ref="A1:E44"/>
  <sheetViews>
    <sheetView zoomScaleNormal="100" workbookViewId="0">
      <selection sqref="A1:E44"/>
    </sheetView>
  </sheetViews>
  <sheetFormatPr defaultRowHeight="14.5" x14ac:dyDescent="0.35"/>
  <cols>
    <col min="1" max="1" width="14.453125" bestFit="1" customWidth="1"/>
    <col min="2" max="2" width="42.6328125" customWidth="1"/>
    <col min="3" max="3" width="106.1796875" customWidth="1"/>
    <col min="4" max="4" width="21.81640625" bestFit="1" customWidth="1"/>
    <col min="5" max="5" width="20.6328125" customWidth="1"/>
  </cols>
  <sheetData>
    <row r="1" spans="1:5" ht="18.5" x14ac:dyDescent="0.35">
      <c r="A1" s="192" t="s">
        <v>4</v>
      </c>
      <c r="B1" s="192"/>
      <c r="C1" s="105"/>
      <c r="D1" s="111"/>
      <c r="E1" s="97"/>
    </row>
    <row r="2" spans="1:5" x14ac:dyDescent="0.35">
      <c r="A2" s="106" t="s">
        <v>5</v>
      </c>
      <c r="B2" s="107" t="str">
        <f ca="1">MID(CELL("filename",A1),FIND("]",CELL("filename",A1))+1,LEN(CELL("filename",A1))-FIND("]",CELL("filename",A1)))</f>
        <v>TC119</v>
      </c>
      <c r="C2" s="98"/>
      <c r="D2" s="111"/>
      <c r="E2" s="97"/>
    </row>
    <row r="3" spans="1:5" x14ac:dyDescent="0.35">
      <c r="A3" s="104" t="s">
        <v>19</v>
      </c>
      <c r="B3" s="112">
        <f ca="1">VLOOKUP(B2,Table53[#All],2,FALSE)</f>
        <v>0</v>
      </c>
      <c r="C3" s="98"/>
      <c r="D3" s="111"/>
      <c r="E3" s="97"/>
    </row>
    <row r="4" spans="1:5" ht="29" x14ac:dyDescent="0.35">
      <c r="A4" s="113" t="s">
        <v>20</v>
      </c>
      <c r="B4" s="99">
        <f ca="1">VLOOKUP(B2,Table53[#All],4,FALSE)</f>
        <v>0</v>
      </c>
      <c r="C4" s="98"/>
      <c r="D4" s="111"/>
      <c r="E4" s="97"/>
    </row>
    <row r="5" spans="1:5" x14ac:dyDescent="0.35">
      <c r="A5" s="104" t="s">
        <v>6</v>
      </c>
      <c r="B5" s="77">
        <f ca="1">VLOOKUP(B2,Table53[#All],3,FALSE)</f>
        <v>0</v>
      </c>
      <c r="C5" s="98"/>
      <c r="D5" s="111"/>
      <c r="E5" s="97"/>
    </row>
    <row r="6" spans="1:5" x14ac:dyDescent="0.35">
      <c r="A6" s="97"/>
      <c r="B6" s="97"/>
      <c r="C6" s="98"/>
      <c r="D6" s="111"/>
      <c r="E6" s="97"/>
    </row>
    <row r="7" spans="1:5" ht="15.5" x14ac:dyDescent="0.35">
      <c r="A7" s="100" t="s">
        <v>7</v>
      </c>
      <c r="B7" s="101" t="s">
        <v>8</v>
      </c>
      <c r="C7" s="102" t="s">
        <v>9</v>
      </c>
      <c r="D7" s="102" t="s">
        <v>14</v>
      </c>
      <c r="E7" s="103" t="s">
        <v>10</v>
      </c>
    </row>
    <row r="8" spans="1:5" x14ac:dyDescent="0.35">
      <c r="A8" s="118">
        <v>1</v>
      </c>
      <c r="B8" s="114" t="s">
        <v>114</v>
      </c>
      <c r="C8" s="109" t="s">
        <v>125</v>
      </c>
      <c r="D8" s="128"/>
      <c r="E8" s="125" t="s">
        <v>11</v>
      </c>
    </row>
    <row r="9" spans="1:5" x14ac:dyDescent="0.35">
      <c r="A9" s="118">
        <v>2</v>
      </c>
      <c r="B9" s="114" t="s">
        <v>12</v>
      </c>
      <c r="C9" s="109" t="e">
        <f>VLOOKUP(Table257519913140106110145[[#This Row],[PEG]],Table1016[#All],2,FALSE)</f>
        <v>#N/A</v>
      </c>
      <c r="D9" s="128"/>
      <c r="E9" s="125" t="e">
        <f>VLOOKUP(Table257519913140106110145[[#This Row],[PEG]],Table1016[#All],3,FALSE)</f>
        <v>#N/A</v>
      </c>
    </row>
    <row r="10" spans="1:5" x14ac:dyDescent="0.35">
      <c r="A10" s="118">
        <v>3</v>
      </c>
      <c r="B10" s="114" t="s">
        <v>115</v>
      </c>
      <c r="C10" s="109" t="e">
        <f>VLOOKUP(Table257519913140106110145[[#This Row],[PEG]],Table1016[#All],2,FALSE)</f>
        <v>#N/A</v>
      </c>
      <c r="D10" s="128"/>
      <c r="E10" s="125" t="e">
        <f>VLOOKUP(Table257519913140106110145[[#This Row],[PEG]],Table1016[#All],3,FALSE)</f>
        <v>#N/A</v>
      </c>
    </row>
    <row r="11" spans="1:5" x14ac:dyDescent="0.35">
      <c r="A11" s="118">
        <v>4</v>
      </c>
      <c r="B11" s="114" t="s">
        <v>115</v>
      </c>
      <c r="C11" s="109" t="e">
        <f>VLOOKUP(Table257519913140106110145[[#This Row],[PEG]],Table1016[#All],2,FALSE)</f>
        <v>#N/A</v>
      </c>
      <c r="D11" s="128"/>
      <c r="E11" s="125" t="e">
        <f>VLOOKUP(Table257519913140106110145[[#This Row],[PEG]],Table1016[#All],3,FALSE)</f>
        <v>#N/A</v>
      </c>
    </row>
    <row r="12" spans="1:5" x14ac:dyDescent="0.35">
      <c r="A12" s="118">
        <v>5</v>
      </c>
      <c r="B12" s="114" t="s">
        <v>114</v>
      </c>
      <c r="C12" s="109" t="e">
        <f>VLOOKUP(Table257519913140106110145[[#This Row],[PEG]],Table1016[#All],2,FALSE)</f>
        <v>#N/A</v>
      </c>
      <c r="D12" s="128"/>
      <c r="E12" s="125" t="e">
        <f>VLOOKUP(Table257519913140106110145[[#This Row],[PEG]],Table1016[#All],3,FALSE)</f>
        <v>#N/A</v>
      </c>
    </row>
    <row r="13" spans="1:5" x14ac:dyDescent="0.35">
      <c r="A13" s="118">
        <v>6</v>
      </c>
      <c r="B13" s="114" t="s">
        <v>115</v>
      </c>
      <c r="C13" s="109" t="e">
        <f>VLOOKUP(Table257519913140106110145[[#This Row],[PEG]],Table1016[#All],2,FALSE)</f>
        <v>#N/A</v>
      </c>
      <c r="D13" s="128"/>
      <c r="E13" s="125" t="e">
        <f>VLOOKUP(Table257519913140106110145[[#This Row],[PEG]],Table1016[#All],3,FALSE)</f>
        <v>#N/A</v>
      </c>
    </row>
    <row r="14" spans="1:5" x14ac:dyDescent="0.35">
      <c r="A14" s="118">
        <v>7</v>
      </c>
      <c r="B14" s="114" t="s">
        <v>114</v>
      </c>
      <c r="C14" s="109" t="e">
        <f>VLOOKUP(Table257519913140106110145[[#This Row],[PEG]],Table1016[#All],2,FALSE)</f>
        <v>#N/A</v>
      </c>
      <c r="D14" s="128"/>
      <c r="E14" s="125" t="e">
        <f>VLOOKUP(Table257519913140106110145[[#This Row],[PEG]],Table1016[#All],3,FALSE)</f>
        <v>#N/A</v>
      </c>
    </row>
    <row r="15" spans="1:5" x14ac:dyDescent="0.35">
      <c r="A15" s="118">
        <v>8</v>
      </c>
      <c r="B15" s="114" t="s">
        <v>115</v>
      </c>
      <c r="C15" s="109" t="e">
        <f>VLOOKUP(Table257519913140106110145[[#This Row],[PEG]],Table1016[#All],2,FALSE)</f>
        <v>#N/A</v>
      </c>
      <c r="D15" s="116"/>
      <c r="E15" s="125" t="e">
        <f>VLOOKUP(Table257519913140106110145[[#This Row],[PEG]],Table1016[#All],3,FALSE)</f>
        <v>#N/A</v>
      </c>
    </row>
    <row r="16" spans="1:5" x14ac:dyDescent="0.35">
      <c r="A16" s="118">
        <v>9</v>
      </c>
      <c r="B16" s="114" t="s">
        <v>12</v>
      </c>
      <c r="C16" s="109" t="e">
        <f>VLOOKUP(Table257519913140106110145[[#This Row],[PEG]],Table1016[#All],2,FALSE)</f>
        <v>#N/A</v>
      </c>
      <c r="D16" s="116"/>
      <c r="E16" s="125" t="e">
        <f>VLOOKUP(Table257519913140106110145[[#This Row],[PEG]],Table1016[#All],3,FALSE)</f>
        <v>#N/A</v>
      </c>
    </row>
    <row r="17" spans="1:5" x14ac:dyDescent="0.35">
      <c r="A17" s="118">
        <v>10</v>
      </c>
      <c r="B17" s="114" t="s">
        <v>12</v>
      </c>
      <c r="C17" s="109" t="e">
        <f>VLOOKUP(Table257519913140106110145[[#This Row],[PEG]],Table1016[#All],2,FALSE)</f>
        <v>#N/A</v>
      </c>
      <c r="D17" s="117"/>
      <c r="E17" s="125" t="e">
        <f>VLOOKUP(Table257519913140106110145[[#This Row],[PEG]],Table1016[#All],3,FALSE)</f>
        <v>#N/A</v>
      </c>
    </row>
    <row r="18" spans="1:5" x14ac:dyDescent="0.35">
      <c r="A18" s="118">
        <v>11</v>
      </c>
      <c r="B18" s="114" t="s">
        <v>115</v>
      </c>
      <c r="C18" s="109" t="e">
        <f>VLOOKUP(Table257519913140106110145[[#This Row],[PEG]],Table1016[#All],2,FALSE)</f>
        <v>#N/A</v>
      </c>
      <c r="D18" s="117"/>
      <c r="E18" s="125" t="e">
        <f>VLOOKUP(Table257519913140106110145[[#This Row],[PEG]],Table1016[#All],3,FALSE)</f>
        <v>#N/A</v>
      </c>
    </row>
    <row r="19" spans="1:5" x14ac:dyDescent="0.35">
      <c r="A19" s="118">
        <v>12</v>
      </c>
      <c r="B19" s="114" t="s">
        <v>115</v>
      </c>
      <c r="C19" s="109" t="e">
        <f>VLOOKUP(Table257519913140106110145[[#This Row],[PEG]],Table1016[#All],2,FALSE)</f>
        <v>#N/A</v>
      </c>
      <c r="D19" s="117"/>
      <c r="E19" s="125" t="e">
        <f>VLOOKUP(Table257519913140106110145[[#This Row],[PEG]],Table1016[#All],3,FALSE)</f>
        <v>#N/A</v>
      </c>
    </row>
    <row r="20" spans="1:5" x14ac:dyDescent="0.35">
      <c r="A20" s="118">
        <v>13</v>
      </c>
      <c r="B20" s="114" t="s">
        <v>114</v>
      </c>
      <c r="C20" s="109" t="e">
        <f>VLOOKUP(Table257519913140106110145[[#This Row],[PEG]],Table1016[#All],2,FALSE)</f>
        <v>#N/A</v>
      </c>
      <c r="D20" s="117"/>
      <c r="E20" s="125" t="e">
        <f>VLOOKUP(Table257519913140106110145[[#This Row],[PEG]],Table1016[#All],3,FALSE)</f>
        <v>#N/A</v>
      </c>
    </row>
    <row r="21" spans="1:5" x14ac:dyDescent="0.35">
      <c r="A21" s="118">
        <v>14</v>
      </c>
      <c r="B21" s="114" t="s">
        <v>12</v>
      </c>
      <c r="C21" s="109" t="e">
        <f>VLOOKUP(Table257519913140106110145[[#This Row],[PEG]],Table1016[#All],2,FALSE)</f>
        <v>#N/A</v>
      </c>
      <c r="D21" s="117"/>
      <c r="E21" s="125" t="e">
        <f>VLOOKUP(Table257519913140106110145[[#This Row],[PEG]],Table1016[#All],3,FALSE)</f>
        <v>#N/A</v>
      </c>
    </row>
    <row r="22" spans="1:5" x14ac:dyDescent="0.35">
      <c r="A22" s="118">
        <v>15</v>
      </c>
      <c r="B22" s="114" t="s">
        <v>12</v>
      </c>
      <c r="C22" s="109" t="e">
        <f>VLOOKUP(Table257519913140106110145[[#This Row],[PEG]],Table1016[#All],2,FALSE)</f>
        <v>#N/A</v>
      </c>
      <c r="D22" s="117"/>
      <c r="E22" s="125" t="e">
        <f>VLOOKUP(Table257519913140106110145[[#This Row],[PEG]],Table1016[#All],3,FALSE)</f>
        <v>#N/A</v>
      </c>
    </row>
    <row r="23" spans="1:5" x14ac:dyDescent="0.35">
      <c r="A23" s="118">
        <v>16</v>
      </c>
      <c r="B23" s="114" t="s">
        <v>115</v>
      </c>
      <c r="C23" s="109" t="e">
        <f>VLOOKUP(Table257519913140106110145[[#This Row],[PEG]],Table1016[#All],2,FALSE)</f>
        <v>#N/A</v>
      </c>
      <c r="D23" s="117"/>
      <c r="E23" s="125" t="e">
        <f>VLOOKUP(Table257519913140106110145[[#This Row],[PEG]],Table1016[#All],3,FALSE)</f>
        <v>#N/A</v>
      </c>
    </row>
    <row r="24" spans="1:5" x14ac:dyDescent="0.35">
      <c r="A24" s="118">
        <v>17</v>
      </c>
      <c r="B24" s="114" t="s">
        <v>114</v>
      </c>
      <c r="C24" s="109" t="e">
        <f>VLOOKUP(Table257519913140106110145[[#This Row],[PEG]],Table1016[#All],2,FALSE)</f>
        <v>#N/A</v>
      </c>
      <c r="D24" s="117"/>
      <c r="E24" s="125" t="e">
        <f>VLOOKUP(Table257519913140106110145[[#This Row],[PEG]],Table1016[#All],3,FALSE)</f>
        <v>#N/A</v>
      </c>
    </row>
    <row r="25" spans="1:5" x14ac:dyDescent="0.35">
      <c r="A25" s="118">
        <v>18</v>
      </c>
      <c r="B25" s="114" t="s">
        <v>12</v>
      </c>
      <c r="C25" s="109" t="e">
        <f>VLOOKUP(Table257519913140106110145[[#This Row],[PEG]],Table1016[#All],2,FALSE)</f>
        <v>#N/A</v>
      </c>
      <c r="D25" s="117"/>
      <c r="E25" s="125" t="e">
        <f>VLOOKUP(Table257519913140106110145[[#This Row],[PEG]],Table1016[#All],3,FALSE)</f>
        <v>#N/A</v>
      </c>
    </row>
    <row r="26" spans="1:5" x14ac:dyDescent="0.35">
      <c r="A26" s="118">
        <v>19</v>
      </c>
      <c r="B26" s="114" t="s">
        <v>12</v>
      </c>
      <c r="C26" s="109" t="e">
        <f>VLOOKUP(Table257519913140106110145[[#This Row],[PEG]],Table1016[#All],2,FALSE)</f>
        <v>#N/A</v>
      </c>
      <c r="D26" s="117"/>
      <c r="E26" s="125" t="e">
        <f>VLOOKUP(Table257519913140106110145[[#This Row],[PEG]],Table1016[#All],3,FALSE)</f>
        <v>#N/A</v>
      </c>
    </row>
    <row r="27" spans="1:5" x14ac:dyDescent="0.35">
      <c r="A27" s="118">
        <v>20</v>
      </c>
      <c r="B27" s="114" t="s">
        <v>115</v>
      </c>
      <c r="C27" s="109" t="e">
        <f>VLOOKUP(Table257519913140106110145[[#This Row],[PEG]],Table1016[#All],2,FALSE)</f>
        <v>#N/A</v>
      </c>
      <c r="D27" s="117"/>
      <c r="E27" s="125" t="e">
        <f>VLOOKUP(Table257519913140106110145[[#This Row],[PEG]],Table1016[#All],3,FALSE)</f>
        <v>#N/A</v>
      </c>
    </row>
    <row r="28" spans="1:5" x14ac:dyDescent="0.35">
      <c r="A28" s="118">
        <v>21</v>
      </c>
      <c r="B28" s="114" t="s">
        <v>114</v>
      </c>
      <c r="C28" s="109" t="e">
        <f>VLOOKUP(Table257519913140106110145[[#This Row],[PEG]],Table1016[#All],2,FALSE)</f>
        <v>#N/A</v>
      </c>
      <c r="D28" s="117"/>
      <c r="E28" s="125" t="e">
        <f>VLOOKUP(Table257519913140106110145[[#This Row],[PEG]],Table1016[#All],3,FALSE)</f>
        <v>#N/A</v>
      </c>
    </row>
    <row r="29" spans="1:5" x14ac:dyDescent="0.35">
      <c r="A29" s="118">
        <v>22</v>
      </c>
      <c r="B29" s="114" t="s">
        <v>12</v>
      </c>
      <c r="C29" s="109" t="e">
        <f>VLOOKUP(Table257519913140106110145[[#This Row],[PEG]],Table1016[#All],2,FALSE)</f>
        <v>#N/A</v>
      </c>
      <c r="D29" s="117"/>
      <c r="E29" s="125" t="e">
        <f>VLOOKUP(Table257519913140106110145[[#This Row],[PEG]],Table1016[#All],3,FALSE)</f>
        <v>#N/A</v>
      </c>
    </row>
    <row r="30" spans="1:5" x14ac:dyDescent="0.35">
      <c r="A30" s="118">
        <v>23</v>
      </c>
      <c r="B30" s="114" t="s">
        <v>12</v>
      </c>
      <c r="C30" s="109" t="e">
        <f>VLOOKUP(Table257519913140106110145[[#This Row],[PEG]],Table1016[#All],2,FALSE)</f>
        <v>#N/A</v>
      </c>
      <c r="D30" s="117"/>
      <c r="E30" s="125" t="e">
        <f>VLOOKUP(Table257519913140106110145[[#This Row],[PEG]],Table1016[#All],3,FALSE)</f>
        <v>#N/A</v>
      </c>
    </row>
    <row r="31" spans="1:5" x14ac:dyDescent="0.35">
      <c r="A31" s="118">
        <v>24</v>
      </c>
      <c r="B31" s="114" t="s">
        <v>115</v>
      </c>
      <c r="C31" s="109" t="e">
        <f>VLOOKUP(Table257519913140106110145[[#This Row],[PEG]],Table1016[#All],2,FALSE)</f>
        <v>#N/A</v>
      </c>
      <c r="D31" s="117"/>
      <c r="E31" s="125" t="e">
        <f>VLOOKUP(Table257519913140106110145[[#This Row],[PEG]],Table1016[#All],3,FALSE)</f>
        <v>#N/A</v>
      </c>
    </row>
    <row r="32" spans="1:5" x14ac:dyDescent="0.35">
      <c r="A32" s="118">
        <v>25</v>
      </c>
      <c r="B32" s="114" t="s">
        <v>115</v>
      </c>
      <c r="C32" s="109" t="e">
        <f>VLOOKUP(Table257519913140106110145[[#This Row],[PEG]],Table1016[#All],2,FALSE)</f>
        <v>#N/A</v>
      </c>
      <c r="D32" s="117"/>
      <c r="E32" s="125" t="e">
        <f>VLOOKUP(Table257519913140106110145[[#This Row],[PEG]],Table1016[#All],3,FALSE)</f>
        <v>#N/A</v>
      </c>
    </row>
    <row r="33" spans="1:5" x14ac:dyDescent="0.35">
      <c r="A33" s="118">
        <v>26</v>
      </c>
      <c r="B33" s="114" t="s">
        <v>124</v>
      </c>
      <c r="C33" s="109" t="e">
        <f>VLOOKUP(Table257519913140106110145[[#This Row],[PEG]],Table1016[#All],2,FALSE)</f>
        <v>#N/A</v>
      </c>
      <c r="D33" s="117"/>
      <c r="E33" s="125" t="e">
        <f>VLOOKUP(Table257519913140106110145[[#This Row],[PEG]],Table1016[#All],3,FALSE)</f>
        <v>#N/A</v>
      </c>
    </row>
    <row r="34" spans="1:5" x14ac:dyDescent="0.35">
      <c r="A34" s="118">
        <v>27</v>
      </c>
      <c r="B34" s="114" t="s">
        <v>115</v>
      </c>
      <c r="C34" s="109" t="e">
        <f>VLOOKUP(Table257519913140106110145[[#This Row],[PEG]],Table1016[#All],2,FALSE)</f>
        <v>#N/A</v>
      </c>
      <c r="D34" s="117"/>
      <c r="E34" s="125" t="e">
        <f>VLOOKUP(Table257519913140106110145[[#This Row],[PEG]],Table1016[#All],3,FALSE)</f>
        <v>#N/A</v>
      </c>
    </row>
    <row r="35" spans="1:5" x14ac:dyDescent="0.35">
      <c r="A35" s="118">
        <v>28</v>
      </c>
      <c r="B35" s="114" t="s">
        <v>124</v>
      </c>
      <c r="C35" s="109" t="e">
        <f>VLOOKUP(Table257519913140106110145[[#This Row],[PEG]],Table1016[#All],2,FALSE)</f>
        <v>#N/A</v>
      </c>
      <c r="D35" s="117"/>
      <c r="E35" s="125" t="e">
        <f>VLOOKUP(Table257519913140106110145[[#This Row],[PEG]],Table1016[#All],3,FALSE)</f>
        <v>#N/A</v>
      </c>
    </row>
    <row r="36" spans="1:5" x14ac:dyDescent="0.35">
      <c r="A36" s="118">
        <v>29</v>
      </c>
      <c r="B36" s="114" t="s">
        <v>115</v>
      </c>
      <c r="C36" s="109" t="e">
        <f>VLOOKUP(Table257519913140106110145[[#This Row],[PEG]],Table1016[#All],2,FALSE)</f>
        <v>#N/A</v>
      </c>
      <c r="D36" s="117"/>
      <c r="E36" s="125" t="e">
        <f>VLOOKUP(Table257519913140106110145[[#This Row],[PEG]],Table1016[#All],3,FALSE)</f>
        <v>#N/A</v>
      </c>
    </row>
    <row r="37" spans="1:5" x14ac:dyDescent="0.35">
      <c r="A37" s="118">
        <v>30</v>
      </c>
      <c r="B37" s="114" t="s">
        <v>12</v>
      </c>
      <c r="C37" s="109" t="e">
        <f>VLOOKUP(Table257519913140106110145[[#This Row],[PEG]],Table1016[#All],2,FALSE)</f>
        <v>#N/A</v>
      </c>
      <c r="D37" s="117"/>
      <c r="E37" s="125" t="e">
        <f>VLOOKUP(Table257519913140106110145[[#This Row],[PEG]],Table1016[#All],3,FALSE)</f>
        <v>#N/A</v>
      </c>
    </row>
    <row r="38" spans="1:5" x14ac:dyDescent="0.35">
      <c r="A38" s="118">
        <v>31</v>
      </c>
      <c r="B38" s="114" t="s">
        <v>12</v>
      </c>
      <c r="C38" s="109" t="e">
        <f>VLOOKUP(Table257519913140106110145[[#This Row],[PEG]],Table1016[#All],2,FALSE)</f>
        <v>#N/A</v>
      </c>
      <c r="D38" s="117"/>
      <c r="E38" s="125" t="e">
        <f>VLOOKUP(Table257519913140106110145[[#This Row],[PEG]],Table1016[#All],3,FALSE)</f>
        <v>#N/A</v>
      </c>
    </row>
    <row r="39" spans="1:5" x14ac:dyDescent="0.35">
      <c r="A39" s="118">
        <v>32</v>
      </c>
      <c r="B39" s="114" t="s">
        <v>12</v>
      </c>
      <c r="C39" s="109" t="e">
        <f>VLOOKUP(Table257519913140106110145[[#This Row],[PEG]],Table1016[#All],2,FALSE)</f>
        <v>#N/A</v>
      </c>
      <c r="D39" s="117"/>
      <c r="E39" s="125" t="e">
        <f>VLOOKUP(Table257519913140106110145[[#This Row],[PEG]],Table1016[#All],3,FALSE)</f>
        <v>#N/A</v>
      </c>
    </row>
    <row r="40" spans="1:5" x14ac:dyDescent="0.35">
      <c r="A40" s="118">
        <v>33</v>
      </c>
      <c r="B40" s="114" t="s">
        <v>12</v>
      </c>
      <c r="C40" s="109" t="e">
        <f>VLOOKUP(Table257519913140106110145[[#This Row],[PEG]],Table1016[#All],2,FALSE)</f>
        <v>#N/A</v>
      </c>
      <c r="D40" s="117"/>
      <c r="E40" s="125" t="e">
        <f>VLOOKUP(Table257519913140106110145[[#This Row],[PEG]],Table1016[#All],3,FALSE)</f>
        <v>#N/A</v>
      </c>
    </row>
    <row r="41" spans="1:5" x14ac:dyDescent="0.35">
      <c r="A41" s="118">
        <v>34</v>
      </c>
      <c r="B41" s="114" t="s">
        <v>115</v>
      </c>
      <c r="C41" s="109" t="e">
        <f>VLOOKUP(Table257519913140106110145[[#This Row],[PEG]],Table1016[#All],2,FALSE)</f>
        <v>#N/A</v>
      </c>
      <c r="D41" s="117"/>
      <c r="E41" s="125" t="e">
        <f>VLOOKUP(Table257519913140106110145[[#This Row],[PEG]],Table1016[#All],3,FALSE)</f>
        <v>#N/A</v>
      </c>
    </row>
    <row r="42" spans="1:5" x14ac:dyDescent="0.35">
      <c r="A42" s="118">
        <v>35</v>
      </c>
      <c r="B42" s="114" t="s">
        <v>12</v>
      </c>
      <c r="C42" s="109" t="e">
        <f>VLOOKUP(Table257519913140106110145[[#This Row],[PEG]],Table1016[#All],2,FALSE)</f>
        <v>#N/A</v>
      </c>
      <c r="D42" s="115"/>
      <c r="E42" s="125" t="e">
        <f>VLOOKUP(Table257519913140106110145[[#This Row],[PEG]],Table1016[#All],3,FALSE)</f>
        <v>#N/A</v>
      </c>
    </row>
    <row r="43" spans="1:5" x14ac:dyDescent="0.35">
      <c r="A43" s="118">
        <v>36</v>
      </c>
      <c r="B43" s="114" t="s">
        <v>115</v>
      </c>
      <c r="C43" s="109" t="e">
        <f>VLOOKUP(Table257519913140106110145[[#This Row],[PEG]],Table1016[#All],2,FALSE)</f>
        <v>#N/A</v>
      </c>
      <c r="D43" s="115"/>
      <c r="E43" s="125" t="e">
        <f>VLOOKUP(Table257519913140106110145[[#This Row],[PEG]],Table1016[#All],3,FALSE)</f>
        <v>#N/A</v>
      </c>
    </row>
    <row r="44" spans="1:5" x14ac:dyDescent="0.35">
      <c r="A44" s="118">
        <v>37</v>
      </c>
      <c r="B44" s="114" t="s">
        <v>13</v>
      </c>
      <c r="C44" s="18" t="s">
        <v>13</v>
      </c>
      <c r="D44" s="115"/>
      <c r="E44" s="32"/>
    </row>
  </sheetData>
  <mergeCells count="1">
    <mergeCell ref="A1:B1"/>
  </mergeCells>
  <conditionalFormatting sqref="B8:B18">
    <cfRule type="containsText" dxfId="2033" priority="1" operator="containsText" text="Hear">
      <formula>NOT(ISERROR(SEARCH("Hear",B8)))</formula>
    </cfRule>
  </conditionalFormatting>
  <conditionalFormatting sqref="B30">
    <cfRule type="containsText" dxfId="2032" priority="4" operator="containsText" text="Hear">
      <formula>NOT(ISERROR(SEARCH("Hear",B30)))</formula>
    </cfRule>
  </conditionalFormatting>
  <conditionalFormatting sqref="B43:B44">
    <cfRule type="containsText" dxfId="2031" priority="8" operator="containsText" text="Hear">
      <formula>NOT(ISERROR(SEARCH("Hear",B43)))</formula>
    </cfRule>
  </conditionalFormatting>
  <conditionalFormatting sqref="E44">
    <cfRule type="containsText" dxfId="2030" priority="6" operator="containsText" text="WEB SERVICE">
      <formula>NOT(ISERROR(SEARCH("WEB SERVICE",E44)))</formula>
    </cfRule>
    <cfRule type="containsText" dxfId="2029" priority="7" operator="containsText" text="DB">
      <formula>NOT(ISERROR(SEARCH("DB",E44)))</formula>
    </cfRule>
  </conditionalFormatting>
  <conditionalFormatting sqref="C44">
    <cfRule type="expression" dxfId="2028" priority="9">
      <formula>$B44="Dial"</formula>
    </cfRule>
    <cfRule type="expression" dxfId="2027" priority="11">
      <formula>$B44="HANGUP"</formula>
    </cfRule>
  </conditionalFormatting>
  <conditionalFormatting sqref="C44">
    <cfRule type="expression" dxfId="2026" priority="10">
      <formula>$B44="Speak"</formula>
    </cfRule>
  </conditionalFormatting>
  <conditionalFormatting sqref="B36:B38 B40:B41">
    <cfRule type="containsText" dxfId="2025" priority="3" operator="containsText" text="Hear">
      <formula>NOT(ISERROR(SEARCH("Hear",B36)))</formula>
    </cfRule>
  </conditionalFormatting>
  <conditionalFormatting sqref="B19:B29 B31:B35 B42">
    <cfRule type="containsText" dxfId="2024" priority="5" operator="containsText" text="Hear">
      <formula>NOT(ISERROR(SEARCH("Hear",B19)))</formula>
    </cfRule>
  </conditionalFormatting>
  <hyperlinks>
    <hyperlink ref="A1" location="'Test Case Overview'!A1" display="Return to Test Case Overview" xr:uid="{1EC10F58-5570-4A70-81F5-0C8C67811F9D}"/>
  </hyperlinks>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expression" priority="12" id="{1D1902CF-8A7C-4DD5-BC14-8867A6C8D721}">
            <xm:f>'TC1'!$B8="Speak"</xm:f>
            <x14:dxf>
              <font>
                <b/>
                <i val="0"/>
                <color rgb="FFFF0000"/>
              </font>
            </x14:dxf>
          </x14:cfRule>
          <xm:sqref>C8</xm:sqref>
        </x14:conditionalFormatting>
        <x14:conditionalFormatting xmlns:xm="http://schemas.microsoft.com/office/excel/2006/main">
          <x14:cfRule type="containsText" priority="15" operator="containsText" text="Hear" id="{CF3336FC-6431-4337-9E26-C75A5AB1473A}">
            <xm:f>NOT(ISERROR(SEARCH("Hear",'TC3'!B34)))</xm:f>
            <x14:dxf>
              <font>
                <color theme="9" tint="-0.24994659260841701"/>
              </font>
              <fill>
                <patternFill>
                  <bgColor theme="9" tint="0.59996337778862885"/>
                </patternFill>
              </fill>
            </x14:dxf>
          </x14:cfRule>
          <xm:sqref>B41</xm:sqref>
        </x14:conditionalFormatting>
        <x14:conditionalFormatting xmlns:xm="http://schemas.microsoft.com/office/excel/2006/main">
          <x14:cfRule type="expression" priority="16" id="{0DD6871F-C1D7-40EB-A95A-53AE06EC25DB}">
            <xm:f>'TC1'!$B8="Dial"</xm:f>
            <x14:dxf>
              <font>
                <b/>
                <i val="0"/>
                <color rgb="FFFF0000"/>
              </font>
            </x14:dxf>
          </x14:cfRule>
          <x14:cfRule type="expression" priority="16" id="{F8AF5DE7-CF08-4F5F-B3EF-841F24DBD7FD}">
            <xm:f>'TC1'!$B8="HANGUP"</xm:f>
            <x14:dxf>
              <font>
                <b/>
                <i val="0"/>
              </font>
            </x14:dxf>
          </x14:cfRule>
          <xm:sqref>C8</xm:sqref>
        </x14:conditionalFormatting>
        <x14:conditionalFormatting xmlns:xm="http://schemas.microsoft.com/office/excel/2006/main">
          <x14:cfRule type="expression" priority="2642" id="{1D1902CF-8A7C-4DD5-BC14-8867A6C8D721}">
            <xm:f>'TC1'!$B16="Speak"</xm:f>
            <x14:dxf>
              <font>
                <b/>
                <i val="0"/>
                <color rgb="FFFF0000"/>
              </font>
            </x14:dxf>
          </x14:cfRule>
          <xm:sqref>C34:C43</xm:sqref>
        </x14:conditionalFormatting>
        <x14:conditionalFormatting xmlns:xm="http://schemas.microsoft.com/office/excel/2006/main">
          <x14:cfRule type="expression" priority="2643" id="{1D1902CF-8A7C-4DD5-BC14-8867A6C8D721}">
            <xm:f>'TC1'!#REF!="Speak"</xm:f>
            <x14:dxf>
              <font>
                <b/>
                <i val="0"/>
                <color rgb="FFFF0000"/>
              </font>
            </x14:dxf>
          </x14:cfRule>
          <xm:sqref>C17:C33</xm:sqref>
        </x14:conditionalFormatting>
        <x14:conditionalFormatting xmlns:xm="http://schemas.microsoft.com/office/excel/2006/main">
          <x14:cfRule type="containsText" priority="2647" operator="containsText" text="WEB SERVICE" id="{1F35B7A4-6956-47B2-9D8F-379C9E154775}">
            <xm:f>NOT(ISERROR(SEARCH("WEB SERVICE",'TC1'!E16)))</xm:f>
            <x14:dxf>
              <font>
                <color rgb="FF9C0006"/>
              </font>
              <fill>
                <patternFill>
                  <bgColor rgb="FFFFC7CE"/>
                </patternFill>
              </fill>
            </x14:dxf>
          </x14:cfRule>
          <x14:cfRule type="containsText" priority="2648" operator="containsText" text="DB" id="{26CD595C-4116-4C57-BCF5-DA4902064752}">
            <xm:f>NOT(ISERROR(SEARCH("DB",'TC1'!E16)))</xm:f>
            <x14:dxf>
              <font>
                <color rgb="FF006100"/>
              </font>
              <fill>
                <patternFill>
                  <bgColor rgb="FFC6EFCE"/>
                </patternFill>
              </fill>
            </x14:dxf>
          </x14:cfRule>
          <xm:sqref>E34:E43</xm:sqref>
        </x14:conditionalFormatting>
        <x14:conditionalFormatting xmlns:xm="http://schemas.microsoft.com/office/excel/2006/main">
          <x14:cfRule type="containsText" priority="2649" operator="containsText" text="WEB SERVICE" id="{1F35B7A4-6956-47B2-9D8F-379C9E154775}">
            <xm:f>NOT(ISERROR(SEARCH("WEB SERVICE",'TC1'!#REF!)))</xm:f>
            <x14:dxf>
              <font>
                <color rgb="FF9C0006"/>
              </font>
              <fill>
                <patternFill>
                  <bgColor rgb="FFFFC7CE"/>
                </patternFill>
              </fill>
            </x14:dxf>
          </x14:cfRule>
          <x14:cfRule type="containsText" priority="2650" operator="containsText" text="DB" id="{26CD595C-4116-4C57-BCF5-DA4902064752}">
            <xm:f>NOT(ISERROR(SEARCH("DB",'TC1'!#REF!)))</xm:f>
            <x14:dxf>
              <font>
                <color rgb="FF006100"/>
              </font>
              <fill>
                <patternFill>
                  <bgColor rgb="FFC6EFCE"/>
                </patternFill>
              </fill>
            </x14:dxf>
          </x14:cfRule>
          <xm:sqref>E17:E33</xm:sqref>
        </x14:conditionalFormatting>
        <x14:conditionalFormatting xmlns:xm="http://schemas.microsoft.com/office/excel/2006/main">
          <x14:cfRule type="expression" priority="2655" id="{0DD6871F-C1D7-40EB-A95A-53AE06EC25DB}">
            <xm:f>'TC1'!$B16="Dial"</xm:f>
            <x14:dxf>
              <font>
                <b/>
                <i val="0"/>
                <color rgb="FFFF0000"/>
              </font>
            </x14:dxf>
          </x14:cfRule>
          <x14:cfRule type="expression" priority="2656" id="{F8AF5DE7-CF08-4F5F-B3EF-841F24DBD7FD}">
            <xm:f>'TC1'!$B16="HANGUP"</xm:f>
            <x14:dxf>
              <font>
                <b/>
                <i val="0"/>
              </font>
            </x14:dxf>
          </x14:cfRule>
          <xm:sqref>C34:C43</xm:sqref>
        </x14:conditionalFormatting>
        <x14:conditionalFormatting xmlns:xm="http://schemas.microsoft.com/office/excel/2006/main">
          <x14:cfRule type="expression" priority="2657" id="{0DD6871F-C1D7-40EB-A95A-53AE06EC25DB}">
            <xm:f>'TC1'!#REF!="Dial"</xm:f>
            <x14:dxf>
              <font>
                <b/>
                <i val="0"/>
                <color rgb="FFFF0000"/>
              </font>
            </x14:dxf>
          </x14:cfRule>
          <x14:cfRule type="expression" priority="2658" id="{F8AF5DE7-CF08-4F5F-B3EF-841F24DBD7FD}">
            <xm:f>'TC1'!#REF!="HANGUP"</xm:f>
            <x14:dxf>
              <font>
                <b/>
                <i val="0"/>
              </font>
            </x14:dxf>
          </x14:cfRule>
          <xm:sqref>C17:C33</xm:sqref>
        </x14:conditionalFormatting>
        <x14:conditionalFormatting xmlns:xm="http://schemas.microsoft.com/office/excel/2006/main">
          <x14:cfRule type="expression" priority="5316" id="{1D1902CF-8A7C-4DD5-BC14-8867A6C8D721}">
            <xm:f>'TC1'!$B9="Speak"</xm:f>
            <x14:dxf>
              <font>
                <b/>
                <i val="0"/>
                <color rgb="FFFF0000"/>
              </font>
            </x14:dxf>
          </x14:cfRule>
          <xm:sqref>C12:C15</xm:sqref>
        </x14:conditionalFormatting>
        <x14:conditionalFormatting xmlns:xm="http://schemas.microsoft.com/office/excel/2006/main">
          <x14:cfRule type="expression" priority="5317" id="{1D1902CF-8A7C-4DD5-BC14-8867A6C8D721}">
            <xm:f>'TC1'!#REF!="Speak"</xm:f>
            <x14:dxf>
              <font>
                <b/>
                <i val="0"/>
                <color rgb="FFFF0000"/>
              </font>
            </x14:dxf>
          </x14:cfRule>
          <xm:sqref>C9:C11</xm:sqref>
        </x14:conditionalFormatting>
        <x14:conditionalFormatting xmlns:xm="http://schemas.microsoft.com/office/excel/2006/main">
          <x14:cfRule type="containsText" priority="5319" operator="containsText" text="WEB SERVICE" id="{1F35B7A4-6956-47B2-9D8F-379C9E154775}">
            <xm:f>NOT(ISERROR(SEARCH("WEB SERVICE",'TC1'!#REF!)))</xm:f>
            <x14:dxf>
              <font>
                <color rgb="FF9C0006"/>
              </font>
              <fill>
                <patternFill>
                  <bgColor rgb="FFFFC7CE"/>
                </patternFill>
              </fill>
            </x14:dxf>
          </x14:cfRule>
          <x14:cfRule type="containsText" priority="5320" operator="containsText" text="DB" id="{26CD595C-4116-4C57-BCF5-DA4902064752}">
            <xm:f>NOT(ISERROR(SEARCH("DB",'TC1'!#REF!)))</xm:f>
            <x14:dxf>
              <font>
                <color rgb="FF006100"/>
              </font>
              <fill>
                <patternFill>
                  <bgColor rgb="FFC6EFCE"/>
                </patternFill>
              </fill>
            </x14:dxf>
          </x14:cfRule>
          <xm:sqref>E9:E11</xm:sqref>
        </x14:conditionalFormatting>
        <x14:conditionalFormatting xmlns:xm="http://schemas.microsoft.com/office/excel/2006/main">
          <x14:cfRule type="containsText" priority="5321" operator="containsText" text="WEB SERVICE" id="{1F35B7A4-6956-47B2-9D8F-379C9E154775}">
            <xm:f>NOT(ISERROR(SEARCH("WEB SERVICE",'TC1'!E9)))</xm:f>
            <x14:dxf>
              <font>
                <color rgb="FF9C0006"/>
              </font>
              <fill>
                <patternFill>
                  <bgColor rgb="FFFFC7CE"/>
                </patternFill>
              </fill>
            </x14:dxf>
          </x14:cfRule>
          <x14:cfRule type="containsText" priority="5322" operator="containsText" text="DB" id="{26CD595C-4116-4C57-BCF5-DA4902064752}">
            <xm:f>NOT(ISERROR(SEARCH("DB",'TC1'!E9)))</xm:f>
            <x14:dxf>
              <font>
                <color rgb="FF006100"/>
              </font>
              <fill>
                <patternFill>
                  <bgColor rgb="FFC6EFCE"/>
                </patternFill>
              </fill>
            </x14:dxf>
          </x14:cfRule>
          <xm:sqref>E12:E15</xm:sqref>
        </x14:conditionalFormatting>
        <x14:conditionalFormatting xmlns:xm="http://schemas.microsoft.com/office/excel/2006/main">
          <x14:cfRule type="expression" priority="5327" id="{0DD6871F-C1D7-40EB-A95A-53AE06EC25DB}">
            <xm:f>'TC1'!$B9="Dial"</xm:f>
            <x14:dxf>
              <font>
                <b/>
                <i val="0"/>
                <color rgb="FFFF0000"/>
              </font>
            </x14:dxf>
          </x14:cfRule>
          <x14:cfRule type="expression" priority="5328" id="{F8AF5DE7-CF08-4F5F-B3EF-841F24DBD7FD}">
            <xm:f>'TC1'!$B9="HANGUP"</xm:f>
            <x14:dxf>
              <font>
                <b/>
                <i val="0"/>
              </font>
            </x14:dxf>
          </x14:cfRule>
          <xm:sqref>C12:C15</xm:sqref>
        </x14:conditionalFormatting>
        <x14:conditionalFormatting xmlns:xm="http://schemas.microsoft.com/office/excel/2006/main">
          <x14:cfRule type="expression" priority="5329" id="{0DD6871F-C1D7-40EB-A95A-53AE06EC25DB}">
            <xm:f>'TC1'!#REF!="Dial"</xm:f>
            <x14:dxf>
              <font>
                <b/>
                <i val="0"/>
                <color rgb="FFFF0000"/>
              </font>
            </x14:dxf>
          </x14:cfRule>
          <x14:cfRule type="expression" priority="5330" id="{F8AF5DE7-CF08-4F5F-B3EF-841F24DBD7FD}">
            <xm:f>'TC1'!#REF!="HANGUP"</xm:f>
            <x14:dxf>
              <font>
                <b/>
                <i val="0"/>
              </font>
            </x14:dxf>
          </x14:cfRule>
          <xm:sqref>C9:C11</xm:sqref>
        </x14:conditionalFormatting>
        <x14:conditionalFormatting xmlns:xm="http://schemas.microsoft.com/office/excel/2006/main">
          <x14:cfRule type="expression" priority="7609" id="{1D1902CF-8A7C-4DD5-BC14-8867A6C8D721}">
            <xm:f>'TC1'!$B15="Speak"</xm:f>
            <x14:dxf>
              <font>
                <b/>
                <i val="0"/>
                <color rgb="FFFF0000"/>
              </font>
            </x14:dxf>
          </x14:cfRule>
          <xm:sqref>C16</xm:sqref>
        </x14:conditionalFormatting>
        <x14:conditionalFormatting xmlns:xm="http://schemas.microsoft.com/office/excel/2006/main">
          <x14:cfRule type="containsText" priority="7612" operator="containsText" text="WEB SERVICE" id="{1F35B7A4-6956-47B2-9D8F-379C9E154775}">
            <xm:f>NOT(ISERROR(SEARCH("WEB SERVICE",'TC1'!E15)))</xm:f>
            <x14:dxf>
              <font>
                <color rgb="FF9C0006"/>
              </font>
              <fill>
                <patternFill>
                  <bgColor rgb="FFFFC7CE"/>
                </patternFill>
              </fill>
            </x14:dxf>
          </x14:cfRule>
          <x14:cfRule type="containsText" priority="7613" operator="containsText" text="DB" id="{26CD595C-4116-4C57-BCF5-DA4902064752}">
            <xm:f>NOT(ISERROR(SEARCH("DB",'TC1'!E15)))</xm:f>
            <x14:dxf>
              <font>
                <color rgb="FF006100"/>
              </font>
              <fill>
                <patternFill>
                  <bgColor rgb="FFC6EFCE"/>
                </patternFill>
              </fill>
            </x14:dxf>
          </x14:cfRule>
          <xm:sqref>E16</xm:sqref>
        </x14:conditionalFormatting>
        <x14:conditionalFormatting xmlns:xm="http://schemas.microsoft.com/office/excel/2006/main">
          <x14:cfRule type="expression" priority="7616" id="{0DD6871F-C1D7-40EB-A95A-53AE06EC25DB}">
            <xm:f>'TC1'!$B15="Dial"</xm:f>
            <x14:dxf>
              <font>
                <b/>
                <i val="0"/>
                <color rgb="FFFF0000"/>
              </font>
            </x14:dxf>
          </x14:cfRule>
          <x14:cfRule type="expression" priority="7617" id="{F8AF5DE7-CF08-4F5F-B3EF-841F24DBD7FD}">
            <xm:f>'TC1'!$B15="HANGUP"</xm:f>
            <x14:dxf>
              <font>
                <b/>
                <i val="0"/>
              </font>
            </x14:dxf>
          </x14:cfRule>
          <xm:sqref>C16</xm:sqref>
        </x14:conditionalFormatting>
        <x14:conditionalFormatting xmlns:xm="http://schemas.microsoft.com/office/excel/2006/main">
          <x14:cfRule type="containsText" priority="10212" operator="containsText" text="Hear" id="{A25CD7AA-31E5-472D-BFE6-0F57082867A1}">
            <xm:f>NOT(ISERROR(SEARCH("Hear",'TC26'!#REF!)))</xm:f>
            <x14:dxf>
              <font>
                <color theme="9" tint="-0.24994659260841701"/>
              </font>
              <fill>
                <patternFill>
                  <bgColor theme="9" tint="0.59996337778862885"/>
                </patternFill>
              </fill>
            </x14:dxf>
          </x14:cfRule>
          <xm:sqref>B39</xm:sqref>
        </x14:conditionalFormatting>
      </x14:conditionalFormattings>
    </ext>
  </extLst>
</worksheet>
</file>

<file path=xl/worksheets/sheet1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800-000000000000}">
  <sheetPr codeName="Sheet122"/>
  <dimension ref="A1:E44"/>
  <sheetViews>
    <sheetView zoomScaleNormal="100" workbookViewId="0">
      <selection sqref="A1:E44"/>
    </sheetView>
  </sheetViews>
  <sheetFormatPr defaultRowHeight="14.5" x14ac:dyDescent="0.35"/>
  <cols>
    <col min="1" max="1" width="14.453125" bestFit="1" customWidth="1"/>
    <col min="2" max="2" width="42.6328125" customWidth="1"/>
    <col min="3" max="3" width="106.1796875" customWidth="1"/>
    <col min="4" max="4" width="21.81640625" bestFit="1" customWidth="1"/>
    <col min="5" max="5" width="20.6328125" customWidth="1"/>
  </cols>
  <sheetData>
    <row r="1" spans="1:5" ht="18.5" x14ac:dyDescent="0.35">
      <c r="A1" s="192" t="s">
        <v>4</v>
      </c>
      <c r="B1" s="192"/>
      <c r="C1" s="105"/>
      <c r="D1" s="111"/>
      <c r="E1" s="97"/>
    </row>
    <row r="2" spans="1:5" x14ac:dyDescent="0.35">
      <c r="A2" s="106" t="s">
        <v>5</v>
      </c>
      <c r="B2" s="107" t="str">
        <f ca="1">MID(CELL("filename",A1),FIND("]",CELL("filename",A1))+1,LEN(CELL("filename",A1))-FIND("]",CELL("filename",A1)))</f>
        <v>TC120</v>
      </c>
      <c r="C2" s="98"/>
      <c r="D2" s="111"/>
      <c r="E2" s="97"/>
    </row>
    <row r="3" spans="1:5" x14ac:dyDescent="0.35">
      <c r="A3" s="104" t="s">
        <v>19</v>
      </c>
      <c r="B3" s="112">
        <f ca="1">VLOOKUP(B2,Table53[#All],2,FALSE)</f>
        <v>0</v>
      </c>
      <c r="C3" s="98"/>
      <c r="D3" s="111"/>
      <c r="E3" s="97"/>
    </row>
    <row r="4" spans="1:5" ht="29" x14ac:dyDescent="0.35">
      <c r="A4" s="113" t="s">
        <v>20</v>
      </c>
      <c r="B4" s="99">
        <f ca="1">VLOOKUP(B2,Table53[#All],4,FALSE)</f>
        <v>0</v>
      </c>
      <c r="C4" s="98"/>
      <c r="D4" s="111"/>
      <c r="E4" s="97"/>
    </row>
    <row r="5" spans="1:5" x14ac:dyDescent="0.35">
      <c r="A5" s="104" t="s">
        <v>6</v>
      </c>
      <c r="B5" s="77">
        <f ca="1">VLOOKUP(B2,Table53[#All],3,FALSE)</f>
        <v>0</v>
      </c>
      <c r="C5" s="98"/>
      <c r="D5" s="111"/>
      <c r="E5" s="97"/>
    </row>
    <row r="6" spans="1:5" x14ac:dyDescent="0.35">
      <c r="A6" s="97"/>
      <c r="B6" s="97"/>
      <c r="C6" s="98"/>
      <c r="D6" s="111"/>
      <c r="E6" s="97"/>
    </row>
    <row r="7" spans="1:5" ht="15.5" x14ac:dyDescent="0.35">
      <c r="A7" s="100" t="s">
        <v>7</v>
      </c>
      <c r="B7" s="101" t="s">
        <v>8</v>
      </c>
      <c r="C7" s="102" t="s">
        <v>9</v>
      </c>
      <c r="D7" s="102" t="s">
        <v>14</v>
      </c>
      <c r="E7" s="103" t="s">
        <v>10</v>
      </c>
    </row>
    <row r="8" spans="1:5" x14ac:dyDescent="0.35">
      <c r="A8" s="118">
        <v>1</v>
      </c>
      <c r="B8" s="114" t="s">
        <v>114</v>
      </c>
      <c r="C8" s="109" t="s">
        <v>125</v>
      </c>
      <c r="D8" s="128"/>
      <c r="E8" s="125" t="s">
        <v>11</v>
      </c>
    </row>
    <row r="9" spans="1:5" x14ac:dyDescent="0.35">
      <c r="A9" s="118">
        <v>2</v>
      </c>
      <c r="B9" s="114" t="s">
        <v>12</v>
      </c>
      <c r="C9" s="109" t="e">
        <f>VLOOKUP(Table257519913140106110147[[#This Row],[PEG]],Table1016[#All],2,FALSE)</f>
        <v>#N/A</v>
      </c>
      <c r="D9" s="128"/>
      <c r="E9" s="125" t="e">
        <f>VLOOKUP(Table257519913140106110147[[#This Row],[PEG]],Table1016[#All],3,FALSE)</f>
        <v>#N/A</v>
      </c>
    </row>
    <row r="10" spans="1:5" x14ac:dyDescent="0.35">
      <c r="A10" s="118">
        <v>3</v>
      </c>
      <c r="B10" s="114" t="s">
        <v>115</v>
      </c>
      <c r="C10" s="109" t="e">
        <f>VLOOKUP(Table257519913140106110147[[#This Row],[PEG]],Table1016[#All],2,FALSE)</f>
        <v>#N/A</v>
      </c>
      <c r="D10" s="128"/>
      <c r="E10" s="125" t="e">
        <f>VLOOKUP(Table257519913140106110147[[#This Row],[PEG]],Table1016[#All],3,FALSE)</f>
        <v>#N/A</v>
      </c>
    </row>
    <row r="11" spans="1:5" x14ac:dyDescent="0.35">
      <c r="A11" s="118">
        <v>4</v>
      </c>
      <c r="B11" s="114" t="s">
        <v>115</v>
      </c>
      <c r="C11" s="109" t="e">
        <f>VLOOKUP(Table257519913140106110147[[#This Row],[PEG]],Table1016[#All],2,FALSE)</f>
        <v>#N/A</v>
      </c>
      <c r="D11" s="128"/>
      <c r="E11" s="125" t="e">
        <f>VLOOKUP(Table257519913140106110147[[#This Row],[PEG]],Table1016[#All],3,FALSE)</f>
        <v>#N/A</v>
      </c>
    </row>
    <row r="12" spans="1:5" x14ac:dyDescent="0.35">
      <c r="A12" s="118">
        <v>5</v>
      </c>
      <c r="B12" s="114" t="s">
        <v>114</v>
      </c>
      <c r="C12" s="109" t="e">
        <f>VLOOKUP(Table257519913140106110147[[#This Row],[PEG]],Table1016[#All],2,FALSE)</f>
        <v>#N/A</v>
      </c>
      <c r="D12" s="128"/>
      <c r="E12" s="125" t="e">
        <f>VLOOKUP(Table257519913140106110147[[#This Row],[PEG]],Table1016[#All],3,FALSE)</f>
        <v>#N/A</v>
      </c>
    </row>
    <row r="13" spans="1:5" x14ac:dyDescent="0.35">
      <c r="A13" s="118">
        <v>6</v>
      </c>
      <c r="B13" s="114" t="s">
        <v>115</v>
      </c>
      <c r="C13" s="109" t="e">
        <f>VLOOKUP(Table257519913140106110147[[#This Row],[PEG]],Table1016[#All],2,FALSE)</f>
        <v>#N/A</v>
      </c>
      <c r="D13" s="128"/>
      <c r="E13" s="125" t="e">
        <f>VLOOKUP(Table257519913140106110147[[#This Row],[PEG]],Table1016[#All],3,FALSE)</f>
        <v>#N/A</v>
      </c>
    </row>
    <row r="14" spans="1:5" x14ac:dyDescent="0.35">
      <c r="A14" s="118">
        <v>7</v>
      </c>
      <c r="B14" s="114" t="s">
        <v>114</v>
      </c>
      <c r="C14" s="109" t="e">
        <f>VLOOKUP(Table257519913140106110147[[#This Row],[PEG]],Table1016[#All],2,FALSE)</f>
        <v>#N/A</v>
      </c>
      <c r="D14" s="128"/>
      <c r="E14" s="125" t="e">
        <f>VLOOKUP(Table257519913140106110147[[#This Row],[PEG]],Table1016[#All],3,FALSE)</f>
        <v>#N/A</v>
      </c>
    </row>
    <row r="15" spans="1:5" x14ac:dyDescent="0.35">
      <c r="A15" s="118">
        <v>8</v>
      </c>
      <c r="B15" s="114" t="s">
        <v>115</v>
      </c>
      <c r="C15" s="109" t="e">
        <f>VLOOKUP(Table257519913140106110147[[#This Row],[PEG]],Table1016[#All],2,FALSE)</f>
        <v>#N/A</v>
      </c>
      <c r="D15" s="116"/>
      <c r="E15" s="125" t="e">
        <f>VLOOKUP(Table257519913140106110147[[#This Row],[PEG]],Table1016[#All],3,FALSE)</f>
        <v>#N/A</v>
      </c>
    </row>
    <row r="16" spans="1:5" x14ac:dyDescent="0.35">
      <c r="A16" s="118">
        <v>9</v>
      </c>
      <c r="B16" s="114" t="s">
        <v>12</v>
      </c>
      <c r="C16" s="109" t="e">
        <f>VLOOKUP(Table257519913140106110147[[#This Row],[PEG]],Table1016[#All],2,FALSE)</f>
        <v>#N/A</v>
      </c>
      <c r="D16" s="116"/>
      <c r="E16" s="125" t="e">
        <f>VLOOKUP(Table257519913140106110147[[#This Row],[PEG]],Table1016[#All],3,FALSE)</f>
        <v>#N/A</v>
      </c>
    </row>
    <row r="17" spans="1:5" x14ac:dyDescent="0.35">
      <c r="A17" s="118">
        <v>10</v>
      </c>
      <c r="B17" s="114" t="s">
        <v>12</v>
      </c>
      <c r="C17" s="109" t="e">
        <f>VLOOKUP(Table257519913140106110147[[#This Row],[PEG]],Table1016[#All],2,FALSE)</f>
        <v>#N/A</v>
      </c>
      <c r="D17" s="117"/>
      <c r="E17" s="125" t="e">
        <f>VLOOKUP(Table257519913140106110147[[#This Row],[PEG]],Table1016[#All],3,FALSE)</f>
        <v>#N/A</v>
      </c>
    </row>
    <row r="18" spans="1:5" x14ac:dyDescent="0.35">
      <c r="A18" s="118">
        <v>11</v>
      </c>
      <c r="B18" s="114" t="s">
        <v>115</v>
      </c>
      <c r="C18" s="109" t="e">
        <f>VLOOKUP(Table257519913140106110147[[#This Row],[PEG]],Table1016[#All],2,FALSE)</f>
        <v>#N/A</v>
      </c>
      <c r="D18" s="117"/>
      <c r="E18" s="125" t="e">
        <f>VLOOKUP(Table257519913140106110147[[#This Row],[PEG]],Table1016[#All],3,FALSE)</f>
        <v>#N/A</v>
      </c>
    </row>
    <row r="19" spans="1:5" x14ac:dyDescent="0.35">
      <c r="A19" s="118">
        <v>12</v>
      </c>
      <c r="B19" s="114" t="s">
        <v>115</v>
      </c>
      <c r="C19" s="109" t="e">
        <f>VLOOKUP(Table257519913140106110147[[#This Row],[PEG]],Table1016[#All],2,FALSE)</f>
        <v>#N/A</v>
      </c>
      <c r="D19" s="117"/>
      <c r="E19" s="125" t="e">
        <f>VLOOKUP(Table257519913140106110147[[#This Row],[PEG]],Table1016[#All],3,FALSE)</f>
        <v>#N/A</v>
      </c>
    </row>
    <row r="20" spans="1:5" x14ac:dyDescent="0.35">
      <c r="A20" s="118">
        <v>13</v>
      </c>
      <c r="B20" s="114" t="s">
        <v>114</v>
      </c>
      <c r="C20" s="109" t="e">
        <f>VLOOKUP(Table257519913140106110147[[#This Row],[PEG]],Table1016[#All],2,FALSE)</f>
        <v>#N/A</v>
      </c>
      <c r="D20" s="117"/>
      <c r="E20" s="125" t="e">
        <f>VLOOKUP(Table257519913140106110147[[#This Row],[PEG]],Table1016[#All],3,FALSE)</f>
        <v>#N/A</v>
      </c>
    </row>
    <row r="21" spans="1:5" x14ac:dyDescent="0.35">
      <c r="A21" s="118">
        <v>14</v>
      </c>
      <c r="B21" s="114" t="s">
        <v>12</v>
      </c>
      <c r="C21" s="109" t="e">
        <f>VLOOKUP(Table257519913140106110147[[#This Row],[PEG]],Table1016[#All],2,FALSE)</f>
        <v>#N/A</v>
      </c>
      <c r="D21" s="117"/>
      <c r="E21" s="125" t="e">
        <f>VLOOKUP(Table257519913140106110147[[#This Row],[PEG]],Table1016[#All],3,FALSE)</f>
        <v>#N/A</v>
      </c>
    </row>
    <row r="22" spans="1:5" x14ac:dyDescent="0.35">
      <c r="A22" s="118">
        <v>15</v>
      </c>
      <c r="B22" s="114" t="s">
        <v>12</v>
      </c>
      <c r="C22" s="109" t="e">
        <f>VLOOKUP(Table257519913140106110147[[#This Row],[PEG]],Table1016[#All],2,FALSE)</f>
        <v>#N/A</v>
      </c>
      <c r="D22" s="117"/>
      <c r="E22" s="125" t="e">
        <f>VLOOKUP(Table257519913140106110147[[#This Row],[PEG]],Table1016[#All],3,FALSE)</f>
        <v>#N/A</v>
      </c>
    </row>
    <row r="23" spans="1:5" x14ac:dyDescent="0.35">
      <c r="A23" s="118">
        <v>16</v>
      </c>
      <c r="B23" s="114" t="s">
        <v>115</v>
      </c>
      <c r="C23" s="109" t="e">
        <f>VLOOKUP(Table257519913140106110147[[#This Row],[PEG]],Table1016[#All],2,FALSE)</f>
        <v>#N/A</v>
      </c>
      <c r="D23" s="117"/>
      <c r="E23" s="125" t="e">
        <f>VLOOKUP(Table257519913140106110147[[#This Row],[PEG]],Table1016[#All],3,FALSE)</f>
        <v>#N/A</v>
      </c>
    </row>
    <row r="24" spans="1:5" x14ac:dyDescent="0.35">
      <c r="A24" s="118">
        <v>17</v>
      </c>
      <c r="B24" s="114" t="s">
        <v>114</v>
      </c>
      <c r="C24" s="109" t="e">
        <f>VLOOKUP(Table257519913140106110147[[#This Row],[PEG]],Table1016[#All],2,FALSE)</f>
        <v>#N/A</v>
      </c>
      <c r="D24" s="117"/>
      <c r="E24" s="125" t="e">
        <f>VLOOKUP(Table257519913140106110147[[#This Row],[PEG]],Table1016[#All],3,FALSE)</f>
        <v>#N/A</v>
      </c>
    </row>
    <row r="25" spans="1:5" x14ac:dyDescent="0.35">
      <c r="A25" s="118">
        <v>18</v>
      </c>
      <c r="B25" s="114" t="s">
        <v>12</v>
      </c>
      <c r="C25" s="109" t="e">
        <f>VLOOKUP(Table257519913140106110147[[#This Row],[PEG]],Table1016[#All],2,FALSE)</f>
        <v>#N/A</v>
      </c>
      <c r="D25" s="117"/>
      <c r="E25" s="125" t="e">
        <f>VLOOKUP(Table257519913140106110147[[#This Row],[PEG]],Table1016[#All],3,FALSE)</f>
        <v>#N/A</v>
      </c>
    </row>
    <row r="26" spans="1:5" x14ac:dyDescent="0.35">
      <c r="A26" s="118">
        <v>19</v>
      </c>
      <c r="B26" s="114" t="s">
        <v>12</v>
      </c>
      <c r="C26" s="109" t="e">
        <f>VLOOKUP(Table257519913140106110147[[#This Row],[PEG]],Table1016[#All],2,FALSE)</f>
        <v>#N/A</v>
      </c>
      <c r="D26" s="117"/>
      <c r="E26" s="125" t="e">
        <f>VLOOKUP(Table257519913140106110147[[#This Row],[PEG]],Table1016[#All],3,FALSE)</f>
        <v>#N/A</v>
      </c>
    </row>
    <row r="27" spans="1:5" x14ac:dyDescent="0.35">
      <c r="A27" s="118">
        <v>20</v>
      </c>
      <c r="B27" s="114" t="s">
        <v>115</v>
      </c>
      <c r="C27" s="109" t="e">
        <f>VLOOKUP(Table257519913140106110147[[#This Row],[PEG]],Table1016[#All],2,FALSE)</f>
        <v>#N/A</v>
      </c>
      <c r="D27" s="117"/>
      <c r="E27" s="125" t="e">
        <f>VLOOKUP(Table257519913140106110147[[#This Row],[PEG]],Table1016[#All],3,FALSE)</f>
        <v>#N/A</v>
      </c>
    </row>
    <row r="28" spans="1:5" x14ac:dyDescent="0.35">
      <c r="A28" s="118">
        <v>21</v>
      </c>
      <c r="B28" s="114" t="s">
        <v>114</v>
      </c>
      <c r="C28" s="109" t="e">
        <f>VLOOKUP(Table257519913140106110147[[#This Row],[PEG]],Table1016[#All],2,FALSE)</f>
        <v>#N/A</v>
      </c>
      <c r="D28" s="117"/>
      <c r="E28" s="125" t="e">
        <f>VLOOKUP(Table257519913140106110147[[#This Row],[PEG]],Table1016[#All],3,FALSE)</f>
        <v>#N/A</v>
      </c>
    </row>
    <row r="29" spans="1:5" x14ac:dyDescent="0.35">
      <c r="A29" s="118">
        <v>22</v>
      </c>
      <c r="B29" s="114" t="s">
        <v>12</v>
      </c>
      <c r="C29" s="109" t="e">
        <f>VLOOKUP(Table257519913140106110147[[#This Row],[PEG]],Table1016[#All],2,FALSE)</f>
        <v>#N/A</v>
      </c>
      <c r="D29" s="117"/>
      <c r="E29" s="125" t="e">
        <f>VLOOKUP(Table257519913140106110147[[#This Row],[PEG]],Table1016[#All],3,FALSE)</f>
        <v>#N/A</v>
      </c>
    </row>
    <row r="30" spans="1:5" x14ac:dyDescent="0.35">
      <c r="A30" s="118">
        <v>23</v>
      </c>
      <c r="B30" s="114" t="s">
        <v>12</v>
      </c>
      <c r="C30" s="109" t="e">
        <f>VLOOKUP(Table257519913140106110147[[#This Row],[PEG]],Table1016[#All],2,FALSE)</f>
        <v>#N/A</v>
      </c>
      <c r="D30" s="117"/>
      <c r="E30" s="125" t="e">
        <f>VLOOKUP(Table257519913140106110147[[#This Row],[PEG]],Table1016[#All],3,FALSE)</f>
        <v>#N/A</v>
      </c>
    </row>
    <row r="31" spans="1:5" x14ac:dyDescent="0.35">
      <c r="A31" s="118">
        <v>24</v>
      </c>
      <c r="B31" s="114" t="s">
        <v>115</v>
      </c>
      <c r="C31" s="109" t="e">
        <f>VLOOKUP(Table257519913140106110147[[#This Row],[PEG]],Table1016[#All],2,FALSE)</f>
        <v>#N/A</v>
      </c>
      <c r="D31" s="117"/>
      <c r="E31" s="125" t="e">
        <f>VLOOKUP(Table257519913140106110147[[#This Row],[PEG]],Table1016[#All],3,FALSE)</f>
        <v>#N/A</v>
      </c>
    </row>
    <row r="32" spans="1:5" x14ac:dyDescent="0.35">
      <c r="A32" s="118">
        <v>25</v>
      </c>
      <c r="B32" s="114" t="s">
        <v>115</v>
      </c>
      <c r="C32" s="109" t="e">
        <f>VLOOKUP(Table257519913140106110147[[#This Row],[PEG]],Table1016[#All],2,FALSE)</f>
        <v>#N/A</v>
      </c>
      <c r="D32" s="117"/>
      <c r="E32" s="125" t="e">
        <f>VLOOKUP(Table257519913140106110147[[#This Row],[PEG]],Table1016[#All],3,FALSE)</f>
        <v>#N/A</v>
      </c>
    </row>
    <row r="33" spans="1:5" x14ac:dyDescent="0.35">
      <c r="A33" s="118">
        <v>26</v>
      </c>
      <c r="B33" s="114" t="s">
        <v>124</v>
      </c>
      <c r="C33" s="109" t="e">
        <f>VLOOKUP(Table257519913140106110147[[#This Row],[PEG]],Table1016[#All],2,FALSE)</f>
        <v>#N/A</v>
      </c>
      <c r="D33" s="117"/>
      <c r="E33" s="125" t="e">
        <f>VLOOKUP(Table257519913140106110147[[#This Row],[PEG]],Table1016[#All],3,FALSE)</f>
        <v>#N/A</v>
      </c>
    </row>
    <row r="34" spans="1:5" x14ac:dyDescent="0.35">
      <c r="A34" s="118">
        <v>27</v>
      </c>
      <c r="B34" s="114" t="s">
        <v>115</v>
      </c>
      <c r="C34" s="109" t="e">
        <f>VLOOKUP(Table257519913140106110147[[#This Row],[PEG]],Table1016[#All],2,FALSE)</f>
        <v>#N/A</v>
      </c>
      <c r="D34" s="117"/>
      <c r="E34" s="125" t="e">
        <f>VLOOKUP(Table257519913140106110147[[#This Row],[PEG]],Table1016[#All],3,FALSE)</f>
        <v>#N/A</v>
      </c>
    </row>
    <row r="35" spans="1:5" x14ac:dyDescent="0.35">
      <c r="A35" s="118">
        <v>28</v>
      </c>
      <c r="B35" s="114" t="s">
        <v>124</v>
      </c>
      <c r="C35" s="109" t="e">
        <f>VLOOKUP(Table257519913140106110147[[#This Row],[PEG]],Table1016[#All],2,FALSE)</f>
        <v>#N/A</v>
      </c>
      <c r="D35" s="117"/>
      <c r="E35" s="125" t="e">
        <f>VLOOKUP(Table257519913140106110147[[#This Row],[PEG]],Table1016[#All],3,FALSE)</f>
        <v>#N/A</v>
      </c>
    </row>
    <row r="36" spans="1:5" x14ac:dyDescent="0.35">
      <c r="A36" s="118">
        <v>29</v>
      </c>
      <c r="B36" s="114" t="s">
        <v>115</v>
      </c>
      <c r="C36" s="109" t="e">
        <f>VLOOKUP(Table257519913140106110147[[#This Row],[PEG]],Table1016[#All],2,FALSE)</f>
        <v>#N/A</v>
      </c>
      <c r="D36" s="117"/>
      <c r="E36" s="125" t="e">
        <f>VLOOKUP(Table257519913140106110147[[#This Row],[PEG]],Table1016[#All],3,FALSE)</f>
        <v>#N/A</v>
      </c>
    </row>
    <row r="37" spans="1:5" x14ac:dyDescent="0.35">
      <c r="A37" s="118">
        <v>30</v>
      </c>
      <c r="B37" s="114" t="s">
        <v>12</v>
      </c>
      <c r="C37" s="109" t="e">
        <f>VLOOKUP(Table257519913140106110147[[#This Row],[PEG]],Table1016[#All],2,FALSE)</f>
        <v>#N/A</v>
      </c>
      <c r="D37" s="117"/>
      <c r="E37" s="125" t="e">
        <f>VLOOKUP(Table257519913140106110147[[#This Row],[PEG]],Table1016[#All],3,FALSE)</f>
        <v>#N/A</v>
      </c>
    </row>
    <row r="38" spans="1:5" x14ac:dyDescent="0.35">
      <c r="A38" s="118">
        <v>31</v>
      </c>
      <c r="B38" s="114" t="s">
        <v>12</v>
      </c>
      <c r="C38" s="109" t="e">
        <f>VLOOKUP(Table257519913140106110147[[#This Row],[PEG]],Table1016[#All],2,FALSE)</f>
        <v>#N/A</v>
      </c>
      <c r="D38" s="117"/>
      <c r="E38" s="125" t="e">
        <f>VLOOKUP(Table257519913140106110147[[#This Row],[PEG]],Table1016[#All],3,FALSE)</f>
        <v>#N/A</v>
      </c>
    </row>
    <row r="39" spans="1:5" x14ac:dyDescent="0.35">
      <c r="A39" s="118">
        <v>32</v>
      </c>
      <c r="B39" s="114" t="s">
        <v>12</v>
      </c>
      <c r="C39" s="109" t="e">
        <f>VLOOKUP(Table257519913140106110147[[#This Row],[PEG]],Table1016[#All],2,FALSE)</f>
        <v>#N/A</v>
      </c>
      <c r="D39" s="117"/>
      <c r="E39" s="125" t="e">
        <f>VLOOKUP(Table257519913140106110147[[#This Row],[PEG]],Table1016[#All],3,FALSE)</f>
        <v>#N/A</v>
      </c>
    </row>
    <row r="40" spans="1:5" x14ac:dyDescent="0.35">
      <c r="A40" s="118">
        <v>33</v>
      </c>
      <c r="B40" s="114" t="s">
        <v>12</v>
      </c>
      <c r="C40" s="109" t="e">
        <f>VLOOKUP(Table257519913140106110147[[#This Row],[PEG]],Table1016[#All],2,FALSE)</f>
        <v>#N/A</v>
      </c>
      <c r="D40" s="117"/>
      <c r="E40" s="125" t="e">
        <f>VLOOKUP(Table257519913140106110147[[#This Row],[PEG]],Table1016[#All],3,FALSE)</f>
        <v>#N/A</v>
      </c>
    </row>
    <row r="41" spans="1:5" x14ac:dyDescent="0.35">
      <c r="A41" s="118">
        <v>34</v>
      </c>
      <c r="B41" s="114" t="s">
        <v>115</v>
      </c>
      <c r="C41" s="109" t="e">
        <f>VLOOKUP(Table257519913140106110147[[#This Row],[PEG]],Table1016[#All],2,FALSE)</f>
        <v>#N/A</v>
      </c>
      <c r="D41" s="117"/>
      <c r="E41" s="125" t="e">
        <f>VLOOKUP(Table257519913140106110147[[#This Row],[PEG]],Table1016[#All],3,FALSE)</f>
        <v>#N/A</v>
      </c>
    </row>
    <row r="42" spans="1:5" x14ac:dyDescent="0.35">
      <c r="A42" s="118">
        <v>35</v>
      </c>
      <c r="B42" s="114" t="s">
        <v>12</v>
      </c>
      <c r="C42" s="109" t="e">
        <f>VLOOKUP(Table257519913140106110147[[#This Row],[PEG]],Table1016[#All],2,FALSE)</f>
        <v>#N/A</v>
      </c>
      <c r="D42" s="115"/>
      <c r="E42" s="125" t="e">
        <f>VLOOKUP(Table257519913140106110147[[#This Row],[PEG]],Table1016[#All],3,FALSE)</f>
        <v>#N/A</v>
      </c>
    </row>
    <row r="43" spans="1:5" x14ac:dyDescent="0.35">
      <c r="A43" s="118">
        <v>36</v>
      </c>
      <c r="B43" s="114" t="s">
        <v>115</v>
      </c>
      <c r="C43" s="109" t="e">
        <f>VLOOKUP(Table257519913140106110147[[#This Row],[PEG]],Table1016[#All],2,FALSE)</f>
        <v>#N/A</v>
      </c>
      <c r="D43" s="115"/>
      <c r="E43" s="125" t="e">
        <f>VLOOKUP(Table257519913140106110147[[#This Row],[PEG]],Table1016[#All],3,FALSE)</f>
        <v>#N/A</v>
      </c>
    </row>
    <row r="44" spans="1:5" x14ac:dyDescent="0.35">
      <c r="A44" s="118">
        <v>37</v>
      </c>
      <c r="B44" s="114" t="s">
        <v>13</v>
      </c>
      <c r="C44" s="18" t="s">
        <v>13</v>
      </c>
      <c r="D44" s="115"/>
      <c r="E44" s="32"/>
    </row>
  </sheetData>
  <mergeCells count="1">
    <mergeCell ref="A1:B1"/>
  </mergeCells>
  <conditionalFormatting sqref="B8:B18">
    <cfRule type="containsText" dxfId="1993" priority="1" operator="containsText" text="Hear">
      <formula>NOT(ISERROR(SEARCH("Hear",B8)))</formula>
    </cfRule>
  </conditionalFormatting>
  <conditionalFormatting sqref="B30">
    <cfRule type="containsText" dxfId="1992" priority="4" operator="containsText" text="Hear">
      <formula>NOT(ISERROR(SEARCH("Hear",B30)))</formula>
    </cfRule>
  </conditionalFormatting>
  <conditionalFormatting sqref="B43:B44">
    <cfRule type="containsText" dxfId="1991" priority="8" operator="containsText" text="Hear">
      <formula>NOT(ISERROR(SEARCH("Hear",B43)))</formula>
    </cfRule>
  </conditionalFormatting>
  <conditionalFormatting sqref="E44">
    <cfRule type="containsText" dxfId="1990" priority="6" operator="containsText" text="WEB SERVICE">
      <formula>NOT(ISERROR(SEARCH("WEB SERVICE",E44)))</formula>
    </cfRule>
    <cfRule type="containsText" dxfId="1989" priority="7" operator="containsText" text="DB">
      <formula>NOT(ISERROR(SEARCH("DB",E44)))</formula>
    </cfRule>
  </conditionalFormatting>
  <conditionalFormatting sqref="C44">
    <cfRule type="expression" dxfId="1988" priority="9">
      <formula>$B44="Dial"</formula>
    </cfRule>
    <cfRule type="expression" dxfId="1987" priority="11">
      <formula>$B44="HANGUP"</formula>
    </cfRule>
  </conditionalFormatting>
  <conditionalFormatting sqref="C44">
    <cfRule type="expression" dxfId="1986" priority="10">
      <formula>$B44="Speak"</formula>
    </cfRule>
  </conditionalFormatting>
  <conditionalFormatting sqref="B36:B38 B40:B41">
    <cfRule type="containsText" dxfId="1985" priority="3" operator="containsText" text="Hear">
      <formula>NOT(ISERROR(SEARCH("Hear",B36)))</formula>
    </cfRule>
  </conditionalFormatting>
  <conditionalFormatting sqref="B19:B29 B31:B35 B42">
    <cfRule type="containsText" dxfId="1984" priority="5" operator="containsText" text="Hear">
      <formula>NOT(ISERROR(SEARCH("Hear",B19)))</formula>
    </cfRule>
  </conditionalFormatting>
  <hyperlinks>
    <hyperlink ref="A1" location="'Test Case Overview'!A1" display="Return to Test Case Overview" xr:uid="{AAAA3A1E-74F9-4B0F-97F6-92C119084CC3}"/>
  </hyperlinks>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expression" priority="12" id="{3A4B417D-A386-4979-82CB-8F1EF167DC31}">
            <xm:f>'TC1'!$B8="Speak"</xm:f>
            <x14:dxf>
              <font>
                <b/>
                <i val="0"/>
                <color rgb="FFFF0000"/>
              </font>
            </x14:dxf>
          </x14:cfRule>
          <xm:sqref>C8</xm:sqref>
        </x14:conditionalFormatting>
        <x14:conditionalFormatting xmlns:xm="http://schemas.microsoft.com/office/excel/2006/main">
          <x14:cfRule type="containsText" priority="15" operator="containsText" text="Hear" id="{272CE425-0687-488C-9DDE-B03275BDF301}">
            <xm:f>NOT(ISERROR(SEARCH("Hear",'TC3'!B34)))</xm:f>
            <x14:dxf>
              <font>
                <color theme="9" tint="-0.24994659260841701"/>
              </font>
              <fill>
                <patternFill>
                  <bgColor theme="9" tint="0.59996337778862885"/>
                </patternFill>
              </fill>
            </x14:dxf>
          </x14:cfRule>
          <xm:sqref>B41</xm:sqref>
        </x14:conditionalFormatting>
        <x14:conditionalFormatting xmlns:xm="http://schemas.microsoft.com/office/excel/2006/main">
          <x14:cfRule type="expression" priority="16" id="{7C7E7B0D-A7AA-4B31-834E-FB1BCE7BD42C}">
            <xm:f>'TC1'!$B8="Dial"</xm:f>
            <x14:dxf>
              <font>
                <b/>
                <i val="0"/>
                <color rgb="FFFF0000"/>
              </font>
            </x14:dxf>
          </x14:cfRule>
          <x14:cfRule type="expression" priority="16" id="{7EC5793B-755E-43F3-B12A-82D726BC3C02}">
            <xm:f>'TC1'!$B8="HANGUP"</xm:f>
            <x14:dxf>
              <font>
                <b/>
                <i val="0"/>
              </font>
            </x14:dxf>
          </x14:cfRule>
          <xm:sqref>C8</xm:sqref>
        </x14:conditionalFormatting>
        <x14:conditionalFormatting xmlns:xm="http://schemas.microsoft.com/office/excel/2006/main">
          <x14:cfRule type="expression" priority="2662" id="{3A4B417D-A386-4979-82CB-8F1EF167DC31}">
            <xm:f>'TC1'!$B16="Speak"</xm:f>
            <x14:dxf>
              <font>
                <b/>
                <i val="0"/>
                <color rgb="FFFF0000"/>
              </font>
            </x14:dxf>
          </x14:cfRule>
          <xm:sqref>C34:C43</xm:sqref>
        </x14:conditionalFormatting>
        <x14:conditionalFormatting xmlns:xm="http://schemas.microsoft.com/office/excel/2006/main">
          <x14:cfRule type="expression" priority="2663" id="{3A4B417D-A386-4979-82CB-8F1EF167DC31}">
            <xm:f>'TC1'!#REF!="Speak"</xm:f>
            <x14:dxf>
              <font>
                <b/>
                <i val="0"/>
                <color rgb="FFFF0000"/>
              </font>
            </x14:dxf>
          </x14:cfRule>
          <xm:sqref>C17:C33</xm:sqref>
        </x14:conditionalFormatting>
        <x14:conditionalFormatting xmlns:xm="http://schemas.microsoft.com/office/excel/2006/main">
          <x14:cfRule type="containsText" priority="2667" operator="containsText" text="WEB SERVICE" id="{A79A8B2E-3CCE-4B42-BFE8-DCEDAD9052CA}">
            <xm:f>NOT(ISERROR(SEARCH("WEB SERVICE",'TC1'!E16)))</xm:f>
            <x14:dxf>
              <font>
                <color rgb="FF9C0006"/>
              </font>
              <fill>
                <patternFill>
                  <bgColor rgb="FFFFC7CE"/>
                </patternFill>
              </fill>
            </x14:dxf>
          </x14:cfRule>
          <x14:cfRule type="containsText" priority="2668" operator="containsText" text="DB" id="{C7AFCDB3-D14A-48DE-A9EC-A8421F34FFEB}">
            <xm:f>NOT(ISERROR(SEARCH("DB",'TC1'!E16)))</xm:f>
            <x14:dxf>
              <font>
                <color rgb="FF006100"/>
              </font>
              <fill>
                <patternFill>
                  <bgColor rgb="FFC6EFCE"/>
                </patternFill>
              </fill>
            </x14:dxf>
          </x14:cfRule>
          <xm:sqref>E34:E43</xm:sqref>
        </x14:conditionalFormatting>
        <x14:conditionalFormatting xmlns:xm="http://schemas.microsoft.com/office/excel/2006/main">
          <x14:cfRule type="containsText" priority="2669" operator="containsText" text="WEB SERVICE" id="{A79A8B2E-3CCE-4B42-BFE8-DCEDAD9052CA}">
            <xm:f>NOT(ISERROR(SEARCH("WEB SERVICE",'TC1'!#REF!)))</xm:f>
            <x14:dxf>
              <font>
                <color rgb="FF9C0006"/>
              </font>
              <fill>
                <patternFill>
                  <bgColor rgb="FFFFC7CE"/>
                </patternFill>
              </fill>
            </x14:dxf>
          </x14:cfRule>
          <x14:cfRule type="containsText" priority="2670" operator="containsText" text="DB" id="{C7AFCDB3-D14A-48DE-A9EC-A8421F34FFEB}">
            <xm:f>NOT(ISERROR(SEARCH("DB",'TC1'!#REF!)))</xm:f>
            <x14:dxf>
              <font>
                <color rgb="FF006100"/>
              </font>
              <fill>
                <patternFill>
                  <bgColor rgb="FFC6EFCE"/>
                </patternFill>
              </fill>
            </x14:dxf>
          </x14:cfRule>
          <xm:sqref>E17:E33</xm:sqref>
        </x14:conditionalFormatting>
        <x14:conditionalFormatting xmlns:xm="http://schemas.microsoft.com/office/excel/2006/main">
          <x14:cfRule type="expression" priority="2675" id="{7C7E7B0D-A7AA-4B31-834E-FB1BCE7BD42C}">
            <xm:f>'TC1'!$B16="Dial"</xm:f>
            <x14:dxf>
              <font>
                <b/>
                <i val="0"/>
                <color rgb="FFFF0000"/>
              </font>
            </x14:dxf>
          </x14:cfRule>
          <x14:cfRule type="expression" priority="2676" id="{7EC5793B-755E-43F3-B12A-82D726BC3C02}">
            <xm:f>'TC1'!$B16="HANGUP"</xm:f>
            <x14:dxf>
              <font>
                <b/>
                <i val="0"/>
              </font>
            </x14:dxf>
          </x14:cfRule>
          <xm:sqref>C34:C43</xm:sqref>
        </x14:conditionalFormatting>
        <x14:conditionalFormatting xmlns:xm="http://schemas.microsoft.com/office/excel/2006/main">
          <x14:cfRule type="expression" priority="2677" id="{7C7E7B0D-A7AA-4B31-834E-FB1BCE7BD42C}">
            <xm:f>'TC1'!#REF!="Dial"</xm:f>
            <x14:dxf>
              <font>
                <b/>
                <i val="0"/>
                <color rgb="FFFF0000"/>
              </font>
            </x14:dxf>
          </x14:cfRule>
          <x14:cfRule type="expression" priority="2678" id="{7EC5793B-755E-43F3-B12A-82D726BC3C02}">
            <xm:f>'TC1'!#REF!="HANGUP"</xm:f>
            <x14:dxf>
              <font>
                <b/>
                <i val="0"/>
              </font>
            </x14:dxf>
          </x14:cfRule>
          <xm:sqref>C17:C33</xm:sqref>
        </x14:conditionalFormatting>
        <x14:conditionalFormatting xmlns:xm="http://schemas.microsoft.com/office/excel/2006/main">
          <x14:cfRule type="expression" priority="5334" id="{3A4B417D-A386-4979-82CB-8F1EF167DC31}">
            <xm:f>'TC1'!$B9="Speak"</xm:f>
            <x14:dxf>
              <font>
                <b/>
                <i val="0"/>
                <color rgb="FFFF0000"/>
              </font>
            </x14:dxf>
          </x14:cfRule>
          <xm:sqref>C12:C15</xm:sqref>
        </x14:conditionalFormatting>
        <x14:conditionalFormatting xmlns:xm="http://schemas.microsoft.com/office/excel/2006/main">
          <x14:cfRule type="expression" priority="5335" id="{3A4B417D-A386-4979-82CB-8F1EF167DC31}">
            <xm:f>'TC1'!#REF!="Speak"</xm:f>
            <x14:dxf>
              <font>
                <b/>
                <i val="0"/>
                <color rgb="FFFF0000"/>
              </font>
            </x14:dxf>
          </x14:cfRule>
          <xm:sqref>C9:C11</xm:sqref>
        </x14:conditionalFormatting>
        <x14:conditionalFormatting xmlns:xm="http://schemas.microsoft.com/office/excel/2006/main">
          <x14:cfRule type="containsText" priority="5337" operator="containsText" text="WEB SERVICE" id="{A79A8B2E-3CCE-4B42-BFE8-DCEDAD9052CA}">
            <xm:f>NOT(ISERROR(SEARCH("WEB SERVICE",'TC1'!#REF!)))</xm:f>
            <x14:dxf>
              <font>
                <color rgb="FF9C0006"/>
              </font>
              <fill>
                <patternFill>
                  <bgColor rgb="FFFFC7CE"/>
                </patternFill>
              </fill>
            </x14:dxf>
          </x14:cfRule>
          <x14:cfRule type="containsText" priority="5338" operator="containsText" text="DB" id="{C7AFCDB3-D14A-48DE-A9EC-A8421F34FFEB}">
            <xm:f>NOT(ISERROR(SEARCH("DB",'TC1'!#REF!)))</xm:f>
            <x14:dxf>
              <font>
                <color rgb="FF006100"/>
              </font>
              <fill>
                <patternFill>
                  <bgColor rgb="FFC6EFCE"/>
                </patternFill>
              </fill>
            </x14:dxf>
          </x14:cfRule>
          <xm:sqref>E9:E11</xm:sqref>
        </x14:conditionalFormatting>
        <x14:conditionalFormatting xmlns:xm="http://schemas.microsoft.com/office/excel/2006/main">
          <x14:cfRule type="containsText" priority="5339" operator="containsText" text="WEB SERVICE" id="{A79A8B2E-3CCE-4B42-BFE8-DCEDAD9052CA}">
            <xm:f>NOT(ISERROR(SEARCH("WEB SERVICE",'TC1'!E9)))</xm:f>
            <x14:dxf>
              <font>
                <color rgb="FF9C0006"/>
              </font>
              <fill>
                <patternFill>
                  <bgColor rgb="FFFFC7CE"/>
                </patternFill>
              </fill>
            </x14:dxf>
          </x14:cfRule>
          <x14:cfRule type="containsText" priority="5340" operator="containsText" text="DB" id="{C7AFCDB3-D14A-48DE-A9EC-A8421F34FFEB}">
            <xm:f>NOT(ISERROR(SEARCH("DB",'TC1'!E9)))</xm:f>
            <x14:dxf>
              <font>
                <color rgb="FF006100"/>
              </font>
              <fill>
                <patternFill>
                  <bgColor rgb="FFC6EFCE"/>
                </patternFill>
              </fill>
            </x14:dxf>
          </x14:cfRule>
          <xm:sqref>E12:E15</xm:sqref>
        </x14:conditionalFormatting>
        <x14:conditionalFormatting xmlns:xm="http://schemas.microsoft.com/office/excel/2006/main">
          <x14:cfRule type="expression" priority="5345" id="{7C7E7B0D-A7AA-4B31-834E-FB1BCE7BD42C}">
            <xm:f>'TC1'!$B9="Dial"</xm:f>
            <x14:dxf>
              <font>
                <b/>
                <i val="0"/>
                <color rgb="FFFF0000"/>
              </font>
            </x14:dxf>
          </x14:cfRule>
          <x14:cfRule type="expression" priority="5346" id="{7EC5793B-755E-43F3-B12A-82D726BC3C02}">
            <xm:f>'TC1'!$B9="HANGUP"</xm:f>
            <x14:dxf>
              <font>
                <b/>
                <i val="0"/>
              </font>
            </x14:dxf>
          </x14:cfRule>
          <xm:sqref>C12:C15</xm:sqref>
        </x14:conditionalFormatting>
        <x14:conditionalFormatting xmlns:xm="http://schemas.microsoft.com/office/excel/2006/main">
          <x14:cfRule type="expression" priority="5347" id="{7C7E7B0D-A7AA-4B31-834E-FB1BCE7BD42C}">
            <xm:f>'TC1'!#REF!="Dial"</xm:f>
            <x14:dxf>
              <font>
                <b/>
                <i val="0"/>
                <color rgb="FFFF0000"/>
              </font>
            </x14:dxf>
          </x14:cfRule>
          <x14:cfRule type="expression" priority="5348" id="{7EC5793B-755E-43F3-B12A-82D726BC3C02}">
            <xm:f>'TC1'!#REF!="HANGUP"</xm:f>
            <x14:dxf>
              <font>
                <b/>
                <i val="0"/>
              </font>
            </x14:dxf>
          </x14:cfRule>
          <xm:sqref>C9:C11</xm:sqref>
        </x14:conditionalFormatting>
        <x14:conditionalFormatting xmlns:xm="http://schemas.microsoft.com/office/excel/2006/main">
          <x14:cfRule type="expression" priority="7624" id="{3A4B417D-A386-4979-82CB-8F1EF167DC31}">
            <xm:f>'TC1'!$B15="Speak"</xm:f>
            <x14:dxf>
              <font>
                <b/>
                <i val="0"/>
                <color rgb="FFFF0000"/>
              </font>
            </x14:dxf>
          </x14:cfRule>
          <xm:sqref>C16</xm:sqref>
        </x14:conditionalFormatting>
        <x14:conditionalFormatting xmlns:xm="http://schemas.microsoft.com/office/excel/2006/main">
          <x14:cfRule type="containsText" priority="7627" operator="containsText" text="WEB SERVICE" id="{A79A8B2E-3CCE-4B42-BFE8-DCEDAD9052CA}">
            <xm:f>NOT(ISERROR(SEARCH("WEB SERVICE",'TC1'!E15)))</xm:f>
            <x14:dxf>
              <font>
                <color rgb="FF9C0006"/>
              </font>
              <fill>
                <patternFill>
                  <bgColor rgb="FFFFC7CE"/>
                </patternFill>
              </fill>
            </x14:dxf>
          </x14:cfRule>
          <x14:cfRule type="containsText" priority="7628" operator="containsText" text="DB" id="{C7AFCDB3-D14A-48DE-A9EC-A8421F34FFEB}">
            <xm:f>NOT(ISERROR(SEARCH("DB",'TC1'!E15)))</xm:f>
            <x14:dxf>
              <font>
                <color rgb="FF006100"/>
              </font>
              <fill>
                <patternFill>
                  <bgColor rgb="FFC6EFCE"/>
                </patternFill>
              </fill>
            </x14:dxf>
          </x14:cfRule>
          <xm:sqref>E16</xm:sqref>
        </x14:conditionalFormatting>
        <x14:conditionalFormatting xmlns:xm="http://schemas.microsoft.com/office/excel/2006/main">
          <x14:cfRule type="expression" priority="7631" id="{7C7E7B0D-A7AA-4B31-834E-FB1BCE7BD42C}">
            <xm:f>'TC1'!$B15="Dial"</xm:f>
            <x14:dxf>
              <font>
                <b/>
                <i val="0"/>
                <color rgb="FFFF0000"/>
              </font>
            </x14:dxf>
          </x14:cfRule>
          <x14:cfRule type="expression" priority="7632" id="{7EC5793B-755E-43F3-B12A-82D726BC3C02}">
            <xm:f>'TC1'!$B15="HANGUP"</xm:f>
            <x14:dxf>
              <font>
                <b/>
                <i val="0"/>
              </font>
            </x14:dxf>
          </x14:cfRule>
          <xm:sqref>C16</xm:sqref>
        </x14:conditionalFormatting>
        <x14:conditionalFormatting xmlns:xm="http://schemas.microsoft.com/office/excel/2006/main">
          <x14:cfRule type="containsText" priority="10232" operator="containsText" text="Hear" id="{01359013-F36B-4ABE-AD5A-08EF6F761740}">
            <xm:f>NOT(ISERROR(SEARCH("Hear",'TC26'!#REF!)))</xm:f>
            <x14:dxf>
              <font>
                <color theme="9" tint="-0.24994659260841701"/>
              </font>
              <fill>
                <patternFill>
                  <bgColor theme="9" tint="0.59996337778862885"/>
                </patternFill>
              </fill>
            </x14:dxf>
          </x14:cfRule>
          <xm:sqref>B39</xm:sqref>
        </x14:conditionalFormatting>
      </x14:conditionalFormattings>
    </ext>
  </extLst>
</worksheet>
</file>

<file path=xl/worksheets/sheet1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900-000000000000}">
  <sheetPr codeName="Sheet123"/>
  <dimension ref="A1:E44"/>
  <sheetViews>
    <sheetView zoomScaleNormal="100" workbookViewId="0">
      <selection sqref="A1:E44"/>
    </sheetView>
  </sheetViews>
  <sheetFormatPr defaultRowHeight="14.5" x14ac:dyDescent="0.35"/>
  <cols>
    <col min="1" max="1" width="14.453125" bestFit="1" customWidth="1"/>
    <col min="2" max="2" width="42.6328125" customWidth="1"/>
    <col min="3" max="3" width="106.1796875" customWidth="1"/>
    <col min="4" max="4" width="21.81640625" bestFit="1" customWidth="1"/>
    <col min="5" max="5" width="20.6328125" customWidth="1"/>
  </cols>
  <sheetData>
    <row r="1" spans="1:5" ht="18.5" x14ac:dyDescent="0.35">
      <c r="A1" s="192" t="s">
        <v>4</v>
      </c>
      <c r="B1" s="192"/>
      <c r="C1" s="105"/>
      <c r="D1" s="111"/>
      <c r="E1" s="97"/>
    </row>
    <row r="2" spans="1:5" x14ac:dyDescent="0.35">
      <c r="A2" s="106" t="s">
        <v>5</v>
      </c>
      <c r="B2" s="107" t="str">
        <f ca="1">MID(CELL("filename",A1),FIND("]",CELL("filename",A1))+1,LEN(CELL("filename",A1))-FIND("]",CELL("filename",A1)))</f>
        <v>TC121</v>
      </c>
      <c r="C2" s="98"/>
      <c r="D2" s="111"/>
      <c r="E2" s="97"/>
    </row>
    <row r="3" spans="1:5" x14ac:dyDescent="0.35">
      <c r="A3" s="104" t="s">
        <v>19</v>
      </c>
      <c r="B3" s="112">
        <f ca="1">VLOOKUP(B2,Table53[#All],2,FALSE)</f>
        <v>0</v>
      </c>
      <c r="C3" s="98"/>
      <c r="D3" s="111"/>
      <c r="E3" s="97"/>
    </row>
    <row r="4" spans="1:5" ht="29" x14ac:dyDescent="0.35">
      <c r="A4" s="113" t="s">
        <v>20</v>
      </c>
      <c r="B4" s="99">
        <f ca="1">VLOOKUP(B2,Table53[#All],4,FALSE)</f>
        <v>0</v>
      </c>
      <c r="C4" s="98"/>
      <c r="D4" s="111"/>
      <c r="E4" s="97"/>
    </row>
    <row r="5" spans="1:5" x14ac:dyDescent="0.35">
      <c r="A5" s="104" t="s">
        <v>6</v>
      </c>
      <c r="B5" s="77">
        <f ca="1">VLOOKUP(B2,Table53[#All],3,FALSE)</f>
        <v>0</v>
      </c>
      <c r="C5" s="98"/>
      <c r="D5" s="111"/>
      <c r="E5" s="97"/>
    </row>
    <row r="6" spans="1:5" x14ac:dyDescent="0.35">
      <c r="A6" s="97"/>
      <c r="B6" s="97"/>
      <c r="C6" s="98"/>
      <c r="D6" s="111"/>
      <c r="E6" s="97"/>
    </row>
    <row r="7" spans="1:5" ht="15.5" x14ac:dyDescent="0.35">
      <c r="A7" s="100" t="s">
        <v>7</v>
      </c>
      <c r="B7" s="101" t="s">
        <v>8</v>
      </c>
      <c r="C7" s="102" t="s">
        <v>9</v>
      </c>
      <c r="D7" s="102" t="s">
        <v>14</v>
      </c>
      <c r="E7" s="103" t="s">
        <v>10</v>
      </c>
    </row>
    <row r="8" spans="1:5" x14ac:dyDescent="0.35">
      <c r="A8" s="118">
        <v>1</v>
      </c>
      <c r="B8" s="114" t="s">
        <v>114</v>
      </c>
      <c r="C8" s="109" t="s">
        <v>125</v>
      </c>
      <c r="D8" s="128"/>
      <c r="E8" s="125" t="s">
        <v>11</v>
      </c>
    </row>
    <row r="9" spans="1:5" x14ac:dyDescent="0.35">
      <c r="A9" s="118">
        <v>2</v>
      </c>
      <c r="B9" s="114" t="s">
        <v>12</v>
      </c>
      <c r="C9" s="109" t="e">
        <f>VLOOKUP(Table257519913140106110149[[#This Row],[PEG]],Table1016[#All],2,FALSE)</f>
        <v>#N/A</v>
      </c>
      <c r="D9" s="128"/>
      <c r="E9" s="125" t="e">
        <f>VLOOKUP(Table257519913140106110149[[#This Row],[PEG]],Table1016[#All],3,FALSE)</f>
        <v>#N/A</v>
      </c>
    </row>
    <row r="10" spans="1:5" x14ac:dyDescent="0.35">
      <c r="A10" s="118">
        <v>3</v>
      </c>
      <c r="B10" s="114" t="s">
        <v>115</v>
      </c>
      <c r="C10" s="109" t="e">
        <f>VLOOKUP(Table257519913140106110149[[#This Row],[PEG]],Table1016[#All],2,FALSE)</f>
        <v>#N/A</v>
      </c>
      <c r="D10" s="128"/>
      <c r="E10" s="125" t="e">
        <f>VLOOKUP(Table257519913140106110149[[#This Row],[PEG]],Table1016[#All],3,FALSE)</f>
        <v>#N/A</v>
      </c>
    </row>
    <row r="11" spans="1:5" x14ac:dyDescent="0.35">
      <c r="A11" s="118">
        <v>4</v>
      </c>
      <c r="B11" s="114" t="s">
        <v>115</v>
      </c>
      <c r="C11" s="109" t="e">
        <f>VLOOKUP(Table257519913140106110149[[#This Row],[PEG]],Table1016[#All],2,FALSE)</f>
        <v>#N/A</v>
      </c>
      <c r="D11" s="128"/>
      <c r="E11" s="125" t="e">
        <f>VLOOKUP(Table257519913140106110149[[#This Row],[PEG]],Table1016[#All],3,FALSE)</f>
        <v>#N/A</v>
      </c>
    </row>
    <row r="12" spans="1:5" x14ac:dyDescent="0.35">
      <c r="A12" s="118">
        <v>5</v>
      </c>
      <c r="B12" s="114" t="s">
        <v>114</v>
      </c>
      <c r="C12" s="109" t="e">
        <f>VLOOKUP(Table257519913140106110149[[#This Row],[PEG]],Table1016[#All],2,FALSE)</f>
        <v>#N/A</v>
      </c>
      <c r="D12" s="128"/>
      <c r="E12" s="125" t="e">
        <f>VLOOKUP(Table257519913140106110149[[#This Row],[PEG]],Table1016[#All],3,FALSE)</f>
        <v>#N/A</v>
      </c>
    </row>
    <row r="13" spans="1:5" x14ac:dyDescent="0.35">
      <c r="A13" s="118">
        <v>6</v>
      </c>
      <c r="B13" s="114" t="s">
        <v>115</v>
      </c>
      <c r="C13" s="109" t="e">
        <f>VLOOKUP(Table257519913140106110149[[#This Row],[PEG]],Table1016[#All],2,FALSE)</f>
        <v>#N/A</v>
      </c>
      <c r="D13" s="128"/>
      <c r="E13" s="125" t="e">
        <f>VLOOKUP(Table257519913140106110149[[#This Row],[PEG]],Table1016[#All],3,FALSE)</f>
        <v>#N/A</v>
      </c>
    </row>
    <row r="14" spans="1:5" x14ac:dyDescent="0.35">
      <c r="A14" s="118">
        <v>7</v>
      </c>
      <c r="B14" s="114" t="s">
        <v>114</v>
      </c>
      <c r="C14" s="109" t="e">
        <f>VLOOKUP(Table257519913140106110149[[#This Row],[PEG]],Table1016[#All],2,FALSE)</f>
        <v>#N/A</v>
      </c>
      <c r="D14" s="128"/>
      <c r="E14" s="125" t="e">
        <f>VLOOKUP(Table257519913140106110149[[#This Row],[PEG]],Table1016[#All],3,FALSE)</f>
        <v>#N/A</v>
      </c>
    </row>
    <row r="15" spans="1:5" x14ac:dyDescent="0.35">
      <c r="A15" s="118">
        <v>8</v>
      </c>
      <c r="B15" s="114" t="s">
        <v>115</v>
      </c>
      <c r="C15" s="109" t="e">
        <f>VLOOKUP(Table257519913140106110149[[#This Row],[PEG]],Table1016[#All],2,FALSE)</f>
        <v>#N/A</v>
      </c>
      <c r="D15" s="116"/>
      <c r="E15" s="125" t="e">
        <f>VLOOKUP(Table257519913140106110149[[#This Row],[PEG]],Table1016[#All],3,FALSE)</f>
        <v>#N/A</v>
      </c>
    </row>
    <row r="16" spans="1:5" x14ac:dyDescent="0.35">
      <c r="A16" s="118">
        <v>9</v>
      </c>
      <c r="B16" s="114" t="s">
        <v>12</v>
      </c>
      <c r="C16" s="109" t="e">
        <f>VLOOKUP(Table257519913140106110149[[#This Row],[PEG]],Table1016[#All],2,FALSE)</f>
        <v>#N/A</v>
      </c>
      <c r="D16" s="116"/>
      <c r="E16" s="125" t="e">
        <f>VLOOKUP(Table257519913140106110149[[#This Row],[PEG]],Table1016[#All],3,FALSE)</f>
        <v>#N/A</v>
      </c>
    </row>
    <row r="17" spans="1:5" x14ac:dyDescent="0.35">
      <c r="A17" s="118">
        <v>10</v>
      </c>
      <c r="B17" s="114" t="s">
        <v>12</v>
      </c>
      <c r="C17" s="109" t="e">
        <f>VLOOKUP(Table257519913140106110149[[#This Row],[PEG]],Table1016[#All],2,FALSE)</f>
        <v>#N/A</v>
      </c>
      <c r="D17" s="117"/>
      <c r="E17" s="125" t="e">
        <f>VLOOKUP(Table257519913140106110149[[#This Row],[PEG]],Table1016[#All],3,FALSE)</f>
        <v>#N/A</v>
      </c>
    </row>
    <row r="18" spans="1:5" x14ac:dyDescent="0.35">
      <c r="A18" s="118">
        <v>11</v>
      </c>
      <c r="B18" s="114" t="s">
        <v>115</v>
      </c>
      <c r="C18" s="109" t="e">
        <f>VLOOKUP(Table257519913140106110149[[#This Row],[PEG]],Table1016[#All],2,FALSE)</f>
        <v>#N/A</v>
      </c>
      <c r="D18" s="117"/>
      <c r="E18" s="125" t="e">
        <f>VLOOKUP(Table257519913140106110149[[#This Row],[PEG]],Table1016[#All],3,FALSE)</f>
        <v>#N/A</v>
      </c>
    </row>
    <row r="19" spans="1:5" x14ac:dyDescent="0.35">
      <c r="A19" s="118">
        <v>12</v>
      </c>
      <c r="B19" s="114" t="s">
        <v>115</v>
      </c>
      <c r="C19" s="109" t="e">
        <f>VLOOKUP(Table257519913140106110149[[#This Row],[PEG]],Table1016[#All],2,FALSE)</f>
        <v>#N/A</v>
      </c>
      <c r="D19" s="117"/>
      <c r="E19" s="125" t="e">
        <f>VLOOKUP(Table257519913140106110149[[#This Row],[PEG]],Table1016[#All],3,FALSE)</f>
        <v>#N/A</v>
      </c>
    </row>
    <row r="20" spans="1:5" x14ac:dyDescent="0.35">
      <c r="A20" s="118">
        <v>13</v>
      </c>
      <c r="B20" s="114" t="s">
        <v>114</v>
      </c>
      <c r="C20" s="109" t="e">
        <f>VLOOKUP(Table257519913140106110149[[#This Row],[PEG]],Table1016[#All],2,FALSE)</f>
        <v>#N/A</v>
      </c>
      <c r="D20" s="117"/>
      <c r="E20" s="125" t="e">
        <f>VLOOKUP(Table257519913140106110149[[#This Row],[PEG]],Table1016[#All],3,FALSE)</f>
        <v>#N/A</v>
      </c>
    </row>
    <row r="21" spans="1:5" x14ac:dyDescent="0.35">
      <c r="A21" s="118">
        <v>14</v>
      </c>
      <c r="B21" s="114" t="s">
        <v>12</v>
      </c>
      <c r="C21" s="109" t="e">
        <f>VLOOKUP(Table257519913140106110149[[#This Row],[PEG]],Table1016[#All],2,FALSE)</f>
        <v>#N/A</v>
      </c>
      <c r="D21" s="117"/>
      <c r="E21" s="125" t="e">
        <f>VLOOKUP(Table257519913140106110149[[#This Row],[PEG]],Table1016[#All],3,FALSE)</f>
        <v>#N/A</v>
      </c>
    </row>
    <row r="22" spans="1:5" x14ac:dyDescent="0.35">
      <c r="A22" s="118">
        <v>15</v>
      </c>
      <c r="B22" s="114" t="s">
        <v>12</v>
      </c>
      <c r="C22" s="109" t="e">
        <f>VLOOKUP(Table257519913140106110149[[#This Row],[PEG]],Table1016[#All],2,FALSE)</f>
        <v>#N/A</v>
      </c>
      <c r="D22" s="117"/>
      <c r="E22" s="125" t="e">
        <f>VLOOKUP(Table257519913140106110149[[#This Row],[PEG]],Table1016[#All],3,FALSE)</f>
        <v>#N/A</v>
      </c>
    </row>
    <row r="23" spans="1:5" x14ac:dyDescent="0.35">
      <c r="A23" s="118">
        <v>16</v>
      </c>
      <c r="B23" s="114" t="s">
        <v>115</v>
      </c>
      <c r="C23" s="109" t="e">
        <f>VLOOKUP(Table257519913140106110149[[#This Row],[PEG]],Table1016[#All],2,FALSE)</f>
        <v>#N/A</v>
      </c>
      <c r="D23" s="117"/>
      <c r="E23" s="125" t="e">
        <f>VLOOKUP(Table257519913140106110149[[#This Row],[PEG]],Table1016[#All],3,FALSE)</f>
        <v>#N/A</v>
      </c>
    </row>
    <row r="24" spans="1:5" x14ac:dyDescent="0.35">
      <c r="A24" s="118">
        <v>17</v>
      </c>
      <c r="B24" s="114" t="s">
        <v>114</v>
      </c>
      <c r="C24" s="109" t="e">
        <f>VLOOKUP(Table257519913140106110149[[#This Row],[PEG]],Table1016[#All],2,FALSE)</f>
        <v>#N/A</v>
      </c>
      <c r="D24" s="117"/>
      <c r="E24" s="125" t="e">
        <f>VLOOKUP(Table257519913140106110149[[#This Row],[PEG]],Table1016[#All],3,FALSE)</f>
        <v>#N/A</v>
      </c>
    </row>
    <row r="25" spans="1:5" x14ac:dyDescent="0.35">
      <c r="A25" s="118">
        <v>18</v>
      </c>
      <c r="B25" s="114" t="s">
        <v>12</v>
      </c>
      <c r="C25" s="109" t="e">
        <f>VLOOKUP(Table257519913140106110149[[#This Row],[PEG]],Table1016[#All],2,FALSE)</f>
        <v>#N/A</v>
      </c>
      <c r="D25" s="117"/>
      <c r="E25" s="125" t="e">
        <f>VLOOKUP(Table257519913140106110149[[#This Row],[PEG]],Table1016[#All],3,FALSE)</f>
        <v>#N/A</v>
      </c>
    </row>
    <row r="26" spans="1:5" x14ac:dyDescent="0.35">
      <c r="A26" s="118">
        <v>19</v>
      </c>
      <c r="B26" s="114" t="s">
        <v>12</v>
      </c>
      <c r="C26" s="109" t="e">
        <f>VLOOKUP(Table257519913140106110149[[#This Row],[PEG]],Table1016[#All],2,FALSE)</f>
        <v>#N/A</v>
      </c>
      <c r="D26" s="117"/>
      <c r="E26" s="125" t="e">
        <f>VLOOKUP(Table257519913140106110149[[#This Row],[PEG]],Table1016[#All],3,FALSE)</f>
        <v>#N/A</v>
      </c>
    </row>
    <row r="27" spans="1:5" x14ac:dyDescent="0.35">
      <c r="A27" s="118">
        <v>20</v>
      </c>
      <c r="B27" s="114" t="s">
        <v>115</v>
      </c>
      <c r="C27" s="109" t="e">
        <f>VLOOKUP(Table257519913140106110149[[#This Row],[PEG]],Table1016[#All],2,FALSE)</f>
        <v>#N/A</v>
      </c>
      <c r="D27" s="117"/>
      <c r="E27" s="125" t="e">
        <f>VLOOKUP(Table257519913140106110149[[#This Row],[PEG]],Table1016[#All],3,FALSE)</f>
        <v>#N/A</v>
      </c>
    </row>
    <row r="28" spans="1:5" x14ac:dyDescent="0.35">
      <c r="A28" s="118">
        <v>21</v>
      </c>
      <c r="B28" s="114" t="s">
        <v>114</v>
      </c>
      <c r="C28" s="109" t="e">
        <f>VLOOKUP(Table257519913140106110149[[#This Row],[PEG]],Table1016[#All],2,FALSE)</f>
        <v>#N/A</v>
      </c>
      <c r="D28" s="117"/>
      <c r="E28" s="125" t="e">
        <f>VLOOKUP(Table257519913140106110149[[#This Row],[PEG]],Table1016[#All],3,FALSE)</f>
        <v>#N/A</v>
      </c>
    </row>
    <row r="29" spans="1:5" x14ac:dyDescent="0.35">
      <c r="A29" s="118">
        <v>22</v>
      </c>
      <c r="B29" s="114" t="s">
        <v>12</v>
      </c>
      <c r="C29" s="109" t="e">
        <f>VLOOKUP(Table257519913140106110149[[#This Row],[PEG]],Table1016[#All],2,FALSE)</f>
        <v>#N/A</v>
      </c>
      <c r="D29" s="117"/>
      <c r="E29" s="125" t="e">
        <f>VLOOKUP(Table257519913140106110149[[#This Row],[PEG]],Table1016[#All],3,FALSE)</f>
        <v>#N/A</v>
      </c>
    </row>
    <row r="30" spans="1:5" x14ac:dyDescent="0.35">
      <c r="A30" s="118">
        <v>23</v>
      </c>
      <c r="B30" s="114" t="s">
        <v>12</v>
      </c>
      <c r="C30" s="109" t="e">
        <f>VLOOKUP(Table257519913140106110149[[#This Row],[PEG]],Table1016[#All],2,FALSE)</f>
        <v>#N/A</v>
      </c>
      <c r="D30" s="117"/>
      <c r="E30" s="125" t="e">
        <f>VLOOKUP(Table257519913140106110149[[#This Row],[PEG]],Table1016[#All],3,FALSE)</f>
        <v>#N/A</v>
      </c>
    </row>
    <row r="31" spans="1:5" x14ac:dyDescent="0.35">
      <c r="A31" s="118">
        <v>24</v>
      </c>
      <c r="B31" s="114" t="s">
        <v>115</v>
      </c>
      <c r="C31" s="109" t="e">
        <f>VLOOKUP(Table257519913140106110149[[#This Row],[PEG]],Table1016[#All],2,FALSE)</f>
        <v>#N/A</v>
      </c>
      <c r="D31" s="117"/>
      <c r="E31" s="125" t="e">
        <f>VLOOKUP(Table257519913140106110149[[#This Row],[PEG]],Table1016[#All],3,FALSE)</f>
        <v>#N/A</v>
      </c>
    </row>
    <row r="32" spans="1:5" x14ac:dyDescent="0.35">
      <c r="A32" s="118">
        <v>25</v>
      </c>
      <c r="B32" s="114" t="s">
        <v>115</v>
      </c>
      <c r="C32" s="109" t="e">
        <f>VLOOKUP(Table257519913140106110149[[#This Row],[PEG]],Table1016[#All],2,FALSE)</f>
        <v>#N/A</v>
      </c>
      <c r="D32" s="117"/>
      <c r="E32" s="125" t="e">
        <f>VLOOKUP(Table257519913140106110149[[#This Row],[PEG]],Table1016[#All],3,FALSE)</f>
        <v>#N/A</v>
      </c>
    </row>
    <row r="33" spans="1:5" x14ac:dyDescent="0.35">
      <c r="A33" s="118">
        <v>26</v>
      </c>
      <c r="B33" s="114" t="s">
        <v>124</v>
      </c>
      <c r="C33" s="109" t="e">
        <f>VLOOKUP(Table257519913140106110149[[#This Row],[PEG]],Table1016[#All],2,FALSE)</f>
        <v>#N/A</v>
      </c>
      <c r="D33" s="117"/>
      <c r="E33" s="125" t="e">
        <f>VLOOKUP(Table257519913140106110149[[#This Row],[PEG]],Table1016[#All],3,FALSE)</f>
        <v>#N/A</v>
      </c>
    </row>
    <row r="34" spans="1:5" x14ac:dyDescent="0.35">
      <c r="A34" s="118">
        <v>27</v>
      </c>
      <c r="B34" s="114" t="s">
        <v>115</v>
      </c>
      <c r="C34" s="109" t="e">
        <f>VLOOKUP(Table257519913140106110149[[#This Row],[PEG]],Table1016[#All],2,FALSE)</f>
        <v>#N/A</v>
      </c>
      <c r="D34" s="117"/>
      <c r="E34" s="125" t="e">
        <f>VLOOKUP(Table257519913140106110149[[#This Row],[PEG]],Table1016[#All],3,FALSE)</f>
        <v>#N/A</v>
      </c>
    </row>
    <row r="35" spans="1:5" x14ac:dyDescent="0.35">
      <c r="A35" s="118">
        <v>28</v>
      </c>
      <c r="B35" s="114" t="s">
        <v>124</v>
      </c>
      <c r="C35" s="109" t="e">
        <f>VLOOKUP(Table257519913140106110149[[#This Row],[PEG]],Table1016[#All],2,FALSE)</f>
        <v>#N/A</v>
      </c>
      <c r="D35" s="117"/>
      <c r="E35" s="125" t="e">
        <f>VLOOKUP(Table257519913140106110149[[#This Row],[PEG]],Table1016[#All],3,FALSE)</f>
        <v>#N/A</v>
      </c>
    </row>
    <row r="36" spans="1:5" x14ac:dyDescent="0.35">
      <c r="A36" s="118">
        <v>29</v>
      </c>
      <c r="B36" s="114" t="s">
        <v>115</v>
      </c>
      <c r="C36" s="109" t="e">
        <f>VLOOKUP(Table257519913140106110149[[#This Row],[PEG]],Table1016[#All],2,FALSE)</f>
        <v>#N/A</v>
      </c>
      <c r="D36" s="117"/>
      <c r="E36" s="125" t="e">
        <f>VLOOKUP(Table257519913140106110149[[#This Row],[PEG]],Table1016[#All],3,FALSE)</f>
        <v>#N/A</v>
      </c>
    </row>
    <row r="37" spans="1:5" x14ac:dyDescent="0.35">
      <c r="A37" s="118">
        <v>30</v>
      </c>
      <c r="B37" s="114" t="s">
        <v>12</v>
      </c>
      <c r="C37" s="109" t="e">
        <f>VLOOKUP(Table257519913140106110149[[#This Row],[PEG]],Table1016[#All],2,FALSE)</f>
        <v>#N/A</v>
      </c>
      <c r="D37" s="117"/>
      <c r="E37" s="125" t="e">
        <f>VLOOKUP(Table257519913140106110149[[#This Row],[PEG]],Table1016[#All],3,FALSE)</f>
        <v>#N/A</v>
      </c>
    </row>
    <row r="38" spans="1:5" x14ac:dyDescent="0.35">
      <c r="A38" s="118">
        <v>31</v>
      </c>
      <c r="B38" s="114" t="s">
        <v>12</v>
      </c>
      <c r="C38" s="109" t="e">
        <f>VLOOKUP(Table257519913140106110149[[#This Row],[PEG]],Table1016[#All],2,FALSE)</f>
        <v>#N/A</v>
      </c>
      <c r="D38" s="117"/>
      <c r="E38" s="125" t="e">
        <f>VLOOKUP(Table257519913140106110149[[#This Row],[PEG]],Table1016[#All],3,FALSE)</f>
        <v>#N/A</v>
      </c>
    </row>
    <row r="39" spans="1:5" x14ac:dyDescent="0.35">
      <c r="A39" s="118">
        <v>32</v>
      </c>
      <c r="B39" s="114" t="s">
        <v>12</v>
      </c>
      <c r="C39" s="109" t="e">
        <f>VLOOKUP(Table257519913140106110149[[#This Row],[PEG]],Table1016[#All],2,FALSE)</f>
        <v>#N/A</v>
      </c>
      <c r="D39" s="117"/>
      <c r="E39" s="125" t="e">
        <f>VLOOKUP(Table257519913140106110149[[#This Row],[PEG]],Table1016[#All],3,FALSE)</f>
        <v>#N/A</v>
      </c>
    </row>
    <row r="40" spans="1:5" x14ac:dyDescent="0.35">
      <c r="A40" s="118">
        <v>33</v>
      </c>
      <c r="B40" s="114" t="s">
        <v>12</v>
      </c>
      <c r="C40" s="109" t="e">
        <f>VLOOKUP(Table257519913140106110149[[#This Row],[PEG]],Table1016[#All],2,FALSE)</f>
        <v>#N/A</v>
      </c>
      <c r="D40" s="117"/>
      <c r="E40" s="125" t="e">
        <f>VLOOKUP(Table257519913140106110149[[#This Row],[PEG]],Table1016[#All],3,FALSE)</f>
        <v>#N/A</v>
      </c>
    </row>
    <row r="41" spans="1:5" x14ac:dyDescent="0.35">
      <c r="A41" s="118">
        <v>34</v>
      </c>
      <c r="B41" s="114" t="s">
        <v>115</v>
      </c>
      <c r="C41" s="109" t="e">
        <f>VLOOKUP(Table257519913140106110149[[#This Row],[PEG]],Table1016[#All],2,FALSE)</f>
        <v>#N/A</v>
      </c>
      <c r="D41" s="117"/>
      <c r="E41" s="125" t="e">
        <f>VLOOKUP(Table257519913140106110149[[#This Row],[PEG]],Table1016[#All],3,FALSE)</f>
        <v>#N/A</v>
      </c>
    </row>
    <row r="42" spans="1:5" x14ac:dyDescent="0.35">
      <c r="A42" s="118">
        <v>35</v>
      </c>
      <c r="B42" s="114" t="s">
        <v>12</v>
      </c>
      <c r="C42" s="109" t="e">
        <f>VLOOKUP(Table257519913140106110149[[#This Row],[PEG]],Table1016[#All],2,FALSE)</f>
        <v>#N/A</v>
      </c>
      <c r="D42" s="115"/>
      <c r="E42" s="125" t="e">
        <f>VLOOKUP(Table257519913140106110149[[#This Row],[PEG]],Table1016[#All],3,FALSE)</f>
        <v>#N/A</v>
      </c>
    </row>
    <row r="43" spans="1:5" x14ac:dyDescent="0.35">
      <c r="A43" s="118">
        <v>36</v>
      </c>
      <c r="B43" s="114" t="s">
        <v>115</v>
      </c>
      <c r="C43" s="109" t="e">
        <f>VLOOKUP(Table257519913140106110149[[#This Row],[PEG]],Table1016[#All],2,FALSE)</f>
        <v>#N/A</v>
      </c>
      <c r="D43" s="115"/>
      <c r="E43" s="125" t="e">
        <f>VLOOKUP(Table257519913140106110149[[#This Row],[PEG]],Table1016[#All],3,FALSE)</f>
        <v>#N/A</v>
      </c>
    </row>
    <row r="44" spans="1:5" x14ac:dyDescent="0.35">
      <c r="A44" s="118">
        <v>37</v>
      </c>
      <c r="B44" s="114" t="s">
        <v>13</v>
      </c>
      <c r="C44" s="18" t="s">
        <v>13</v>
      </c>
      <c r="D44" s="115"/>
      <c r="E44" s="32"/>
    </row>
  </sheetData>
  <mergeCells count="1">
    <mergeCell ref="A1:B1"/>
  </mergeCells>
  <conditionalFormatting sqref="B8:B18">
    <cfRule type="containsText" dxfId="1953" priority="1" operator="containsText" text="Hear">
      <formula>NOT(ISERROR(SEARCH("Hear",B8)))</formula>
    </cfRule>
  </conditionalFormatting>
  <conditionalFormatting sqref="B30">
    <cfRule type="containsText" dxfId="1952" priority="4" operator="containsText" text="Hear">
      <formula>NOT(ISERROR(SEARCH("Hear",B30)))</formula>
    </cfRule>
  </conditionalFormatting>
  <conditionalFormatting sqref="B43:B44">
    <cfRule type="containsText" dxfId="1951" priority="8" operator="containsText" text="Hear">
      <formula>NOT(ISERROR(SEARCH("Hear",B43)))</formula>
    </cfRule>
  </conditionalFormatting>
  <conditionalFormatting sqref="E44">
    <cfRule type="containsText" dxfId="1950" priority="6" operator="containsText" text="WEB SERVICE">
      <formula>NOT(ISERROR(SEARCH("WEB SERVICE",E44)))</formula>
    </cfRule>
    <cfRule type="containsText" dxfId="1949" priority="7" operator="containsText" text="DB">
      <formula>NOT(ISERROR(SEARCH("DB",E44)))</formula>
    </cfRule>
  </conditionalFormatting>
  <conditionalFormatting sqref="C44">
    <cfRule type="expression" dxfId="1948" priority="9">
      <formula>$B44="Dial"</formula>
    </cfRule>
    <cfRule type="expression" dxfId="1947" priority="11">
      <formula>$B44="HANGUP"</formula>
    </cfRule>
  </conditionalFormatting>
  <conditionalFormatting sqref="C44">
    <cfRule type="expression" dxfId="1946" priority="10">
      <formula>$B44="Speak"</formula>
    </cfRule>
  </conditionalFormatting>
  <conditionalFormatting sqref="B36:B38 B40:B41">
    <cfRule type="containsText" dxfId="1945" priority="3" operator="containsText" text="Hear">
      <formula>NOT(ISERROR(SEARCH("Hear",B36)))</formula>
    </cfRule>
  </conditionalFormatting>
  <conditionalFormatting sqref="B19:B29 B31:B35 B42">
    <cfRule type="containsText" dxfId="1944" priority="5" operator="containsText" text="Hear">
      <formula>NOT(ISERROR(SEARCH("Hear",B19)))</formula>
    </cfRule>
  </conditionalFormatting>
  <hyperlinks>
    <hyperlink ref="A1" location="'Test Case Overview'!A1" display="Return to Test Case Overview" xr:uid="{AE614910-E39C-4C70-9251-0A1F8123B9B4}"/>
  </hyperlinks>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expression" priority="12" id="{0D2BB771-7BE0-4263-8EF6-1D38B8D6A9F1}">
            <xm:f>'TC1'!$B8="Speak"</xm:f>
            <x14:dxf>
              <font>
                <b/>
                <i val="0"/>
                <color rgb="FFFF0000"/>
              </font>
            </x14:dxf>
          </x14:cfRule>
          <xm:sqref>C8</xm:sqref>
        </x14:conditionalFormatting>
        <x14:conditionalFormatting xmlns:xm="http://schemas.microsoft.com/office/excel/2006/main">
          <x14:cfRule type="containsText" priority="15" operator="containsText" text="Hear" id="{A13C4255-F372-4A38-A816-DD974889ADAB}">
            <xm:f>NOT(ISERROR(SEARCH("Hear",'TC3'!B34)))</xm:f>
            <x14:dxf>
              <font>
                <color theme="9" tint="-0.24994659260841701"/>
              </font>
              <fill>
                <patternFill>
                  <bgColor theme="9" tint="0.59996337778862885"/>
                </patternFill>
              </fill>
            </x14:dxf>
          </x14:cfRule>
          <xm:sqref>B41</xm:sqref>
        </x14:conditionalFormatting>
        <x14:conditionalFormatting xmlns:xm="http://schemas.microsoft.com/office/excel/2006/main">
          <x14:cfRule type="expression" priority="16" id="{0B626962-A46A-482B-A4F0-BB4E936435E2}">
            <xm:f>'TC1'!$B8="Dial"</xm:f>
            <x14:dxf>
              <font>
                <b/>
                <i val="0"/>
                <color rgb="FFFF0000"/>
              </font>
            </x14:dxf>
          </x14:cfRule>
          <x14:cfRule type="expression" priority="16" id="{1D454F57-0B80-4C8B-8524-5E774286F3CD}">
            <xm:f>'TC1'!$B8="HANGUP"</xm:f>
            <x14:dxf>
              <font>
                <b/>
                <i val="0"/>
              </font>
            </x14:dxf>
          </x14:cfRule>
          <xm:sqref>C8</xm:sqref>
        </x14:conditionalFormatting>
        <x14:conditionalFormatting xmlns:xm="http://schemas.microsoft.com/office/excel/2006/main">
          <x14:cfRule type="expression" priority="2682" id="{0D2BB771-7BE0-4263-8EF6-1D38B8D6A9F1}">
            <xm:f>'TC1'!$B16="Speak"</xm:f>
            <x14:dxf>
              <font>
                <b/>
                <i val="0"/>
                <color rgb="FFFF0000"/>
              </font>
            </x14:dxf>
          </x14:cfRule>
          <xm:sqref>C34:C43</xm:sqref>
        </x14:conditionalFormatting>
        <x14:conditionalFormatting xmlns:xm="http://schemas.microsoft.com/office/excel/2006/main">
          <x14:cfRule type="expression" priority="2683" id="{0D2BB771-7BE0-4263-8EF6-1D38B8D6A9F1}">
            <xm:f>'TC1'!#REF!="Speak"</xm:f>
            <x14:dxf>
              <font>
                <b/>
                <i val="0"/>
                <color rgb="FFFF0000"/>
              </font>
            </x14:dxf>
          </x14:cfRule>
          <xm:sqref>C17:C33</xm:sqref>
        </x14:conditionalFormatting>
        <x14:conditionalFormatting xmlns:xm="http://schemas.microsoft.com/office/excel/2006/main">
          <x14:cfRule type="containsText" priority="2687" operator="containsText" text="WEB SERVICE" id="{B150BDDB-8B98-420A-81C5-AB4AB006964C}">
            <xm:f>NOT(ISERROR(SEARCH("WEB SERVICE",'TC1'!E16)))</xm:f>
            <x14:dxf>
              <font>
                <color rgb="FF9C0006"/>
              </font>
              <fill>
                <patternFill>
                  <bgColor rgb="FFFFC7CE"/>
                </patternFill>
              </fill>
            </x14:dxf>
          </x14:cfRule>
          <x14:cfRule type="containsText" priority="2688" operator="containsText" text="DB" id="{BD2D9D29-FCB9-496E-8077-8180A78B68CB}">
            <xm:f>NOT(ISERROR(SEARCH("DB",'TC1'!E16)))</xm:f>
            <x14:dxf>
              <font>
                <color rgb="FF006100"/>
              </font>
              <fill>
                <patternFill>
                  <bgColor rgb="FFC6EFCE"/>
                </patternFill>
              </fill>
            </x14:dxf>
          </x14:cfRule>
          <xm:sqref>E34:E43</xm:sqref>
        </x14:conditionalFormatting>
        <x14:conditionalFormatting xmlns:xm="http://schemas.microsoft.com/office/excel/2006/main">
          <x14:cfRule type="containsText" priority="2689" operator="containsText" text="WEB SERVICE" id="{B150BDDB-8B98-420A-81C5-AB4AB006964C}">
            <xm:f>NOT(ISERROR(SEARCH("WEB SERVICE",'TC1'!#REF!)))</xm:f>
            <x14:dxf>
              <font>
                <color rgb="FF9C0006"/>
              </font>
              <fill>
                <patternFill>
                  <bgColor rgb="FFFFC7CE"/>
                </patternFill>
              </fill>
            </x14:dxf>
          </x14:cfRule>
          <x14:cfRule type="containsText" priority="2690" operator="containsText" text="DB" id="{BD2D9D29-FCB9-496E-8077-8180A78B68CB}">
            <xm:f>NOT(ISERROR(SEARCH("DB",'TC1'!#REF!)))</xm:f>
            <x14:dxf>
              <font>
                <color rgb="FF006100"/>
              </font>
              <fill>
                <patternFill>
                  <bgColor rgb="FFC6EFCE"/>
                </patternFill>
              </fill>
            </x14:dxf>
          </x14:cfRule>
          <xm:sqref>E17:E33</xm:sqref>
        </x14:conditionalFormatting>
        <x14:conditionalFormatting xmlns:xm="http://schemas.microsoft.com/office/excel/2006/main">
          <x14:cfRule type="expression" priority="2695" id="{0B626962-A46A-482B-A4F0-BB4E936435E2}">
            <xm:f>'TC1'!$B16="Dial"</xm:f>
            <x14:dxf>
              <font>
                <b/>
                <i val="0"/>
                <color rgb="FFFF0000"/>
              </font>
            </x14:dxf>
          </x14:cfRule>
          <x14:cfRule type="expression" priority="2696" id="{1D454F57-0B80-4C8B-8524-5E774286F3CD}">
            <xm:f>'TC1'!$B16="HANGUP"</xm:f>
            <x14:dxf>
              <font>
                <b/>
                <i val="0"/>
              </font>
            </x14:dxf>
          </x14:cfRule>
          <xm:sqref>C34:C43</xm:sqref>
        </x14:conditionalFormatting>
        <x14:conditionalFormatting xmlns:xm="http://schemas.microsoft.com/office/excel/2006/main">
          <x14:cfRule type="expression" priority="2697" id="{0B626962-A46A-482B-A4F0-BB4E936435E2}">
            <xm:f>'TC1'!#REF!="Dial"</xm:f>
            <x14:dxf>
              <font>
                <b/>
                <i val="0"/>
                <color rgb="FFFF0000"/>
              </font>
            </x14:dxf>
          </x14:cfRule>
          <x14:cfRule type="expression" priority="2698" id="{1D454F57-0B80-4C8B-8524-5E774286F3CD}">
            <xm:f>'TC1'!#REF!="HANGUP"</xm:f>
            <x14:dxf>
              <font>
                <b/>
                <i val="0"/>
              </font>
            </x14:dxf>
          </x14:cfRule>
          <xm:sqref>C17:C33</xm:sqref>
        </x14:conditionalFormatting>
        <x14:conditionalFormatting xmlns:xm="http://schemas.microsoft.com/office/excel/2006/main">
          <x14:cfRule type="expression" priority="5352" id="{0D2BB771-7BE0-4263-8EF6-1D38B8D6A9F1}">
            <xm:f>'TC1'!$B9="Speak"</xm:f>
            <x14:dxf>
              <font>
                <b/>
                <i val="0"/>
                <color rgb="FFFF0000"/>
              </font>
            </x14:dxf>
          </x14:cfRule>
          <xm:sqref>C12:C15</xm:sqref>
        </x14:conditionalFormatting>
        <x14:conditionalFormatting xmlns:xm="http://schemas.microsoft.com/office/excel/2006/main">
          <x14:cfRule type="expression" priority="5353" id="{0D2BB771-7BE0-4263-8EF6-1D38B8D6A9F1}">
            <xm:f>'TC1'!#REF!="Speak"</xm:f>
            <x14:dxf>
              <font>
                <b/>
                <i val="0"/>
                <color rgb="FFFF0000"/>
              </font>
            </x14:dxf>
          </x14:cfRule>
          <xm:sqref>C9:C11</xm:sqref>
        </x14:conditionalFormatting>
        <x14:conditionalFormatting xmlns:xm="http://schemas.microsoft.com/office/excel/2006/main">
          <x14:cfRule type="containsText" priority="5355" operator="containsText" text="WEB SERVICE" id="{B150BDDB-8B98-420A-81C5-AB4AB006964C}">
            <xm:f>NOT(ISERROR(SEARCH("WEB SERVICE",'TC1'!#REF!)))</xm:f>
            <x14:dxf>
              <font>
                <color rgb="FF9C0006"/>
              </font>
              <fill>
                <patternFill>
                  <bgColor rgb="FFFFC7CE"/>
                </patternFill>
              </fill>
            </x14:dxf>
          </x14:cfRule>
          <x14:cfRule type="containsText" priority="5356" operator="containsText" text="DB" id="{BD2D9D29-FCB9-496E-8077-8180A78B68CB}">
            <xm:f>NOT(ISERROR(SEARCH("DB",'TC1'!#REF!)))</xm:f>
            <x14:dxf>
              <font>
                <color rgb="FF006100"/>
              </font>
              <fill>
                <patternFill>
                  <bgColor rgb="FFC6EFCE"/>
                </patternFill>
              </fill>
            </x14:dxf>
          </x14:cfRule>
          <xm:sqref>E9:E11</xm:sqref>
        </x14:conditionalFormatting>
        <x14:conditionalFormatting xmlns:xm="http://schemas.microsoft.com/office/excel/2006/main">
          <x14:cfRule type="containsText" priority="5357" operator="containsText" text="WEB SERVICE" id="{B150BDDB-8B98-420A-81C5-AB4AB006964C}">
            <xm:f>NOT(ISERROR(SEARCH("WEB SERVICE",'TC1'!E9)))</xm:f>
            <x14:dxf>
              <font>
                <color rgb="FF9C0006"/>
              </font>
              <fill>
                <patternFill>
                  <bgColor rgb="FFFFC7CE"/>
                </patternFill>
              </fill>
            </x14:dxf>
          </x14:cfRule>
          <x14:cfRule type="containsText" priority="5358" operator="containsText" text="DB" id="{BD2D9D29-FCB9-496E-8077-8180A78B68CB}">
            <xm:f>NOT(ISERROR(SEARCH("DB",'TC1'!E9)))</xm:f>
            <x14:dxf>
              <font>
                <color rgb="FF006100"/>
              </font>
              <fill>
                <patternFill>
                  <bgColor rgb="FFC6EFCE"/>
                </patternFill>
              </fill>
            </x14:dxf>
          </x14:cfRule>
          <xm:sqref>E12:E15</xm:sqref>
        </x14:conditionalFormatting>
        <x14:conditionalFormatting xmlns:xm="http://schemas.microsoft.com/office/excel/2006/main">
          <x14:cfRule type="expression" priority="5363" id="{0B626962-A46A-482B-A4F0-BB4E936435E2}">
            <xm:f>'TC1'!$B9="Dial"</xm:f>
            <x14:dxf>
              <font>
                <b/>
                <i val="0"/>
                <color rgb="FFFF0000"/>
              </font>
            </x14:dxf>
          </x14:cfRule>
          <x14:cfRule type="expression" priority="5364" id="{1D454F57-0B80-4C8B-8524-5E774286F3CD}">
            <xm:f>'TC1'!$B9="HANGUP"</xm:f>
            <x14:dxf>
              <font>
                <b/>
                <i val="0"/>
              </font>
            </x14:dxf>
          </x14:cfRule>
          <xm:sqref>C12:C15</xm:sqref>
        </x14:conditionalFormatting>
        <x14:conditionalFormatting xmlns:xm="http://schemas.microsoft.com/office/excel/2006/main">
          <x14:cfRule type="expression" priority="5365" id="{0B626962-A46A-482B-A4F0-BB4E936435E2}">
            <xm:f>'TC1'!#REF!="Dial"</xm:f>
            <x14:dxf>
              <font>
                <b/>
                <i val="0"/>
                <color rgb="FFFF0000"/>
              </font>
            </x14:dxf>
          </x14:cfRule>
          <x14:cfRule type="expression" priority="5366" id="{1D454F57-0B80-4C8B-8524-5E774286F3CD}">
            <xm:f>'TC1'!#REF!="HANGUP"</xm:f>
            <x14:dxf>
              <font>
                <b/>
                <i val="0"/>
              </font>
            </x14:dxf>
          </x14:cfRule>
          <xm:sqref>C9:C11</xm:sqref>
        </x14:conditionalFormatting>
        <x14:conditionalFormatting xmlns:xm="http://schemas.microsoft.com/office/excel/2006/main">
          <x14:cfRule type="expression" priority="7639" id="{0D2BB771-7BE0-4263-8EF6-1D38B8D6A9F1}">
            <xm:f>'TC1'!$B15="Speak"</xm:f>
            <x14:dxf>
              <font>
                <b/>
                <i val="0"/>
                <color rgb="FFFF0000"/>
              </font>
            </x14:dxf>
          </x14:cfRule>
          <xm:sqref>C16</xm:sqref>
        </x14:conditionalFormatting>
        <x14:conditionalFormatting xmlns:xm="http://schemas.microsoft.com/office/excel/2006/main">
          <x14:cfRule type="containsText" priority="7642" operator="containsText" text="WEB SERVICE" id="{B150BDDB-8B98-420A-81C5-AB4AB006964C}">
            <xm:f>NOT(ISERROR(SEARCH("WEB SERVICE",'TC1'!E15)))</xm:f>
            <x14:dxf>
              <font>
                <color rgb="FF9C0006"/>
              </font>
              <fill>
                <patternFill>
                  <bgColor rgb="FFFFC7CE"/>
                </patternFill>
              </fill>
            </x14:dxf>
          </x14:cfRule>
          <x14:cfRule type="containsText" priority="7643" operator="containsText" text="DB" id="{BD2D9D29-FCB9-496E-8077-8180A78B68CB}">
            <xm:f>NOT(ISERROR(SEARCH("DB",'TC1'!E15)))</xm:f>
            <x14:dxf>
              <font>
                <color rgb="FF006100"/>
              </font>
              <fill>
                <patternFill>
                  <bgColor rgb="FFC6EFCE"/>
                </patternFill>
              </fill>
            </x14:dxf>
          </x14:cfRule>
          <xm:sqref>E16</xm:sqref>
        </x14:conditionalFormatting>
        <x14:conditionalFormatting xmlns:xm="http://schemas.microsoft.com/office/excel/2006/main">
          <x14:cfRule type="expression" priority="7646" id="{0B626962-A46A-482B-A4F0-BB4E936435E2}">
            <xm:f>'TC1'!$B15="Dial"</xm:f>
            <x14:dxf>
              <font>
                <b/>
                <i val="0"/>
                <color rgb="FFFF0000"/>
              </font>
            </x14:dxf>
          </x14:cfRule>
          <x14:cfRule type="expression" priority="7647" id="{1D454F57-0B80-4C8B-8524-5E774286F3CD}">
            <xm:f>'TC1'!$B15="HANGUP"</xm:f>
            <x14:dxf>
              <font>
                <b/>
                <i val="0"/>
              </font>
            </x14:dxf>
          </x14:cfRule>
          <xm:sqref>C16</xm:sqref>
        </x14:conditionalFormatting>
        <x14:conditionalFormatting xmlns:xm="http://schemas.microsoft.com/office/excel/2006/main">
          <x14:cfRule type="containsText" priority="10252" operator="containsText" text="Hear" id="{B4D21EA4-F324-4CA8-8968-A77A1078FDA5}">
            <xm:f>NOT(ISERROR(SEARCH("Hear",'TC26'!#REF!)))</xm:f>
            <x14:dxf>
              <font>
                <color theme="9" tint="-0.24994659260841701"/>
              </font>
              <fill>
                <patternFill>
                  <bgColor theme="9" tint="0.59996337778862885"/>
                </patternFill>
              </fill>
            </x14:dxf>
          </x14:cfRule>
          <xm:sqref>B39</xm:sqref>
        </x14:conditionalFormatting>
      </x14:conditionalFormattings>
    </ext>
  </extLst>
</worksheet>
</file>

<file path=xl/worksheets/sheet1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A00-000000000000}">
  <sheetPr codeName="Sheet124"/>
  <dimension ref="A1:E44"/>
  <sheetViews>
    <sheetView zoomScaleNormal="100" workbookViewId="0">
      <selection sqref="A1:E44"/>
    </sheetView>
  </sheetViews>
  <sheetFormatPr defaultRowHeight="14.5" x14ac:dyDescent="0.35"/>
  <cols>
    <col min="1" max="1" width="14.453125" bestFit="1" customWidth="1"/>
    <col min="2" max="2" width="42.6328125" customWidth="1"/>
    <col min="3" max="3" width="106.1796875" customWidth="1"/>
    <col min="4" max="4" width="21.81640625" bestFit="1" customWidth="1"/>
    <col min="5" max="5" width="20.6328125" customWidth="1"/>
  </cols>
  <sheetData>
    <row r="1" spans="1:5" ht="18.5" x14ac:dyDescent="0.35">
      <c r="A1" s="192" t="s">
        <v>4</v>
      </c>
      <c r="B1" s="192"/>
      <c r="C1" s="105"/>
      <c r="D1" s="111"/>
      <c r="E1" s="97"/>
    </row>
    <row r="2" spans="1:5" x14ac:dyDescent="0.35">
      <c r="A2" s="106" t="s">
        <v>5</v>
      </c>
      <c r="B2" s="107" t="str">
        <f ca="1">MID(CELL("filename",A1),FIND("]",CELL("filename",A1))+1,LEN(CELL("filename",A1))-FIND("]",CELL("filename",A1)))</f>
        <v>TC122</v>
      </c>
      <c r="C2" s="98"/>
      <c r="D2" s="111"/>
      <c r="E2" s="97"/>
    </row>
    <row r="3" spans="1:5" x14ac:dyDescent="0.35">
      <c r="A3" s="104" t="s">
        <v>19</v>
      </c>
      <c r="B3" s="112">
        <f ca="1">VLOOKUP(B2,Table53[#All],2,FALSE)</f>
        <v>0</v>
      </c>
      <c r="C3" s="98"/>
      <c r="D3" s="111"/>
      <c r="E3" s="97"/>
    </row>
    <row r="4" spans="1:5" ht="29" x14ac:dyDescent="0.35">
      <c r="A4" s="113" t="s">
        <v>20</v>
      </c>
      <c r="B4" s="99">
        <f ca="1">VLOOKUP(B2,Table53[#All],4,FALSE)</f>
        <v>0</v>
      </c>
      <c r="C4" s="98"/>
      <c r="D4" s="111"/>
      <c r="E4" s="97"/>
    </row>
    <row r="5" spans="1:5" x14ac:dyDescent="0.35">
      <c r="A5" s="104" t="s">
        <v>6</v>
      </c>
      <c r="B5" s="77">
        <f ca="1">VLOOKUP(B2,Table53[#All],3,FALSE)</f>
        <v>0</v>
      </c>
      <c r="C5" s="98"/>
      <c r="D5" s="111"/>
      <c r="E5" s="97"/>
    </row>
    <row r="6" spans="1:5" x14ac:dyDescent="0.35">
      <c r="A6" s="97"/>
      <c r="B6" s="97"/>
      <c r="C6" s="98"/>
      <c r="D6" s="111"/>
      <c r="E6" s="97"/>
    </row>
    <row r="7" spans="1:5" ht="15.5" x14ac:dyDescent="0.35">
      <c r="A7" s="100" t="s">
        <v>7</v>
      </c>
      <c r="B7" s="101" t="s">
        <v>8</v>
      </c>
      <c r="C7" s="102" t="s">
        <v>9</v>
      </c>
      <c r="D7" s="102" t="s">
        <v>14</v>
      </c>
      <c r="E7" s="103" t="s">
        <v>10</v>
      </c>
    </row>
    <row r="8" spans="1:5" x14ac:dyDescent="0.35">
      <c r="A8" s="118">
        <v>1</v>
      </c>
      <c r="B8" s="114" t="s">
        <v>114</v>
      </c>
      <c r="C8" s="109" t="s">
        <v>125</v>
      </c>
      <c r="D8" s="128"/>
      <c r="E8" s="125" t="s">
        <v>11</v>
      </c>
    </row>
    <row r="9" spans="1:5" x14ac:dyDescent="0.35">
      <c r="A9" s="118">
        <v>2</v>
      </c>
      <c r="B9" s="114" t="s">
        <v>12</v>
      </c>
      <c r="C9" s="109" t="e">
        <f>VLOOKUP(Table257519913140106110151[[#This Row],[PEG]],Table1016[#All],2,FALSE)</f>
        <v>#N/A</v>
      </c>
      <c r="D9" s="128"/>
      <c r="E9" s="125" t="e">
        <f>VLOOKUP(Table257519913140106110151[[#This Row],[PEG]],Table1016[#All],3,FALSE)</f>
        <v>#N/A</v>
      </c>
    </row>
    <row r="10" spans="1:5" x14ac:dyDescent="0.35">
      <c r="A10" s="118">
        <v>3</v>
      </c>
      <c r="B10" s="114" t="s">
        <v>115</v>
      </c>
      <c r="C10" s="109" t="e">
        <f>VLOOKUP(Table257519913140106110151[[#This Row],[PEG]],Table1016[#All],2,FALSE)</f>
        <v>#N/A</v>
      </c>
      <c r="D10" s="128"/>
      <c r="E10" s="125" t="e">
        <f>VLOOKUP(Table257519913140106110151[[#This Row],[PEG]],Table1016[#All],3,FALSE)</f>
        <v>#N/A</v>
      </c>
    </row>
    <row r="11" spans="1:5" x14ac:dyDescent="0.35">
      <c r="A11" s="118">
        <v>4</v>
      </c>
      <c r="B11" s="114" t="s">
        <v>115</v>
      </c>
      <c r="C11" s="109" t="e">
        <f>VLOOKUP(Table257519913140106110151[[#This Row],[PEG]],Table1016[#All],2,FALSE)</f>
        <v>#N/A</v>
      </c>
      <c r="D11" s="128"/>
      <c r="E11" s="125" t="e">
        <f>VLOOKUP(Table257519913140106110151[[#This Row],[PEG]],Table1016[#All],3,FALSE)</f>
        <v>#N/A</v>
      </c>
    </row>
    <row r="12" spans="1:5" x14ac:dyDescent="0.35">
      <c r="A12" s="118">
        <v>5</v>
      </c>
      <c r="B12" s="114" t="s">
        <v>114</v>
      </c>
      <c r="C12" s="109" t="e">
        <f>VLOOKUP(Table257519913140106110151[[#This Row],[PEG]],Table1016[#All],2,FALSE)</f>
        <v>#N/A</v>
      </c>
      <c r="D12" s="128"/>
      <c r="E12" s="125" t="e">
        <f>VLOOKUP(Table257519913140106110151[[#This Row],[PEG]],Table1016[#All],3,FALSE)</f>
        <v>#N/A</v>
      </c>
    </row>
    <row r="13" spans="1:5" x14ac:dyDescent="0.35">
      <c r="A13" s="118">
        <v>6</v>
      </c>
      <c r="B13" s="114" t="s">
        <v>115</v>
      </c>
      <c r="C13" s="109" t="e">
        <f>VLOOKUP(Table257519913140106110151[[#This Row],[PEG]],Table1016[#All],2,FALSE)</f>
        <v>#N/A</v>
      </c>
      <c r="D13" s="128"/>
      <c r="E13" s="125" t="e">
        <f>VLOOKUP(Table257519913140106110151[[#This Row],[PEG]],Table1016[#All],3,FALSE)</f>
        <v>#N/A</v>
      </c>
    </row>
    <row r="14" spans="1:5" x14ac:dyDescent="0.35">
      <c r="A14" s="118">
        <v>7</v>
      </c>
      <c r="B14" s="114" t="s">
        <v>114</v>
      </c>
      <c r="C14" s="109" t="e">
        <f>VLOOKUP(Table257519913140106110151[[#This Row],[PEG]],Table1016[#All],2,FALSE)</f>
        <v>#N/A</v>
      </c>
      <c r="D14" s="128"/>
      <c r="E14" s="125" t="e">
        <f>VLOOKUP(Table257519913140106110151[[#This Row],[PEG]],Table1016[#All],3,FALSE)</f>
        <v>#N/A</v>
      </c>
    </row>
    <row r="15" spans="1:5" x14ac:dyDescent="0.35">
      <c r="A15" s="118">
        <v>8</v>
      </c>
      <c r="B15" s="114" t="s">
        <v>115</v>
      </c>
      <c r="C15" s="109" t="e">
        <f>VLOOKUP(Table257519913140106110151[[#This Row],[PEG]],Table1016[#All],2,FALSE)</f>
        <v>#N/A</v>
      </c>
      <c r="D15" s="116"/>
      <c r="E15" s="125" t="e">
        <f>VLOOKUP(Table257519913140106110151[[#This Row],[PEG]],Table1016[#All],3,FALSE)</f>
        <v>#N/A</v>
      </c>
    </row>
    <row r="16" spans="1:5" x14ac:dyDescent="0.35">
      <c r="A16" s="118">
        <v>9</v>
      </c>
      <c r="B16" s="114" t="s">
        <v>12</v>
      </c>
      <c r="C16" s="109" t="e">
        <f>VLOOKUP(Table257519913140106110151[[#This Row],[PEG]],Table1016[#All],2,FALSE)</f>
        <v>#N/A</v>
      </c>
      <c r="D16" s="116"/>
      <c r="E16" s="125" t="e">
        <f>VLOOKUP(Table257519913140106110151[[#This Row],[PEG]],Table1016[#All],3,FALSE)</f>
        <v>#N/A</v>
      </c>
    </row>
    <row r="17" spans="1:5" x14ac:dyDescent="0.35">
      <c r="A17" s="118">
        <v>10</v>
      </c>
      <c r="B17" s="114" t="s">
        <v>12</v>
      </c>
      <c r="C17" s="109" t="e">
        <f>VLOOKUP(Table257519913140106110151[[#This Row],[PEG]],Table1016[#All],2,FALSE)</f>
        <v>#N/A</v>
      </c>
      <c r="D17" s="117"/>
      <c r="E17" s="125" t="e">
        <f>VLOOKUP(Table257519913140106110151[[#This Row],[PEG]],Table1016[#All],3,FALSE)</f>
        <v>#N/A</v>
      </c>
    </row>
    <row r="18" spans="1:5" x14ac:dyDescent="0.35">
      <c r="A18" s="118">
        <v>11</v>
      </c>
      <c r="B18" s="114" t="s">
        <v>115</v>
      </c>
      <c r="C18" s="109" t="e">
        <f>VLOOKUP(Table257519913140106110151[[#This Row],[PEG]],Table1016[#All],2,FALSE)</f>
        <v>#N/A</v>
      </c>
      <c r="D18" s="117"/>
      <c r="E18" s="125" t="e">
        <f>VLOOKUP(Table257519913140106110151[[#This Row],[PEG]],Table1016[#All],3,FALSE)</f>
        <v>#N/A</v>
      </c>
    </row>
    <row r="19" spans="1:5" x14ac:dyDescent="0.35">
      <c r="A19" s="118">
        <v>12</v>
      </c>
      <c r="B19" s="114" t="s">
        <v>115</v>
      </c>
      <c r="C19" s="109" t="e">
        <f>VLOOKUP(Table257519913140106110151[[#This Row],[PEG]],Table1016[#All],2,FALSE)</f>
        <v>#N/A</v>
      </c>
      <c r="D19" s="117"/>
      <c r="E19" s="125" t="e">
        <f>VLOOKUP(Table257519913140106110151[[#This Row],[PEG]],Table1016[#All],3,FALSE)</f>
        <v>#N/A</v>
      </c>
    </row>
    <row r="20" spans="1:5" x14ac:dyDescent="0.35">
      <c r="A20" s="118">
        <v>13</v>
      </c>
      <c r="B20" s="114" t="s">
        <v>114</v>
      </c>
      <c r="C20" s="109" t="e">
        <f>VLOOKUP(Table257519913140106110151[[#This Row],[PEG]],Table1016[#All],2,FALSE)</f>
        <v>#N/A</v>
      </c>
      <c r="D20" s="117"/>
      <c r="E20" s="125" t="e">
        <f>VLOOKUP(Table257519913140106110151[[#This Row],[PEG]],Table1016[#All],3,FALSE)</f>
        <v>#N/A</v>
      </c>
    </row>
    <row r="21" spans="1:5" x14ac:dyDescent="0.35">
      <c r="A21" s="118">
        <v>14</v>
      </c>
      <c r="B21" s="114" t="s">
        <v>12</v>
      </c>
      <c r="C21" s="109" t="e">
        <f>VLOOKUP(Table257519913140106110151[[#This Row],[PEG]],Table1016[#All],2,FALSE)</f>
        <v>#N/A</v>
      </c>
      <c r="D21" s="117"/>
      <c r="E21" s="125" t="e">
        <f>VLOOKUP(Table257519913140106110151[[#This Row],[PEG]],Table1016[#All],3,FALSE)</f>
        <v>#N/A</v>
      </c>
    </row>
    <row r="22" spans="1:5" x14ac:dyDescent="0.35">
      <c r="A22" s="118">
        <v>15</v>
      </c>
      <c r="B22" s="114" t="s">
        <v>12</v>
      </c>
      <c r="C22" s="109" t="e">
        <f>VLOOKUP(Table257519913140106110151[[#This Row],[PEG]],Table1016[#All],2,FALSE)</f>
        <v>#N/A</v>
      </c>
      <c r="D22" s="117"/>
      <c r="E22" s="125" t="e">
        <f>VLOOKUP(Table257519913140106110151[[#This Row],[PEG]],Table1016[#All],3,FALSE)</f>
        <v>#N/A</v>
      </c>
    </row>
    <row r="23" spans="1:5" x14ac:dyDescent="0.35">
      <c r="A23" s="118">
        <v>16</v>
      </c>
      <c r="B23" s="114" t="s">
        <v>115</v>
      </c>
      <c r="C23" s="109" t="e">
        <f>VLOOKUP(Table257519913140106110151[[#This Row],[PEG]],Table1016[#All],2,FALSE)</f>
        <v>#N/A</v>
      </c>
      <c r="D23" s="117"/>
      <c r="E23" s="125" t="e">
        <f>VLOOKUP(Table257519913140106110151[[#This Row],[PEG]],Table1016[#All],3,FALSE)</f>
        <v>#N/A</v>
      </c>
    </row>
    <row r="24" spans="1:5" x14ac:dyDescent="0.35">
      <c r="A24" s="118">
        <v>17</v>
      </c>
      <c r="B24" s="114" t="s">
        <v>114</v>
      </c>
      <c r="C24" s="109" t="e">
        <f>VLOOKUP(Table257519913140106110151[[#This Row],[PEG]],Table1016[#All],2,FALSE)</f>
        <v>#N/A</v>
      </c>
      <c r="D24" s="117"/>
      <c r="E24" s="125" t="e">
        <f>VLOOKUP(Table257519913140106110151[[#This Row],[PEG]],Table1016[#All],3,FALSE)</f>
        <v>#N/A</v>
      </c>
    </row>
    <row r="25" spans="1:5" x14ac:dyDescent="0.35">
      <c r="A25" s="118">
        <v>18</v>
      </c>
      <c r="B25" s="114" t="s">
        <v>12</v>
      </c>
      <c r="C25" s="109" t="e">
        <f>VLOOKUP(Table257519913140106110151[[#This Row],[PEG]],Table1016[#All],2,FALSE)</f>
        <v>#N/A</v>
      </c>
      <c r="D25" s="117"/>
      <c r="E25" s="125" t="e">
        <f>VLOOKUP(Table257519913140106110151[[#This Row],[PEG]],Table1016[#All],3,FALSE)</f>
        <v>#N/A</v>
      </c>
    </row>
    <row r="26" spans="1:5" x14ac:dyDescent="0.35">
      <c r="A26" s="118">
        <v>19</v>
      </c>
      <c r="B26" s="114" t="s">
        <v>12</v>
      </c>
      <c r="C26" s="109" t="e">
        <f>VLOOKUP(Table257519913140106110151[[#This Row],[PEG]],Table1016[#All],2,FALSE)</f>
        <v>#N/A</v>
      </c>
      <c r="D26" s="117"/>
      <c r="E26" s="125" t="e">
        <f>VLOOKUP(Table257519913140106110151[[#This Row],[PEG]],Table1016[#All],3,FALSE)</f>
        <v>#N/A</v>
      </c>
    </row>
    <row r="27" spans="1:5" x14ac:dyDescent="0.35">
      <c r="A27" s="118">
        <v>20</v>
      </c>
      <c r="B27" s="114" t="s">
        <v>115</v>
      </c>
      <c r="C27" s="109" t="e">
        <f>VLOOKUP(Table257519913140106110151[[#This Row],[PEG]],Table1016[#All],2,FALSE)</f>
        <v>#N/A</v>
      </c>
      <c r="D27" s="117"/>
      <c r="E27" s="125" t="e">
        <f>VLOOKUP(Table257519913140106110151[[#This Row],[PEG]],Table1016[#All],3,FALSE)</f>
        <v>#N/A</v>
      </c>
    </row>
    <row r="28" spans="1:5" x14ac:dyDescent="0.35">
      <c r="A28" s="118">
        <v>21</v>
      </c>
      <c r="B28" s="114" t="s">
        <v>114</v>
      </c>
      <c r="C28" s="109" t="e">
        <f>VLOOKUP(Table257519913140106110151[[#This Row],[PEG]],Table1016[#All],2,FALSE)</f>
        <v>#N/A</v>
      </c>
      <c r="D28" s="117"/>
      <c r="E28" s="125" t="e">
        <f>VLOOKUP(Table257519913140106110151[[#This Row],[PEG]],Table1016[#All],3,FALSE)</f>
        <v>#N/A</v>
      </c>
    </row>
    <row r="29" spans="1:5" x14ac:dyDescent="0.35">
      <c r="A29" s="118">
        <v>22</v>
      </c>
      <c r="B29" s="114" t="s">
        <v>12</v>
      </c>
      <c r="C29" s="109" t="e">
        <f>VLOOKUP(Table257519913140106110151[[#This Row],[PEG]],Table1016[#All],2,FALSE)</f>
        <v>#N/A</v>
      </c>
      <c r="D29" s="117"/>
      <c r="E29" s="125" t="e">
        <f>VLOOKUP(Table257519913140106110151[[#This Row],[PEG]],Table1016[#All],3,FALSE)</f>
        <v>#N/A</v>
      </c>
    </row>
    <row r="30" spans="1:5" x14ac:dyDescent="0.35">
      <c r="A30" s="118">
        <v>23</v>
      </c>
      <c r="B30" s="114" t="s">
        <v>12</v>
      </c>
      <c r="C30" s="109" t="e">
        <f>VLOOKUP(Table257519913140106110151[[#This Row],[PEG]],Table1016[#All],2,FALSE)</f>
        <v>#N/A</v>
      </c>
      <c r="D30" s="117"/>
      <c r="E30" s="125" t="e">
        <f>VLOOKUP(Table257519913140106110151[[#This Row],[PEG]],Table1016[#All],3,FALSE)</f>
        <v>#N/A</v>
      </c>
    </row>
    <row r="31" spans="1:5" x14ac:dyDescent="0.35">
      <c r="A31" s="118">
        <v>24</v>
      </c>
      <c r="B31" s="114" t="s">
        <v>115</v>
      </c>
      <c r="C31" s="109" t="e">
        <f>VLOOKUP(Table257519913140106110151[[#This Row],[PEG]],Table1016[#All],2,FALSE)</f>
        <v>#N/A</v>
      </c>
      <c r="D31" s="117"/>
      <c r="E31" s="125" t="e">
        <f>VLOOKUP(Table257519913140106110151[[#This Row],[PEG]],Table1016[#All],3,FALSE)</f>
        <v>#N/A</v>
      </c>
    </row>
    <row r="32" spans="1:5" x14ac:dyDescent="0.35">
      <c r="A32" s="118">
        <v>25</v>
      </c>
      <c r="B32" s="114" t="s">
        <v>115</v>
      </c>
      <c r="C32" s="109" t="e">
        <f>VLOOKUP(Table257519913140106110151[[#This Row],[PEG]],Table1016[#All],2,FALSE)</f>
        <v>#N/A</v>
      </c>
      <c r="D32" s="117"/>
      <c r="E32" s="125" t="e">
        <f>VLOOKUP(Table257519913140106110151[[#This Row],[PEG]],Table1016[#All],3,FALSE)</f>
        <v>#N/A</v>
      </c>
    </row>
    <row r="33" spans="1:5" x14ac:dyDescent="0.35">
      <c r="A33" s="118">
        <v>26</v>
      </c>
      <c r="B33" s="114" t="s">
        <v>124</v>
      </c>
      <c r="C33" s="109" t="e">
        <f>VLOOKUP(Table257519913140106110151[[#This Row],[PEG]],Table1016[#All],2,FALSE)</f>
        <v>#N/A</v>
      </c>
      <c r="D33" s="117"/>
      <c r="E33" s="125" t="e">
        <f>VLOOKUP(Table257519913140106110151[[#This Row],[PEG]],Table1016[#All],3,FALSE)</f>
        <v>#N/A</v>
      </c>
    </row>
    <row r="34" spans="1:5" x14ac:dyDescent="0.35">
      <c r="A34" s="118">
        <v>27</v>
      </c>
      <c r="B34" s="114" t="s">
        <v>115</v>
      </c>
      <c r="C34" s="109" t="e">
        <f>VLOOKUP(Table257519913140106110151[[#This Row],[PEG]],Table1016[#All],2,FALSE)</f>
        <v>#N/A</v>
      </c>
      <c r="D34" s="117"/>
      <c r="E34" s="125" t="e">
        <f>VLOOKUP(Table257519913140106110151[[#This Row],[PEG]],Table1016[#All],3,FALSE)</f>
        <v>#N/A</v>
      </c>
    </row>
    <row r="35" spans="1:5" x14ac:dyDescent="0.35">
      <c r="A35" s="118">
        <v>28</v>
      </c>
      <c r="B35" s="114" t="s">
        <v>124</v>
      </c>
      <c r="C35" s="109" t="e">
        <f>VLOOKUP(Table257519913140106110151[[#This Row],[PEG]],Table1016[#All],2,FALSE)</f>
        <v>#N/A</v>
      </c>
      <c r="D35" s="117"/>
      <c r="E35" s="125" t="e">
        <f>VLOOKUP(Table257519913140106110151[[#This Row],[PEG]],Table1016[#All],3,FALSE)</f>
        <v>#N/A</v>
      </c>
    </row>
    <row r="36" spans="1:5" x14ac:dyDescent="0.35">
      <c r="A36" s="118">
        <v>29</v>
      </c>
      <c r="B36" s="114" t="s">
        <v>115</v>
      </c>
      <c r="C36" s="109" t="e">
        <f>VLOOKUP(Table257519913140106110151[[#This Row],[PEG]],Table1016[#All],2,FALSE)</f>
        <v>#N/A</v>
      </c>
      <c r="D36" s="117"/>
      <c r="E36" s="125" t="e">
        <f>VLOOKUP(Table257519913140106110151[[#This Row],[PEG]],Table1016[#All],3,FALSE)</f>
        <v>#N/A</v>
      </c>
    </row>
    <row r="37" spans="1:5" x14ac:dyDescent="0.35">
      <c r="A37" s="118">
        <v>30</v>
      </c>
      <c r="B37" s="114" t="s">
        <v>12</v>
      </c>
      <c r="C37" s="109" t="e">
        <f>VLOOKUP(Table257519913140106110151[[#This Row],[PEG]],Table1016[#All],2,FALSE)</f>
        <v>#N/A</v>
      </c>
      <c r="D37" s="117"/>
      <c r="E37" s="125" t="e">
        <f>VLOOKUP(Table257519913140106110151[[#This Row],[PEG]],Table1016[#All],3,FALSE)</f>
        <v>#N/A</v>
      </c>
    </row>
    <row r="38" spans="1:5" x14ac:dyDescent="0.35">
      <c r="A38" s="118">
        <v>31</v>
      </c>
      <c r="B38" s="114" t="s">
        <v>12</v>
      </c>
      <c r="C38" s="109" t="e">
        <f>VLOOKUP(Table257519913140106110151[[#This Row],[PEG]],Table1016[#All],2,FALSE)</f>
        <v>#N/A</v>
      </c>
      <c r="D38" s="117"/>
      <c r="E38" s="125" t="e">
        <f>VLOOKUP(Table257519913140106110151[[#This Row],[PEG]],Table1016[#All],3,FALSE)</f>
        <v>#N/A</v>
      </c>
    </row>
    <row r="39" spans="1:5" x14ac:dyDescent="0.35">
      <c r="A39" s="118">
        <v>32</v>
      </c>
      <c r="B39" s="114" t="s">
        <v>12</v>
      </c>
      <c r="C39" s="109" t="e">
        <f>VLOOKUP(Table257519913140106110151[[#This Row],[PEG]],Table1016[#All],2,FALSE)</f>
        <v>#N/A</v>
      </c>
      <c r="D39" s="117"/>
      <c r="E39" s="125" t="e">
        <f>VLOOKUP(Table257519913140106110151[[#This Row],[PEG]],Table1016[#All],3,FALSE)</f>
        <v>#N/A</v>
      </c>
    </row>
    <row r="40" spans="1:5" x14ac:dyDescent="0.35">
      <c r="A40" s="118">
        <v>33</v>
      </c>
      <c r="B40" s="114" t="s">
        <v>12</v>
      </c>
      <c r="C40" s="109" t="e">
        <f>VLOOKUP(Table257519913140106110151[[#This Row],[PEG]],Table1016[#All],2,FALSE)</f>
        <v>#N/A</v>
      </c>
      <c r="D40" s="117"/>
      <c r="E40" s="125" t="e">
        <f>VLOOKUP(Table257519913140106110151[[#This Row],[PEG]],Table1016[#All],3,FALSE)</f>
        <v>#N/A</v>
      </c>
    </row>
    <row r="41" spans="1:5" x14ac:dyDescent="0.35">
      <c r="A41" s="118">
        <v>34</v>
      </c>
      <c r="B41" s="114" t="s">
        <v>115</v>
      </c>
      <c r="C41" s="109" t="e">
        <f>VLOOKUP(Table257519913140106110151[[#This Row],[PEG]],Table1016[#All],2,FALSE)</f>
        <v>#N/A</v>
      </c>
      <c r="D41" s="117"/>
      <c r="E41" s="125" t="e">
        <f>VLOOKUP(Table257519913140106110151[[#This Row],[PEG]],Table1016[#All],3,FALSE)</f>
        <v>#N/A</v>
      </c>
    </row>
    <row r="42" spans="1:5" x14ac:dyDescent="0.35">
      <c r="A42" s="118">
        <v>35</v>
      </c>
      <c r="B42" s="114" t="s">
        <v>12</v>
      </c>
      <c r="C42" s="109" t="e">
        <f>VLOOKUP(Table257519913140106110151[[#This Row],[PEG]],Table1016[#All],2,FALSE)</f>
        <v>#N/A</v>
      </c>
      <c r="D42" s="115"/>
      <c r="E42" s="125" t="e">
        <f>VLOOKUP(Table257519913140106110151[[#This Row],[PEG]],Table1016[#All],3,FALSE)</f>
        <v>#N/A</v>
      </c>
    </row>
    <row r="43" spans="1:5" x14ac:dyDescent="0.35">
      <c r="A43" s="118">
        <v>36</v>
      </c>
      <c r="B43" s="114" t="s">
        <v>115</v>
      </c>
      <c r="C43" s="109" t="e">
        <f>VLOOKUP(Table257519913140106110151[[#This Row],[PEG]],Table1016[#All],2,FALSE)</f>
        <v>#N/A</v>
      </c>
      <c r="D43" s="115"/>
      <c r="E43" s="125" t="e">
        <f>VLOOKUP(Table257519913140106110151[[#This Row],[PEG]],Table1016[#All],3,FALSE)</f>
        <v>#N/A</v>
      </c>
    </row>
    <row r="44" spans="1:5" x14ac:dyDescent="0.35">
      <c r="A44" s="118">
        <v>37</v>
      </c>
      <c r="B44" s="114" t="s">
        <v>13</v>
      </c>
      <c r="C44" s="18" t="s">
        <v>13</v>
      </c>
      <c r="D44" s="115"/>
      <c r="E44" s="32"/>
    </row>
  </sheetData>
  <mergeCells count="1">
    <mergeCell ref="A1:B1"/>
  </mergeCells>
  <conditionalFormatting sqref="B8:B18">
    <cfRule type="containsText" dxfId="1913" priority="1" operator="containsText" text="Hear">
      <formula>NOT(ISERROR(SEARCH("Hear",B8)))</formula>
    </cfRule>
  </conditionalFormatting>
  <conditionalFormatting sqref="B30">
    <cfRule type="containsText" dxfId="1912" priority="4" operator="containsText" text="Hear">
      <formula>NOT(ISERROR(SEARCH("Hear",B30)))</formula>
    </cfRule>
  </conditionalFormatting>
  <conditionalFormatting sqref="B43:B44">
    <cfRule type="containsText" dxfId="1911" priority="8" operator="containsText" text="Hear">
      <formula>NOT(ISERROR(SEARCH("Hear",B43)))</formula>
    </cfRule>
  </conditionalFormatting>
  <conditionalFormatting sqref="E44">
    <cfRule type="containsText" dxfId="1910" priority="6" operator="containsText" text="WEB SERVICE">
      <formula>NOT(ISERROR(SEARCH("WEB SERVICE",E44)))</formula>
    </cfRule>
    <cfRule type="containsText" dxfId="1909" priority="7" operator="containsText" text="DB">
      <formula>NOT(ISERROR(SEARCH("DB",E44)))</formula>
    </cfRule>
  </conditionalFormatting>
  <conditionalFormatting sqref="C44">
    <cfRule type="expression" dxfId="1908" priority="9">
      <formula>$B44="Dial"</formula>
    </cfRule>
    <cfRule type="expression" dxfId="1907" priority="11">
      <formula>$B44="HANGUP"</formula>
    </cfRule>
  </conditionalFormatting>
  <conditionalFormatting sqref="C44">
    <cfRule type="expression" dxfId="1906" priority="10">
      <formula>$B44="Speak"</formula>
    </cfRule>
  </conditionalFormatting>
  <conditionalFormatting sqref="B36:B38 B40:B41">
    <cfRule type="containsText" dxfId="1905" priority="3" operator="containsText" text="Hear">
      <formula>NOT(ISERROR(SEARCH("Hear",B36)))</formula>
    </cfRule>
  </conditionalFormatting>
  <conditionalFormatting sqref="B19:B29 B31:B35 B42">
    <cfRule type="containsText" dxfId="1904" priority="5" operator="containsText" text="Hear">
      <formula>NOT(ISERROR(SEARCH("Hear",B19)))</formula>
    </cfRule>
  </conditionalFormatting>
  <hyperlinks>
    <hyperlink ref="A1" location="'Test Case Overview'!A1" display="Return to Test Case Overview" xr:uid="{6D739D4E-9469-49BF-94FB-92142A05E4B8}"/>
  </hyperlinks>
  <pageMargins left="0.7" right="0.7" top="0.75" bottom="0.75" header="0.3" footer="0.3"/>
  <pageSetup orientation="portrait" verticalDpi="0" r:id="rId1"/>
  <tableParts count="1">
    <tablePart r:id="rId2"/>
  </tableParts>
  <extLst>
    <ext xmlns:x14="http://schemas.microsoft.com/office/spreadsheetml/2009/9/main" uri="{78C0D931-6437-407d-A8EE-F0AAD7539E65}">
      <x14:conditionalFormattings>
        <x14:conditionalFormatting xmlns:xm="http://schemas.microsoft.com/office/excel/2006/main">
          <x14:cfRule type="expression" priority="12" id="{BE1701B2-D98C-470B-B8AD-7FAE4910D26D}">
            <xm:f>'TC1'!$B8="Speak"</xm:f>
            <x14:dxf>
              <font>
                <b/>
                <i val="0"/>
                <color rgb="FFFF0000"/>
              </font>
            </x14:dxf>
          </x14:cfRule>
          <xm:sqref>C8</xm:sqref>
        </x14:conditionalFormatting>
        <x14:conditionalFormatting xmlns:xm="http://schemas.microsoft.com/office/excel/2006/main">
          <x14:cfRule type="containsText" priority="15" operator="containsText" text="Hear" id="{8C187051-989E-46B0-977F-A58B704894FC}">
            <xm:f>NOT(ISERROR(SEARCH("Hear",'TC3'!B34)))</xm:f>
            <x14:dxf>
              <font>
                <color theme="9" tint="-0.24994659260841701"/>
              </font>
              <fill>
                <patternFill>
                  <bgColor theme="9" tint="0.59996337778862885"/>
                </patternFill>
              </fill>
            </x14:dxf>
          </x14:cfRule>
          <xm:sqref>B41</xm:sqref>
        </x14:conditionalFormatting>
        <x14:conditionalFormatting xmlns:xm="http://schemas.microsoft.com/office/excel/2006/main">
          <x14:cfRule type="expression" priority="16" id="{E20455EF-CB34-4215-90F6-50613FC15E63}">
            <xm:f>'TC1'!$B8="Dial"</xm:f>
            <x14:dxf>
              <font>
                <b/>
                <i val="0"/>
                <color rgb="FFFF0000"/>
              </font>
            </x14:dxf>
          </x14:cfRule>
          <x14:cfRule type="expression" priority="16" id="{DD8363F2-9011-456A-8D20-74E61BE088D2}">
            <xm:f>'TC1'!$B8="HANGUP"</xm:f>
            <x14:dxf>
              <font>
                <b/>
                <i val="0"/>
              </font>
            </x14:dxf>
          </x14:cfRule>
          <xm:sqref>C8</xm:sqref>
        </x14:conditionalFormatting>
        <x14:conditionalFormatting xmlns:xm="http://schemas.microsoft.com/office/excel/2006/main">
          <x14:cfRule type="expression" priority="2702" id="{BE1701B2-D98C-470B-B8AD-7FAE4910D26D}">
            <xm:f>'TC1'!$B16="Speak"</xm:f>
            <x14:dxf>
              <font>
                <b/>
                <i val="0"/>
                <color rgb="FFFF0000"/>
              </font>
            </x14:dxf>
          </x14:cfRule>
          <xm:sqref>C34:C43</xm:sqref>
        </x14:conditionalFormatting>
        <x14:conditionalFormatting xmlns:xm="http://schemas.microsoft.com/office/excel/2006/main">
          <x14:cfRule type="expression" priority="2703" id="{BE1701B2-D98C-470B-B8AD-7FAE4910D26D}">
            <xm:f>'TC1'!#REF!="Speak"</xm:f>
            <x14:dxf>
              <font>
                <b/>
                <i val="0"/>
                <color rgb="FFFF0000"/>
              </font>
            </x14:dxf>
          </x14:cfRule>
          <xm:sqref>C17:C33</xm:sqref>
        </x14:conditionalFormatting>
        <x14:conditionalFormatting xmlns:xm="http://schemas.microsoft.com/office/excel/2006/main">
          <x14:cfRule type="containsText" priority="2707" operator="containsText" text="WEB SERVICE" id="{4D3563A4-C889-4EA3-8457-3FA1EBB1DB93}">
            <xm:f>NOT(ISERROR(SEARCH("WEB SERVICE",'TC1'!E16)))</xm:f>
            <x14:dxf>
              <font>
                <color rgb="FF9C0006"/>
              </font>
              <fill>
                <patternFill>
                  <bgColor rgb="FFFFC7CE"/>
                </patternFill>
              </fill>
            </x14:dxf>
          </x14:cfRule>
          <x14:cfRule type="containsText" priority="2708" operator="containsText" text="DB" id="{13C23D49-50F8-40BF-9FA6-0DB9ADAC53AB}">
            <xm:f>NOT(ISERROR(SEARCH("DB",'TC1'!E16)))</xm:f>
            <x14:dxf>
              <font>
                <color rgb="FF006100"/>
              </font>
              <fill>
                <patternFill>
                  <bgColor rgb="FFC6EFCE"/>
                </patternFill>
              </fill>
            </x14:dxf>
          </x14:cfRule>
          <xm:sqref>E34:E43</xm:sqref>
        </x14:conditionalFormatting>
        <x14:conditionalFormatting xmlns:xm="http://schemas.microsoft.com/office/excel/2006/main">
          <x14:cfRule type="containsText" priority="2709" operator="containsText" text="WEB SERVICE" id="{4D3563A4-C889-4EA3-8457-3FA1EBB1DB93}">
            <xm:f>NOT(ISERROR(SEARCH("WEB SERVICE",'TC1'!#REF!)))</xm:f>
            <x14:dxf>
              <font>
                <color rgb="FF9C0006"/>
              </font>
              <fill>
                <patternFill>
                  <bgColor rgb="FFFFC7CE"/>
                </patternFill>
              </fill>
            </x14:dxf>
          </x14:cfRule>
          <x14:cfRule type="containsText" priority="2710" operator="containsText" text="DB" id="{13C23D49-50F8-40BF-9FA6-0DB9ADAC53AB}">
            <xm:f>NOT(ISERROR(SEARCH("DB",'TC1'!#REF!)))</xm:f>
            <x14:dxf>
              <font>
                <color rgb="FF006100"/>
              </font>
              <fill>
                <patternFill>
                  <bgColor rgb="FFC6EFCE"/>
                </patternFill>
              </fill>
            </x14:dxf>
          </x14:cfRule>
          <xm:sqref>E17:E33</xm:sqref>
        </x14:conditionalFormatting>
        <x14:conditionalFormatting xmlns:xm="http://schemas.microsoft.com/office/excel/2006/main">
          <x14:cfRule type="expression" priority="2715" id="{E20455EF-CB34-4215-90F6-50613FC15E63}">
            <xm:f>'TC1'!$B16="Dial"</xm:f>
            <x14:dxf>
              <font>
                <b/>
                <i val="0"/>
                <color rgb="FFFF0000"/>
              </font>
            </x14:dxf>
          </x14:cfRule>
          <x14:cfRule type="expression" priority="2716" id="{DD8363F2-9011-456A-8D20-74E61BE088D2}">
            <xm:f>'TC1'!$B16="HANGUP"</xm:f>
            <x14:dxf>
              <font>
                <b/>
                <i val="0"/>
              </font>
            </x14:dxf>
          </x14:cfRule>
          <xm:sqref>C34:C43</xm:sqref>
        </x14:conditionalFormatting>
        <x14:conditionalFormatting xmlns:xm="http://schemas.microsoft.com/office/excel/2006/main">
          <x14:cfRule type="expression" priority="2717" id="{E20455EF-CB34-4215-90F6-50613FC15E63}">
            <xm:f>'TC1'!#REF!="Dial"</xm:f>
            <x14:dxf>
              <font>
                <b/>
                <i val="0"/>
                <color rgb="FFFF0000"/>
              </font>
            </x14:dxf>
          </x14:cfRule>
          <x14:cfRule type="expression" priority="2718" id="{DD8363F2-9011-456A-8D20-74E61BE088D2}">
            <xm:f>'TC1'!#REF!="HANGUP"</xm:f>
            <x14:dxf>
              <font>
                <b/>
                <i val="0"/>
              </font>
            </x14:dxf>
          </x14:cfRule>
          <xm:sqref>C17:C33</xm:sqref>
        </x14:conditionalFormatting>
        <x14:conditionalFormatting xmlns:xm="http://schemas.microsoft.com/office/excel/2006/main">
          <x14:cfRule type="expression" priority="5370" id="{BE1701B2-D98C-470B-B8AD-7FAE4910D26D}">
            <xm:f>'TC1'!$B9="Speak"</xm:f>
            <x14:dxf>
              <font>
                <b/>
                <i val="0"/>
                <color rgb="FFFF0000"/>
              </font>
            </x14:dxf>
          </x14:cfRule>
          <xm:sqref>C12:C15</xm:sqref>
        </x14:conditionalFormatting>
        <x14:conditionalFormatting xmlns:xm="http://schemas.microsoft.com/office/excel/2006/main">
          <x14:cfRule type="expression" priority="5371" id="{BE1701B2-D98C-470B-B8AD-7FAE4910D26D}">
            <xm:f>'TC1'!#REF!="Speak"</xm:f>
            <x14:dxf>
              <font>
                <b/>
                <i val="0"/>
                <color rgb="FFFF0000"/>
              </font>
            </x14:dxf>
          </x14:cfRule>
          <xm:sqref>C9:C11</xm:sqref>
        </x14:conditionalFormatting>
        <x14:conditionalFormatting xmlns:xm="http://schemas.microsoft.com/office/excel/2006/main">
          <x14:cfRule type="containsText" priority="5373" operator="containsText" text="WEB SERVICE" id="{4D3563A4-C889-4EA3-8457-3FA1EBB1DB93}">
            <xm:f>NOT(ISERROR(SEARCH("WEB SERVICE",'TC1'!#REF!)))</xm:f>
            <x14:dxf>
              <font>
                <color rgb="FF9C0006"/>
              </font>
              <fill>
                <patternFill>
                  <bgColor rgb="FFFFC7CE"/>
                </patternFill>
              </fill>
            </x14:dxf>
          </x14:cfRule>
          <x14:cfRule type="containsText" priority="5374" operator="containsText" text="DB" id="{13C23D49-50F8-40BF-9FA6-0DB9ADAC53AB}">
            <xm:f>NOT(ISERROR(SEARCH("DB",'TC1'!#REF!)))</xm:f>
            <x14:dxf>
              <font>
                <color rgb="FF006100"/>
              </font>
              <fill>
                <patternFill>
                  <bgColor rgb="FFC6EFCE"/>
                </patternFill>
              </fill>
            </x14:dxf>
          </x14:cfRule>
          <xm:sqref>E9:E11</xm:sqref>
        </x14:conditionalFormatting>
        <x14:conditionalFormatting xmlns:xm="http://schemas.microsoft.com/office/excel/2006/main">
          <x14:cfRule type="containsText" priority="5375" operator="containsText" text="WEB SERVICE" id="{4D3563A4-C889-4EA3-8457-3FA1EBB1DB93}">
            <xm:f>NOT(ISERROR(SEARCH("WEB SERVICE",'TC1'!E9)))</xm:f>
            <x14:dxf>
              <font>
                <color rgb="FF9C0006"/>
              </font>
              <fill>
                <patternFill>
                  <bgColor rgb="FFFFC7CE"/>
                </patternFill>
              </fill>
            </x14:dxf>
          </x14:cfRule>
          <x14:cfRule type="containsText" priority="5376" operator="containsText" text="DB" id="{13C23D49-50F8-40BF-9FA6-0DB9ADAC53AB}">
            <xm:f>NOT(ISERROR(SEARCH("DB",'TC1'!E9)))</xm:f>
            <x14:dxf>
              <font>
                <color rgb="FF006100"/>
              </font>
              <fill>
                <patternFill>
                  <bgColor rgb="FFC6EFCE"/>
                </patternFill>
              </fill>
            </x14:dxf>
          </x14:cfRule>
          <xm:sqref>E12:E15</xm:sqref>
        </x14:conditionalFormatting>
        <x14:conditionalFormatting xmlns:xm="http://schemas.microsoft.com/office/excel/2006/main">
          <x14:cfRule type="expression" priority="5381" id="{E20455EF-CB34-4215-90F6-50613FC15E63}">
            <xm:f>'TC1'!$B9="Dial"</xm:f>
            <x14:dxf>
              <font>
                <b/>
                <i val="0"/>
                <color rgb="FFFF0000"/>
              </font>
            </x14:dxf>
          </x14:cfRule>
          <x14:cfRule type="expression" priority="5382" id="{DD8363F2-9011-456A-8D20-74E61BE088D2}">
            <xm:f>'TC1'!$B9="HANGUP"</xm:f>
            <x14:dxf>
              <font>
                <b/>
                <i val="0"/>
              </font>
            </x14:dxf>
          </x14:cfRule>
          <xm:sqref>C12:C15</xm:sqref>
        </x14:conditionalFormatting>
        <x14:conditionalFormatting xmlns:xm="http://schemas.microsoft.com/office/excel/2006/main">
          <x14:cfRule type="expression" priority="5383" id="{E20455EF-CB34-4215-90F6-50613FC15E63}">
            <xm:f>'TC1'!#REF!="Dial"</xm:f>
            <x14:dxf>
              <font>
                <b/>
                <i val="0"/>
                <color rgb="FFFF0000"/>
              </font>
            </x14:dxf>
          </x14:cfRule>
          <x14:cfRule type="expression" priority="5384" id="{DD8363F2-9011-456A-8D20-74E61BE088D2}">
            <xm:f>'TC1'!#REF!="HANGUP"</xm:f>
            <x14:dxf>
              <font>
                <b/>
                <i val="0"/>
              </font>
            </x14:dxf>
          </x14:cfRule>
          <xm:sqref>C9:C11</xm:sqref>
        </x14:conditionalFormatting>
        <x14:conditionalFormatting xmlns:xm="http://schemas.microsoft.com/office/excel/2006/main">
          <x14:cfRule type="expression" priority="7654" id="{BE1701B2-D98C-470B-B8AD-7FAE4910D26D}">
            <xm:f>'TC1'!$B15="Speak"</xm:f>
            <x14:dxf>
              <font>
                <b/>
                <i val="0"/>
                <color rgb="FFFF0000"/>
              </font>
            </x14:dxf>
          </x14:cfRule>
          <xm:sqref>C16</xm:sqref>
        </x14:conditionalFormatting>
        <x14:conditionalFormatting xmlns:xm="http://schemas.microsoft.com/office/excel/2006/main">
          <x14:cfRule type="containsText" priority="7657" operator="containsText" text="WEB SERVICE" id="{4D3563A4-C889-4EA3-8457-3FA1EBB1DB93}">
            <xm:f>NOT(ISERROR(SEARCH("WEB SERVICE",'TC1'!E15)))</xm:f>
            <x14:dxf>
              <font>
                <color rgb="FF9C0006"/>
              </font>
              <fill>
                <patternFill>
                  <bgColor rgb="FFFFC7CE"/>
                </patternFill>
              </fill>
            </x14:dxf>
          </x14:cfRule>
          <x14:cfRule type="containsText" priority="7658" operator="containsText" text="DB" id="{13C23D49-50F8-40BF-9FA6-0DB9ADAC53AB}">
            <xm:f>NOT(ISERROR(SEARCH("DB",'TC1'!E15)))</xm:f>
            <x14:dxf>
              <font>
                <color rgb="FF006100"/>
              </font>
              <fill>
                <patternFill>
                  <bgColor rgb="FFC6EFCE"/>
                </patternFill>
              </fill>
            </x14:dxf>
          </x14:cfRule>
          <xm:sqref>E16</xm:sqref>
        </x14:conditionalFormatting>
        <x14:conditionalFormatting xmlns:xm="http://schemas.microsoft.com/office/excel/2006/main">
          <x14:cfRule type="expression" priority="7661" id="{E20455EF-CB34-4215-90F6-50613FC15E63}">
            <xm:f>'TC1'!$B15="Dial"</xm:f>
            <x14:dxf>
              <font>
                <b/>
                <i val="0"/>
                <color rgb="FFFF0000"/>
              </font>
            </x14:dxf>
          </x14:cfRule>
          <x14:cfRule type="expression" priority="7662" id="{DD8363F2-9011-456A-8D20-74E61BE088D2}">
            <xm:f>'TC1'!$B15="HANGUP"</xm:f>
            <x14:dxf>
              <font>
                <b/>
                <i val="0"/>
              </font>
            </x14:dxf>
          </x14:cfRule>
          <xm:sqref>C16</xm:sqref>
        </x14:conditionalFormatting>
        <x14:conditionalFormatting xmlns:xm="http://schemas.microsoft.com/office/excel/2006/main">
          <x14:cfRule type="containsText" priority="10272" operator="containsText" text="Hear" id="{63F64EE6-9E7F-44B3-81DB-8050E84472F9}">
            <xm:f>NOT(ISERROR(SEARCH("Hear",'TC26'!#REF!)))</xm:f>
            <x14:dxf>
              <font>
                <color theme="9" tint="-0.24994659260841701"/>
              </font>
              <fill>
                <patternFill>
                  <bgColor theme="9" tint="0.59996337778862885"/>
                </patternFill>
              </fill>
            </x14:dxf>
          </x14:cfRule>
          <xm:sqref>B39</xm:sqref>
        </x14:conditionalFormatting>
      </x14:conditionalFormattings>
    </ext>
  </extLst>
</worksheet>
</file>

<file path=xl/worksheets/sheet1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B00-000000000000}">
  <sheetPr codeName="Sheet125"/>
  <dimension ref="A1:E44"/>
  <sheetViews>
    <sheetView zoomScaleNormal="100" workbookViewId="0">
      <selection sqref="A1:E44"/>
    </sheetView>
  </sheetViews>
  <sheetFormatPr defaultRowHeight="14.5" x14ac:dyDescent="0.35"/>
  <cols>
    <col min="1" max="1" width="14.453125" bestFit="1" customWidth="1"/>
    <col min="2" max="2" width="42.6328125" customWidth="1"/>
    <col min="3" max="3" width="106.1796875" customWidth="1"/>
    <col min="4" max="4" width="21.81640625" bestFit="1" customWidth="1"/>
    <col min="5" max="5" width="20.6328125" customWidth="1"/>
  </cols>
  <sheetData>
    <row r="1" spans="1:5" ht="18.5" x14ac:dyDescent="0.35">
      <c r="A1" s="192" t="s">
        <v>4</v>
      </c>
      <c r="B1" s="192"/>
      <c r="C1" s="105"/>
      <c r="D1" s="111"/>
      <c r="E1" s="97"/>
    </row>
    <row r="2" spans="1:5" x14ac:dyDescent="0.35">
      <c r="A2" s="106" t="s">
        <v>5</v>
      </c>
      <c r="B2" s="107" t="str">
        <f ca="1">MID(CELL("filename",A1),FIND("]",CELL("filename",A1))+1,LEN(CELL("filename",A1))-FIND("]",CELL("filename",A1)))</f>
        <v>TC123</v>
      </c>
      <c r="C2" s="98"/>
      <c r="D2" s="111"/>
      <c r="E2" s="97"/>
    </row>
    <row r="3" spans="1:5" x14ac:dyDescent="0.35">
      <c r="A3" s="104" t="s">
        <v>19</v>
      </c>
      <c r="B3" s="112">
        <f ca="1">VLOOKUP(B2,Table53[#All],2,FALSE)</f>
        <v>0</v>
      </c>
      <c r="C3" s="98"/>
      <c r="D3" s="111"/>
      <c r="E3" s="97"/>
    </row>
    <row r="4" spans="1:5" ht="29" x14ac:dyDescent="0.35">
      <c r="A4" s="113" t="s">
        <v>20</v>
      </c>
      <c r="B4" s="99">
        <f ca="1">VLOOKUP(B2,Table53[#All],4,FALSE)</f>
        <v>0</v>
      </c>
      <c r="C4" s="98"/>
      <c r="D4" s="111"/>
      <c r="E4" s="97"/>
    </row>
    <row r="5" spans="1:5" x14ac:dyDescent="0.35">
      <c r="A5" s="104" t="s">
        <v>6</v>
      </c>
      <c r="B5" s="77">
        <f ca="1">VLOOKUP(B2,Table53[#All],3,FALSE)</f>
        <v>0</v>
      </c>
      <c r="C5" s="98"/>
      <c r="D5" s="111"/>
      <c r="E5" s="97"/>
    </row>
    <row r="6" spans="1:5" x14ac:dyDescent="0.35">
      <c r="A6" s="97"/>
      <c r="B6" s="97"/>
      <c r="C6" s="98"/>
      <c r="D6" s="111"/>
      <c r="E6" s="97"/>
    </row>
    <row r="7" spans="1:5" ht="15.5" x14ac:dyDescent="0.35">
      <c r="A7" s="100" t="s">
        <v>7</v>
      </c>
      <c r="B7" s="101" t="s">
        <v>8</v>
      </c>
      <c r="C7" s="102" t="s">
        <v>9</v>
      </c>
      <c r="D7" s="102" t="s">
        <v>14</v>
      </c>
      <c r="E7" s="103" t="s">
        <v>10</v>
      </c>
    </row>
    <row r="8" spans="1:5" x14ac:dyDescent="0.35">
      <c r="A8" s="118">
        <v>1</v>
      </c>
      <c r="B8" s="114" t="s">
        <v>114</v>
      </c>
      <c r="C8" s="109" t="s">
        <v>125</v>
      </c>
      <c r="D8" s="128"/>
      <c r="E8" s="125" t="s">
        <v>11</v>
      </c>
    </row>
    <row r="9" spans="1:5" x14ac:dyDescent="0.35">
      <c r="A9" s="118">
        <v>2</v>
      </c>
      <c r="B9" s="114" t="s">
        <v>12</v>
      </c>
      <c r="C9" s="109" t="e">
        <f>VLOOKUP(Table257519913140106110151153[[#This Row],[PEG]],Table1016[#All],2,FALSE)</f>
        <v>#N/A</v>
      </c>
      <c r="D9" s="128"/>
      <c r="E9" s="125" t="e">
        <f>VLOOKUP(Table257519913140106110151153[[#This Row],[PEG]],Table1016[#All],3,FALSE)</f>
        <v>#N/A</v>
      </c>
    </row>
    <row r="10" spans="1:5" x14ac:dyDescent="0.35">
      <c r="A10" s="118">
        <v>3</v>
      </c>
      <c r="B10" s="114" t="s">
        <v>115</v>
      </c>
      <c r="C10" s="109" t="e">
        <f>VLOOKUP(Table257519913140106110151153[[#This Row],[PEG]],Table1016[#All],2,FALSE)</f>
        <v>#N/A</v>
      </c>
      <c r="D10" s="128"/>
      <c r="E10" s="125" t="e">
        <f>VLOOKUP(Table257519913140106110151153[[#This Row],[PEG]],Table1016[#All],3,FALSE)</f>
        <v>#N/A</v>
      </c>
    </row>
    <row r="11" spans="1:5" x14ac:dyDescent="0.35">
      <c r="A11" s="118">
        <v>4</v>
      </c>
      <c r="B11" s="114" t="s">
        <v>115</v>
      </c>
      <c r="C11" s="109" t="e">
        <f>VLOOKUP(Table257519913140106110151153[[#This Row],[PEG]],Table1016[#All],2,FALSE)</f>
        <v>#N/A</v>
      </c>
      <c r="D11" s="128"/>
      <c r="E11" s="125" t="e">
        <f>VLOOKUP(Table257519913140106110151153[[#This Row],[PEG]],Table1016[#All],3,FALSE)</f>
        <v>#N/A</v>
      </c>
    </row>
    <row r="12" spans="1:5" x14ac:dyDescent="0.35">
      <c r="A12" s="118">
        <v>5</v>
      </c>
      <c r="B12" s="114" t="s">
        <v>114</v>
      </c>
      <c r="C12" s="109" t="e">
        <f>VLOOKUP(Table257519913140106110151153[[#This Row],[PEG]],Table1016[#All],2,FALSE)</f>
        <v>#N/A</v>
      </c>
      <c r="D12" s="128"/>
      <c r="E12" s="125" t="e">
        <f>VLOOKUP(Table257519913140106110151153[[#This Row],[PEG]],Table1016[#All],3,FALSE)</f>
        <v>#N/A</v>
      </c>
    </row>
    <row r="13" spans="1:5" x14ac:dyDescent="0.35">
      <c r="A13" s="118">
        <v>6</v>
      </c>
      <c r="B13" s="114" t="s">
        <v>115</v>
      </c>
      <c r="C13" s="109" t="e">
        <f>VLOOKUP(Table257519913140106110151153[[#This Row],[PEG]],Table1016[#All],2,FALSE)</f>
        <v>#N/A</v>
      </c>
      <c r="D13" s="128"/>
      <c r="E13" s="125" t="e">
        <f>VLOOKUP(Table257519913140106110151153[[#This Row],[PEG]],Table1016[#All],3,FALSE)</f>
        <v>#N/A</v>
      </c>
    </row>
    <row r="14" spans="1:5" x14ac:dyDescent="0.35">
      <c r="A14" s="118">
        <v>7</v>
      </c>
      <c r="B14" s="114" t="s">
        <v>114</v>
      </c>
      <c r="C14" s="109" t="e">
        <f>VLOOKUP(Table257519913140106110151153[[#This Row],[PEG]],Table1016[#All],2,FALSE)</f>
        <v>#N/A</v>
      </c>
      <c r="D14" s="128"/>
      <c r="E14" s="125" t="e">
        <f>VLOOKUP(Table257519913140106110151153[[#This Row],[PEG]],Table1016[#All],3,FALSE)</f>
        <v>#N/A</v>
      </c>
    </row>
    <row r="15" spans="1:5" x14ac:dyDescent="0.35">
      <c r="A15" s="118">
        <v>8</v>
      </c>
      <c r="B15" s="114" t="s">
        <v>115</v>
      </c>
      <c r="C15" s="109" t="e">
        <f>VLOOKUP(Table257519913140106110151153[[#This Row],[PEG]],Table1016[#All],2,FALSE)</f>
        <v>#N/A</v>
      </c>
      <c r="D15" s="116"/>
      <c r="E15" s="125" t="e">
        <f>VLOOKUP(Table257519913140106110151153[[#This Row],[PEG]],Table1016[#All],3,FALSE)</f>
        <v>#N/A</v>
      </c>
    </row>
    <row r="16" spans="1:5" x14ac:dyDescent="0.35">
      <c r="A16" s="118">
        <v>9</v>
      </c>
      <c r="B16" s="114" t="s">
        <v>12</v>
      </c>
      <c r="C16" s="109" t="e">
        <f>VLOOKUP(Table257519913140106110151153[[#This Row],[PEG]],Table1016[#All],2,FALSE)</f>
        <v>#N/A</v>
      </c>
      <c r="D16" s="116"/>
      <c r="E16" s="125" t="e">
        <f>VLOOKUP(Table257519913140106110151153[[#This Row],[PEG]],Table1016[#All],3,FALSE)</f>
        <v>#N/A</v>
      </c>
    </row>
    <row r="17" spans="1:5" x14ac:dyDescent="0.35">
      <c r="A17" s="118">
        <v>10</v>
      </c>
      <c r="B17" s="114" t="s">
        <v>12</v>
      </c>
      <c r="C17" s="109" t="e">
        <f>VLOOKUP(Table257519913140106110151153[[#This Row],[PEG]],Table1016[#All],2,FALSE)</f>
        <v>#N/A</v>
      </c>
      <c r="D17" s="117"/>
      <c r="E17" s="125" t="e">
        <f>VLOOKUP(Table257519913140106110151153[[#This Row],[PEG]],Table1016[#All],3,FALSE)</f>
        <v>#N/A</v>
      </c>
    </row>
    <row r="18" spans="1:5" x14ac:dyDescent="0.35">
      <c r="A18" s="118">
        <v>11</v>
      </c>
      <c r="B18" s="114" t="s">
        <v>115</v>
      </c>
      <c r="C18" s="109" t="e">
        <f>VLOOKUP(Table257519913140106110151153[[#This Row],[PEG]],Table1016[#All],2,FALSE)</f>
        <v>#N/A</v>
      </c>
      <c r="D18" s="117"/>
      <c r="E18" s="125" t="e">
        <f>VLOOKUP(Table257519913140106110151153[[#This Row],[PEG]],Table1016[#All],3,FALSE)</f>
        <v>#N/A</v>
      </c>
    </row>
    <row r="19" spans="1:5" x14ac:dyDescent="0.35">
      <c r="A19" s="118">
        <v>12</v>
      </c>
      <c r="B19" s="114" t="s">
        <v>115</v>
      </c>
      <c r="C19" s="109" t="e">
        <f>VLOOKUP(Table257519913140106110151153[[#This Row],[PEG]],Table1016[#All],2,FALSE)</f>
        <v>#N/A</v>
      </c>
      <c r="D19" s="117"/>
      <c r="E19" s="125" t="e">
        <f>VLOOKUP(Table257519913140106110151153[[#This Row],[PEG]],Table1016[#All],3,FALSE)</f>
        <v>#N/A</v>
      </c>
    </row>
    <row r="20" spans="1:5" x14ac:dyDescent="0.35">
      <c r="A20" s="118">
        <v>13</v>
      </c>
      <c r="B20" s="114" t="s">
        <v>114</v>
      </c>
      <c r="C20" s="109" t="e">
        <f>VLOOKUP(Table257519913140106110151153[[#This Row],[PEG]],Table1016[#All],2,FALSE)</f>
        <v>#N/A</v>
      </c>
      <c r="D20" s="117"/>
      <c r="E20" s="125" t="e">
        <f>VLOOKUP(Table257519913140106110151153[[#This Row],[PEG]],Table1016[#All],3,FALSE)</f>
        <v>#N/A</v>
      </c>
    </row>
    <row r="21" spans="1:5" x14ac:dyDescent="0.35">
      <c r="A21" s="118">
        <v>14</v>
      </c>
      <c r="B21" s="114" t="s">
        <v>12</v>
      </c>
      <c r="C21" s="109" t="e">
        <f>VLOOKUP(Table257519913140106110151153[[#This Row],[PEG]],Table1016[#All],2,FALSE)</f>
        <v>#N/A</v>
      </c>
      <c r="D21" s="117"/>
      <c r="E21" s="125" t="e">
        <f>VLOOKUP(Table257519913140106110151153[[#This Row],[PEG]],Table1016[#All],3,FALSE)</f>
        <v>#N/A</v>
      </c>
    </row>
    <row r="22" spans="1:5" x14ac:dyDescent="0.35">
      <c r="A22" s="118">
        <v>15</v>
      </c>
      <c r="B22" s="114" t="s">
        <v>12</v>
      </c>
      <c r="C22" s="109" t="e">
        <f>VLOOKUP(Table257519913140106110151153[[#This Row],[PEG]],Table1016[#All],2,FALSE)</f>
        <v>#N/A</v>
      </c>
      <c r="D22" s="117"/>
      <c r="E22" s="125" t="e">
        <f>VLOOKUP(Table257519913140106110151153[[#This Row],[PEG]],Table1016[#All],3,FALSE)</f>
        <v>#N/A</v>
      </c>
    </row>
    <row r="23" spans="1:5" x14ac:dyDescent="0.35">
      <c r="A23" s="118">
        <v>16</v>
      </c>
      <c r="B23" s="114" t="s">
        <v>115</v>
      </c>
      <c r="C23" s="109" t="e">
        <f>VLOOKUP(Table257519913140106110151153[[#This Row],[PEG]],Table1016[#All],2,FALSE)</f>
        <v>#N/A</v>
      </c>
      <c r="D23" s="117"/>
      <c r="E23" s="125" t="e">
        <f>VLOOKUP(Table257519913140106110151153[[#This Row],[PEG]],Table1016[#All],3,FALSE)</f>
        <v>#N/A</v>
      </c>
    </row>
    <row r="24" spans="1:5" x14ac:dyDescent="0.35">
      <c r="A24" s="118">
        <v>17</v>
      </c>
      <c r="B24" s="114" t="s">
        <v>114</v>
      </c>
      <c r="C24" s="109" t="e">
        <f>VLOOKUP(Table257519913140106110151153[[#This Row],[PEG]],Table1016[#All],2,FALSE)</f>
        <v>#N/A</v>
      </c>
      <c r="D24" s="117"/>
      <c r="E24" s="125" t="e">
        <f>VLOOKUP(Table257519913140106110151153[[#This Row],[PEG]],Table1016[#All],3,FALSE)</f>
        <v>#N/A</v>
      </c>
    </row>
    <row r="25" spans="1:5" x14ac:dyDescent="0.35">
      <c r="A25" s="118">
        <v>18</v>
      </c>
      <c r="B25" s="114" t="s">
        <v>12</v>
      </c>
      <c r="C25" s="109" t="e">
        <f>VLOOKUP(Table257519913140106110151153[[#This Row],[PEG]],Table1016[#All],2,FALSE)</f>
        <v>#N/A</v>
      </c>
      <c r="D25" s="117"/>
      <c r="E25" s="125" t="e">
        <f>VLOOKUP(Table257519913140106110151153[[#This Row],[PEG]],Table1016[#All],3,FALSE)</f>
        <v>#N/A</v>
      </c>
    </row>
    <row r="26" spans="1:5" x14ac:dyDescent="0.35">
      <c r="A26" s="118">
        <v>19</v>
      </c>
      <c r="B26" s="114" t="s">
        <v>12</v>
      </c>
      <c r="C26" s="109" t="e">
        <f>VLOOKUP(Table257519913140106110151153[[#This Row],[PEG]],Table1016[#All],2,FALSE)</f>
        <v>#N/A</v>
      </c>
      <c r="D26" s="117"/>
      <c r="E26" s="125" t="e">
        <f>VLOOKUP(Table257519913140106110151153[[#This Row],[PEG]],Table1016[#All],3,FALSE)</f>
        <v>#N/A</v>
      </c>
    </row>
    <row r="27" spans="1:5" x14ac:dyDescent="0.35">
      <c r="A27" s="118">
        <v>20</v>
      </c>
      <c r="B27" s="114" t="s">
        <v>115</v>
      </c>
      <c r="C27" s="109" t="e">
        <f>VLOOKUP(Table257519913140106110151153[[#This Row],[PEG]],Table1016[#All],2,FALSE)</f>
        <v>#N/A</v>
      </c>
      <c r="D27" s="117"/>
      <c r="E27" s="125" t="e">
        <f>VLOOKUP(Table257519913140106110151153[[#This Row],[PEG]],Table1016[#All],3,FALSE)</f>
        <v>#N/A</v>
      </c>
    </row>
    <row r="28" spans="1:5" x14ac:dyDescent="0.35">
      <c r="A28" s="118">
        <v>21</v>
      </c>
      <c r="B28" s="114" t="s">
        <v>114</v>
      </c>
      <c r="C28" s="109" t="e">
        <f>VLOOKUP(Table257519913140106110151153[[#This Row],[PEG]],Table1016[#All],2,FALSE)</f>
        <v>#N/A</v>
      </c>
      <c r="D28" s="117"/>
      <c r="E28" s="125" t="e">
        <f>VLOOKUP(Table257519913140106110151153[[#This Row],[PEG]],Table1016[#All],3,FALSE)</f>
        <v>#N/A</v>
      </c>
    </row>
    <row r="29" spans="1:5" x14ac:dyDescent="0.35">
      <c r="A29" s="118">
        <v>22</v>
      </c>
      <c r="B29" s="114" t="s">
        <v>12</v>
      </c>
      <c r="C29" s="109" t="e">
        <f>VLOOKUP(Table257519913140106110151153[[#This Row],[PEG]],Table1016[#All],2,FALSE)</f>
        <v>#N/A</v>
      </c>
      <c r="D29" s="117"/>
      <c r="E29" s="125" t="e">
        <f>VLOOKUP(Table257519913140106110151153[[#This Row],[PEG]],Table1016[#All],3,FALSE)</f>
        <v>#N/A</v>
      </c>
    </row>
    <row r="30" spans="1:5" x14ac:dyDescent="0.35">
      <c r="A30" s="118">
        <v>23</v>
      </c>
      <c r="B30" s="114" t="s">
        <v>12</v>
      </c>
      <c r="C30" s="109" t="e">
        <f>VLOOKUP(Table257519913140106110151153[[#This Row],[PEG]],Table1016[#All],2,FALSE)</f>
        <v>#N/A</v>
      </c>
      <c r="D30" s="117"/>
      <c r="E30" s="125" t="e">
        <f>VLOOKUP(Table257519913140106110151153[[#This Row],[PEG]],Table1016[#All],3,FALSE)</f>
        <v>#N/A</v>
      </c>
    </row>
    <row r="31" spans="1:5" x14ac:dyDescent="0.35">
      <c r="A31" s="118">
        <v>24</v>
      </c>
      <c r="B31" s="114" t="s">
        <v>115</v>
      </c>
      <c r="C31" s="109" t="e">
        <f>VLOOKUP(Table257519913140106110151153[[#This Row],[PEG]],Table1016[#All],2,FALSE)</f>
        <v>#N/A</v>
      </c>
      <c r="D31" s="117"/>
      <c r="E31" s="125" t="e">
        <f>VLOOKUP(Table257519913140106110151153[[#This Row],[PEG]],Table1016[#All],3,FALSE)</f>
        <v>#N/A</v>
      </c>
    </row>
    <row r="32" spans="1:5" x14ac:dyDescent="0.35">
      <c r="A32" s="118">
        <v>25</v>
      </c>
      <c r="B32" s="114" t="s">
        <v>115</v>
      </c>
      <c r="C32" s="109" t="e">
        <f>VLOOKUP(Table257519913140106110151153[[#This Row],[PEG]],Table1016[#All],2,FALSE)</f>
        <v>#N/A</v>
      </c>
      <c r="D32" s="117"/>
      <c r="E32" s="125" t="e">
        <f>VLOOKUP(Table257519913140106110151153[[#This Row],[PEG]],Table1016[#All],3,FALSE)</f>
        <v>#N/A</v>
      </c>
    </row>
    <row r="33" spans="1:5" x14ac:dyDescent="0.35">
      <c r="A33" s="118">
        <v>26</v>
      </c>
      <c r="B33" s="114" t="s">
        <v>124</v>
      </c>
      <c r="C33" s="109" t="e">
        <f>VLOOKUP(Table257519913140106110151153[[#This Row],[PEG]],Table1016[#All],2,FALSE)</f>
        <v>#N/A</v>
      </c>
      <c r="D33" s="117"/>
      <c r="E33" s="125" t="e">
        <f>VLOOKUP(Table257519913140106110151153[[#This Row],[PEG]],Table1016[#All],3,FALSE)</f>
        <v>#N/A</v>
      </c>
    </row>
    <row r="34" spans="1:5" x14ac:dyDescent="0.35">
      <c r="A34" s="118">
        <v>27</v>
      </c>
      <c r="B34" s="114" t="s">
        <v>115</v>
      </c>
      <c r="C34" s="109" t="e">
        <f>VLOOKUP(Table257519913140106110151153[[#This Row],[PEG]],Table1016[#All],2,FALSE)</f>
        <v>#N/A</v>
      </c>
      <c r="D34" s="117"/>
      <c r="E34" s="125" t="e">
        <f>VLOOKUP(Table257519913140106110151153[[#This Row],[PEG]],Table1016[#All],3,FALSE)</f>
        <v>#N/A</v>
      </c>
    </row>
    <row r="35" spans="1:5" x14ac:dyDescent="0.35">
      <c r="A35" s="118">
        <v>28</v>
      </c>
      <c r="B35" s="114" t="s">
        <v>124</v>
      </c>
      <c r="C35" s="109" t="e">
        <f>VLOOKUP(Table257519913140106110151153[[#This Row],[PEG]],Table1016[#All],2,FALSE)</f>
        <v>#N/A</v>
      </c>
      <c r="D35" s="117"/>
      <c r="E35" s="125" t="e">
        <f>VLOOKUP(Table257519913140106110151153[[#This Row],[PEG]],Table1016[#All],3,FALSE)</f>
        <v>#N/A</v>
      </c>
    </row>
    <row r="36" spans="1:5" x14ac:dyDescent="0.35">
      <c r="A36" s="118">
        <v>29</v>
      </c>
      <c r="B36" s="114" t="s">
        <v>115</v>
      </c>
      <c r="C36" s="109" t="e">
        <f>VLOOKUP(Table257519913140106110151153[[#This Row],[PEG]],Table1016[#All],2,FALSE)</f>
        <v>#N/A</v>
      </c>
      <c r="D36" s="117"/>
      <c r="E36" s="125" t="e">
        <f>VLOOKUP(Table257519913140106110151153[[#This Row],[PEG]],Table1016[#All],3,FALSE)</f>
        <v>#N/A</v>
      </c>
    </row>
    <row r="37" spans="1:5" x14ac:dyDescent="0.35">
      <c r="A37" s="118">
        <v>30</v>
      </c>
      <c r="B37" s="114" t="s">
        <v>12</v>
      </c>
      <c r="C37" s="109" t="e">
        <f>VLOOKUP(Table257519913140106110151153[[#This Row],[PEG]],Table1016[#All],2,FALSE)</f>
        <v>#N/A</v>
      </c>
      <c r="D37" s="117"/>
      <c r="E37" s="125" t="e">
        <f>VLOOKUP(Table257519913140106110151153[[#This Row],[PEG]],Table1016[#All],3,FALSE)</f>
        <v>#N/A</v>
      </c>
    </row>
    <row r="38" spans="1:5" x14ac:dyDescent="0.35">
      <c r="A38" s="118">
        <v>31</v>
      </c>
      <c r="B38" s="114" t="s">
        <v>12</v>
      </c>
      <c r="C38" s="109" t="e">
        <f>VLOOKUP(Table257519913140106110151153[[#This Row],[PEG]],Table1016[#All],2,FALSE)</f>
        <v>#N/A</v>
      </c>
      <c r="D38" s="117"/>
      <c r="E38" s="125" t="e">
        <f>VLOOKUP(Table257519913140106110151153[[#This Row],[PEG]],Table1016[#All],3,FALSE)</f>
        <v>#N/A</v>
      </c>
    </row>
    <row r="39" spans="1:5" x14ac:dyDescent="0.35">
      <c r="A39" s="118">
        <v>32</v>
      </c>
      <c r="B39" s="114" t="s">
        <v>12</v>
      </c>
      <c r="C39" s="109" t="e">
        <f>VLOOKUP(Table257519913140106110151153[[#This Row],[PEG]],Table1016[#All],2,FALSE)</f>
        <v>#N/A</v>
      </c>
      <c r="D39" s="117"/>
      <c r="E39" s="125" t="e">
        <f>VLOOKUP(Table257519913140106110151153[[#This Row],[PEG]],Table1016[#All],3,FALSE)</f>
        <v>#N/A</v>
      </c>
    </row>
    <row r="40" spans="1:5" x14ac:dyDescent="0.35">
      <c r="A40" s="118">
        <v>33</v>
      </c>
      <c r="B40" s="114" t="s">
        <v>12</v>
      </c>
      <c r="C40" s="109" t="e">
        <f>VLOOKUP(Table257519913140106110151153[[#This Row],[PEG]],Table1016[#All],2,FALSE)</f>
        <v>#N/A</v>
      </c>
      <c r="D40" s="117"/>
      <c r="E40" s="125" t="e">
        <f>VLOOKUP(Table257519913140106110151153[[#This Row],[PEG]],Table1016[#All],3,FALSE)</f>
        <v>#N/A</v>
      </c>
    </row>
    <row r="41" spans="1:5" x14ac:dyDescent="0.35">
      <c r="A41" s="118">
        <v>34</v>
      </c>
      <c r="B41" s="114" t="s">
        <v>115</v>
      </c>
      <c r="C41" s="109" t="e">
        <f>VLOOKUP(Table257519913140106110151153[[#This Row],[PEG]],Table1016[#All],2,FALSE)</f>
        <v>#N/A</v>
      </c>
      <c r="D41" s="117"/>
      <c r="E41" s="125" t="e">
        <f>VLOOKUP(Table257519913140106110151153[[#This Row],[PEG]],Table1016[#All],3,FALSE)</f>
        <v>#N/A</v>
      </c>
    </row>
    <row r="42" spans="1:5" x14ac:dyDescent="0.35">
      <c r="A42" s="118">
        <v>35</v>
      </c>
      <c r="B42" s="114" t="s">
        <v>12</v>
      </c>
      <c r="C42" s="109" t="e">
        <f>VLOOKUP(Table257519913140106110151153[[#This Row],[PEG]],Table1016[#All],2,FALSE)</f>
        <v>#N/A</v>
      </c>
      <c r="D42" s="115"/>
      <c r="E42" s="125" t="e">
        <f>VLOOKUP(Table257519913140106110151153[[#This Row],[PEG]],Table1016[#All],3,FALSE)</f>
        <v>#N/A</v>
      </c>
    </row>
    <row r="43" spans="1:5" x14ac:dyDescent="0.35">
      <c r="A43" s="118">
        <v>36</v>
      </c>
      <c r="B43" s="114" t="s">
        <v>115</v>
      </c>
      <c r="C43" s="109" t="e">
        <f>VLOOKUP(Table257519913140106110151153[[#This Row],[PEG]],Table1016[#All],2,FALSE)</f>
        <v>#N/A</v>
      </c>
      <c r="D43" s="115"/>
      <c r="E43" s="125" t="e">
        <f>VLOOKUP(Table257519913140106110151153[[#This Row],[PEG]],Table1016[#All],3,FALSE)</f>
        <v>#N/A</v>
      </c>
    </row>
    <row r="44" spans="1:5" x14ac:dyDescent="0.35">
      <c r="A44" s="118">
        <v>37</v>
      </c>
      <c r="B44" s="114" t="s">
        <v>13</v>
      </c>
      <c r="C44" s="18" t="s">
        <v>13</v>
      </c>
      <c r="D44" s="115"/>
      <c r="E44" s="32"/>
    </row>
  </sheetData>
  <mergeCells count="1">
    <mergeCell ref="A1:B1"/>
  </mergeCells>
  <conditionalFormatting sqref="B8:B18">
    <cfRule type="containsText" dxfId="1873" priority="1" operator="containsText" text="Hear">
      <formula>NOT(ISERROR(SEARCH("Hear",B8)))</formula>
    </cfRule>
  </conditionalFormatting>
  <conditionalFormatting sqref="B30">
    <cfRule type="containsText" dxfId="1872" priority="4" operator="containsText" text="Hear">
      <formula>NOT(ISERROR(SEARCH("Hear",B30)))</formula>
    </cfRule>
  </conditionalFormatting>
  <conditionalFormatting sqref="B43:B44">
    <cfRule type="containsText" dxfId="1871" priority="8" operator="containsText" text="Hear">
      <formula>NOT(ISERROR(SEARCH("Hear",B43)))</formula>
    </cfRule>
  </conditionalFormatting>
  <conditionalFormatting sqref="E44">
    <cfRule type="containsText" dxfId="1870" priority="6" operator="containsText" text="WEB SERVICE">
      <formula>NOT(ISERROR(SEARCH("WEB SERVICE",E44)))</formula>
    </cfRule>
    <cfRule type="containsText" dxfId="1869" priority="7" operator="containsText" text="DB">
      <formula>NOT(ISERROR(SEARCH("DB",E44)))</formula>
    </cfRule>
  </conditionalFormatting>
  <conditionalFormatting sqref="C44">
    <cfRule type="expression" dxfId="1868" priority="9">
      <formula>$B44="Dial"</formula>
    </cfRule>
  </conditionalFormatting>
  <conditionalFormatting sqref="B36:B38 B40:B41">
    <cfRule type="containsText" dxfId="1867" priority="3" operator="containsText" text="Hear">
      <formula>NOT(ISERROR(SEARCH("Hear",B36)))</formula>
    </cfRule>
  </conditionalFormatting>
  <conditionalFormatting sqref="B19:B29 B31:B35 B42">
    <cfRule type="containsText" dxfId="1866" priority="5" operator="containsText" text="Hear">
      <formula>NOT(ISERROR(SEARCH("Hear",B19)))</formula>
    </cfRule>
  </conditionalFormatting>
  <hyperlinks>
    <hyperlink ref="A1" location="'Test Case Overview'!A1" display="Return to Test Case Overview" xr:uid="{35A3E061-0FE8-4DAD-91E1-3B5D36B888D3}"/>
  </hyperlinks>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expression" priority="2" id="{BC6FBE5C-8B33-4541-9244-329109ED9C53}">
            <xm:f>'TC1'!$B8="HANGUP"</xm:f>
            <x14:dxf>
              <font>
                <b/>
                <i val="0"/>
              </font>
            </x14:dxf>
          </x14:cfRule>
          <x14:cfRule type="expression" priority="10" id="{ECC088D7-D50F-4DB8-B928-012F558B5085}">
            <xm:f>'TC1'!$B8="Dial"</xm:f>
            <x14:dxf>
              <font>
                <b/>
                <i val="0"/>
                <color rgb="FFFF0000"/>
              </font>
            </x14:dxf>
          </x14:cfRule>
          <xm:sqref>C8</xm:sqref>
        </x14:conditionalFormatting>
        <x14:conditionalFormatting xmlns:xm="http://schemas.microsoft.com/office/excel/2006/main">
          <x14:cfRule type="expression" priority="11" id="{30F7BC7B-D6AD-4E12-9E41-1137735F5D2F}">
            <xm:f>'TC1'!$B8="Speak"</xm:f>
            <x14:dxf>
              <font>
                <b/>
                <i val="0"/>
                <color rgb="FFFF0000"/>
              </font>
            </x14:dxf>
          </x14:cfRule>
          <xm:sqref>C8</xm:sqref>
        </x14:conditionalFormatting>
        <x14:conditionalFormatting xmlns:xm="http://schemas.microsoft.com/office/excel/2006/main">
          <x14:cfRule type="containsText" priority="14" operator="containsText" text="Hear" id="{722D5508-3D52-44EC-80C1-2994B6A74FAB}">
            <xm:f>NOT(ISERROR(SEARCH("Hear",'TC3'!B34)))</xm:f>
            <x14:dxf>
              <font>
                <color theme="9" tint="-0.24994659260841701"/>
              </font>
              <fill>
                <patternFill>
                  <bgColor theme="9" tint="0.59996337778862885"/>
                </patternFill>
              </fill>
            </x14:dxf>
          </x14:cfRule>
          <xm:sqref>B41</xm:sqref>
        </x14:conditionalFormatting>
        <x14:conditionalFormatting xmlns:xm="http://schemas.microsoft.com/office/excel/2006/main">
          <x14:cfRule type="expression" priority="2723" id="{BC6FBE5C-8B33-4541-9244-329109ED9C53}">
            <xm:f>'TC1'!$B16="HANGUP"</xm:f>
            <x14:dxf>
              <font>
                <b/>
                <i val="0"/>
              </font>
            </x14:dxf>
          </x14:cfRule>
          <x14:cfRule type="expression" priority="2724" id="{ECC088D7-D50F-4DB8-B928-012F558B5085}">
            <xm:f>'TC1'!$B16="Dial"</xm:f>
            <x14:dxf>
              <font>
                <b/>
                <i val="0"/>
                <color rgb="FFFF0000"/>
              </font>
            </x14:dxf>
          </x14:cfRule>
          <xm:sqref>C34:C43</xm:sqref>
        </x14:conditionalFormatting>
        <x14:conditionalFormatting xmlns:xm="http://schemas.microsoft.com/office/excel/2006/main">
          <x14:cfRule type="expression" priority="2725" id="{BC6FBE5C-8B33-4541-9244-329109ED9C53}">
            <xm:f>'TC1'!#REF!="HANGUP"</xm:f>
            <x14:dxf>
              <font>
                <b/>
                <i val="0"/>
              </font>
            </x14:dxf>
          </x14:cfRule>
          <x14:cfRule type="expression" priority="2726" id="{ECC088D7-D50F-4DB8-B928-012F558B5085}">
            <xm:f>'TC1'!#REF!="Dial"</xm:f>
            <x14:dxf>
              <font>
                <b/>
                <i val="0"/>
                <color rgb="FFFF0000"/>
              </font>
            </x14:dxf>
          </x14:cfRule>
          <xm:sqref>C17:C33</xm:sqref>
        </x14:conditionalFormatting>
        <x14:conditionalFormatting xmlns:xm="http://schemas.microsoft.com/office/excel/2006/main">
          <x14:cfRule type="expression" priority="2730" id="{30F7BC7B-D6AD-4E12-9E41-1137735F5D2F}">
            <xm:f>'TC1'!$B16="Speak"</xm:f>
            <x14:dxf>
              <font>
                <b/>
                <i val="0"/>
                <color rgb="FFFF0000"/>
              </font>
            </x14:dxf>
          </x14:cfRule>
          <xm:sqref>C34:C43</xm:sqref>
        </x14:conditionalFormatting>
        <x14:conditionalFormatting xmlns:xm="http://schemas.microsoft.com/office/excel/2006/main">
          <x14:cfRule type="expression" priority="2731" id="{30F7BC7B-D6AD-4E12-9E41-1137735F5D2F}">
            <xm:f>'TC1'!#REF!="Speak"</xm:f>
            <x14:dxf>
              <font>
                <b/>
                <i val="0"/>
                <color rgb="FFFF0000"/>
              </font>
            </x14:dxf>
          </x14:cfRule>
          <xm:sqref>C17:C33</xm:sqref>
        </x14:conditionalFormatting>
        <x14:conditionalFormatting xmlns:xm="http://schemas.microsoft.com/office/excel/2006/main">
          <x14:cfRule type="containsText" priority="2735" operator="containsText" text="DB" id="{1FA4A374-1BF5-4A7C-B775-97F36216F931}">
            <xm:f>NOT(ISERROR(SEARCH("DB",'TC1'!E16)))</xm:f>
            <x14:dxf>
              <font>
                <color rgb="FF006100"/>
              </font>
              <fill>
                <patternFill>
                  <bgColor rgb="FFC6EFCE"/>
                </patternFill>
              </fill>
            </x14:dxf>
          </x14:cfRule>
          <x14:cfRule type="containsText" priority="2736" operator="containsText" text="WEB SERVICE" id="{03922C18-CA87-40D7-9A19-1D276E137510}">
            <xm:f>NOT(ISERROR(SEARCH("WEB SERVICE",'TC1'!E16)))</xm:f>
            <x14:dxf>
              <font>
                <color rgb="FF9C0006"/>
              </font>
              <fill>
                <patternFill>
                  <bgColor rgb="FFFFC7CE"/>
                </patternFill>
              </fill>
            </x14:dxf>
          </x14:cfRule>
          <xm:sqref>E34:E43</xm:sqref>
        </x14:conditionalFormatting>
        <x14:conditionalFormatting xmlns:xm="http://schemas.microsoft.com/office/excel/2006/main">
          <x14:cfRule type="containsText" priority="2737" operator="containsText" text="DB" id="{1FA4A374-1BF5-4A7C-B775-97F36216F931}">
            <xm:f>NOT(ISERROR(SEARCH("DB",'TC1'!#REF!)))</xm:f>
            <x14:dxf>
              <font>
                <color rgb="FF006100"/>
              </font>
              <fill>
                <patternFill>
                  <bgColor rgb="FFC6EFCE"/>
                </patternFill>
              </fill>
            </x14:dxf>
          </x14:cfRule>
          <x14:cfRule type="containsText" priority="2738" operator="containsText" text="WEB SERVICE" id="{03922C18-CA87-40D7-9A19-1D276E137510}">
            <xm:f>NOT(ISERROR(SEARCH("WEB SERVICE",'TC1'!#REF!)))</xm:f>
            <x14:dxf>
              <font>
                <color rgb="FF9C0006"/>
              </font>
              <fill>
                <patternFill>
                  <bgColor rgb="FFFFC7CE"/>
                </patternFill>
              </fill>
            </x14:dxf>
          </x14:cfRule>
          <xm:sqref>E17:E33</xm:sqref>
        </x14:conditionalFormatting>
        <x14:conditionalFormatting xmlns:xm="http://schemas.microsoft.com/office/excel/2006/main">
          <x14:cfRule type="expression" priority="5389" id="{BC6FBE5C-8B33-4541-9244-329109ED9C53}">
            <xm:f>'TC1'!$B9="HANGUP"</xm:f>
            <x14:dxf>
              <font>
                <b/>
                <i val="0"/>
              </font>
            </x14:dxf>
          </x14:cfRule>
          <x14:cfRule type="expression" priority="5390" id="{ECC088D7-D50F-4DB8-B928-012F558B5085}">
            <xm:f>'TC1'!$B9="Dial"</xm:f>
            <x14:dxf>
              <font>
                <b/>
                <i val="0"/>
                <color rgb="FFFF0000"/>
              </font>
            </x14:dxf>
          </x14:cfRule>
          <xm:sqref>C12:C15</xm:sqref>
        </x14:conditionalFormatting>
        <x14:conditionalFormatting xmlns:xm="http://schemas.microsoft.com/office/excel/2006/main">
          <x14:cfRule type="expression" priority="5391" id="{BC6FBE5C-8B33-4541-9244-329109ED9C53}">
            <xm:f>'TC1'!#REF!="HANGUP"</xm:f>
            <x14:dxf>
              <font>
                <b/>
                <i val="0"/>
              </font>
            </x14:dxf>
          </x14:cfRule>
          <x14:cfRule type="expression" priority="5392" id="{ECC088D7-D50F-4DB8-B928-012F558B5085}">
            <xm:f>'TC1'!#REF!="Dial"</xm:f>
            <x14:dxf>
              <font>
                <b/>
                <i val="0"/>
                <color rgb="FFFF0000"/>
              </font>
            </x14:dxf>
          </x14:cfRule>
          <xm:sqref>C9:C11</xm:sqref>
        </x14:conditionalFormatting>
        <x14:conditionalFormatting xmlns:xm="http://schemas.microsoft.com/office/excel/2006/main">
          <x14:cfRule type="expression" priority="5396" id="{30F7BC7B-D6AD-4E12-9E41-1137735F5D2F}">
            <xm:f>'TC1'!$B9="Speak"</xm:f>
            <x14:dxf>
              <font>
                <b/>
                <i val="0"/>
                <color rgb="FFFF0000"/>
              </font>
            </x14:dxf>
          </x14:cfRule>
          <xm:sqref>C12:C15</xm:sqref>
        </x14:conditionalFormatting>
        <x14:conditionalFormatting xmlns:xm="http://schemas.microsoft.com/office/excel/2006/main">
          <x14:cfRule type="expression" priority="5397" id="{30F7BC7B-D6AD-4E12-9E41-1137735F5D2F}">
            <xm:f>'TC1'!#REF!="Speak"</xm:f>
            <x14:dxf>
              <font>
                <b/>
                <i val="0"/>
                <color rgb="FFFF0000"/>
              </font>
            </x14:dxf>
          </x14:cfRule>
          <xm:sqref>C9:C11</xm:sqref>
        </x14:conditionalFormatting>
        <x14:conditionalFormatting xmlns:xm="http://schemas.microsoft.com/office/excel/2006/main">
          <x14:cfRule type="containsText" priority="5399" operator="containsText" text="DB" id="{1FA4A374-1BF5-4A7C-B775-97F36216F931}">
            <xm:f>NOT(ISERROR(SEARCH("DB",'TC1'!#REF!)))</xm:f>
            <x14:dxf>
              <font>
                <color rgb="FF006100"/>
              </font>
              <fill>
                <patternFill>
                  <bgColor rgb="FFC6EFCE"/>
                </patternFill>
              </fill>
            </x14:dxf>
          </x14:cfRule>
          <x14:cfRule type="containsText" priority="5400" operator="containsText" text="WEB SERVICE" id="{03922C18-CA87-40D7-9A19-1D276E137510}">
            <xm:f>NOT(ISERROR(SEARCH("WEB SERVICE",'TC1'!#REF!)))</xm:f>
            <x14:dxf>
              <font>
                <color rgb="FF9C0006"/>
              </font>
              <fill>
                <patternFill>
                  <bgColor rgb="FFFFC7CE"/>
                </patternFill>
              </fill>
            </x14:dxf>
          </x14:cfRule>
          <xm:sqref>E9:E11</xm:sqref>
        </x14:conditionalFormatting>
        <x14:conditionalFormatting xmlns:xm="http://schemas.microsoft.com/office/excel/2006/main">
          <x14:cfRule type="containsText" priority="5401" operator="containsText" text="DB" id="{1FA4A374-1BF5-4A7C-B775-97F36216F931}">
            <xm:f>NOT(ISERROR(SEARCH("DB",'TC1'!E9)))</xm:f>
            <x14:dxf>
              <font>
                <color rgb="FF006100"/>
              </font>
              <fill>
                <patternFill>
                  <bgColor rgb="FFC6EFCE"/>
                </patternFill>
              </fill>
            </x14:dxf>
          </x14:cfRule>
          <x14:cfRule type="containsText" priority="5402" operator="containsText" text="WEB SERVICE" id="{03922C18-CA87-40D7-9A19-1D276E137510}">
            <xm:f>NOT(ISERROR(SEARCH("WEB SERVICE",'TC1'!E9)))</xm:f>
            <x14:dxf>
              <font>
                <color rgb="FF9C0006"/>
              </font>
              <fill>
                <patternFill>
                  <bgColor rgb="FFFFC7CE"/>
                </patternFill>
              </fill>
            </x14:dxf>
          </x14:cfRule>
          <xm:sqref>E12:E15</xm:sqref>
        </x14:conditionalFormatting>
        <x14:conditionalFormatting xmlns:xm="http://schemas.microsoft.com/office/excel/2006/main">
          <x14:cfRule type="expression" priority="7670" id="{BC6FBE5C-8B33-4541-9244-329109ED9C53}">
            <xm:f>'TC1'!$B15="HANGUP"</xm:f>
            <x14:dxf>
              <font>
                <b/>
                <i val="0"/>
              </font>
            </x14:dxf>
          </x14:cfRule>
          <x14:cfRule type="expression" priority="7671" id="{ECC088D7-D50F-4DB8-B928-012F558B5085}">
            <xm:f>'TC1'!$B15="Dial"</xm:f>
            <x14:dxf>
              <font>
                <b/>
                <i val="0"/>
                <color rgb="FFFF0000"/>
              </font>
            </x14:dxf>
          </x14:cfRule>
          <xm:sqref>C16</xm:sqref>
        </x14:conditionalFormatting>
        <x14:conditionalFormatting xmlns:xm="http://schemas.microsoft.com/office/excel/2006/main">
          <x14:cfRule type="expression" priority="7673" id="{30F7BC7B-D6AD-4E12-9E41-1137735F5D2F}">
            <xm:f>'TC1'!$B15="Speak"</xm:f>
            <x14:dxf>
              <font>
                <b/>
                <i val="0"/>
                <color rgb="FFFF0000"/>
              </font>
            </x14:dxf>
          </x14:cfRule>
          <xm:sqref>C16</xm:sqref>
        </x14:conditionalFormatting>
        <x14:conditionalFormatting xmlns:xm="http://schemas.microsoft.com/office/excel/2006/main">
          <x14:cfRule type="containsText" priority="7676" operator="containsText" text="DB" id="{1FA4A374-1BF5-4A7C-B775-97F36216F931}">
            <xm:f>NOT(ISERROR(SEARCH("DB",'TC1'!E15)))</xm:f>
            <x14:dxf>
              <font>
                <color rgb="FF006100"/>
              </font>
              <fill>
                <patternFill>
                  <bgColor rgb="FFC6EFCE"/>
                </patternFill>
              </fill>
            </x14:dxf>
          </x14:cfRule>
          <x14:cfRule type="containsText" priority="7677" operator="containsText" text="WEB SERVICE" id="{03922C18-CA87-40D7-9A19-1D276E137510}">
            <xm:f>NOT(ISERROR(SEARCH("WEB SERVICE",'TC1'!E15)))</xm:f>
            <x14:dxf>
              <font>
                <color rgb="FF9C0006"/>
              </font>
              <fill>
                <patternFill>
                  <bgColor rgb="FFFFC7CE"/>
                </patternFill>
              </fill>
            </x14:dxf>
          </x14:cfRule>
          <xm:sqref>E16</xm:sqref>
        </x14:conditionalFormatting>
        <x14:conditionalFormatting xmlns:xm="http://schemas.microsoft.com/office/excel/2006/main">
          <x14:cfRule type="containsText" priority="10294" operator="containsText" text="Hear" id="{A89A4A71-F136-47EB-B7C0-1001BD0E8A53}">
            <xm:f>NOT(ISERROR(SEARCH("Hear",'TC26'!#REF!)))</xm:f>
            <x14:dxf>
              <font>
                <color theme="9" tint="-0.24994659260841701"/>
              </font>
              <fill>
                <patternFill>
                  <bgColor theme="9" tint="0.59996337778862885"/>
                </patternFill>
              </fill>
            </x14:dxf>
          </x14:cfRule>
          <xm:sqref>B39</xm:sqref>
        </x14:conditionalFormatting>
      </x14:conditionalFormattings>
    </ext>
  </extLst>
</worksheet>
</file>

<file path=xl/worksheets/sheet1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C00-000000000000}">
  <sheetPr codeName="Sheet126"/>
  <dimension ref="A1:E44"/>
  <sheetViews>
    <sheetView zoomScaleNormal="100" workbookViewId="0">
      <selection sqref="A1:E44"/>
    </sheetView>
  </sheetViews>
  <sheetFormatPr defaultRowHeight="14.5" x14ac:dyDescent="0.35"/>
  <cols>
    <col min="1" max="1" width="14.453125" bestFit="1" customWidth="1"/>
    <col min="2" max="2" width="42.6328125" customWidth="1"/>
    <col min="3" max="3" width="106.1796875" customWidth="1"/>
    <col min="4" max="4" width="21.81640625" bestFit="1" customWidth="1"/>
    <col min="5" max="5" width="20.6328125" customWidth="1"/>
  </cols>
  <sheetData>
    <row r="1" spans="1:5" ht="18.5" x14ac:dyDescent="0.35">
      <c r="A1" s="192" t="s">
        <v>4</v>
      </c>
      <c r="B1" s="192"/>
      <c r="C1" s="105"/>
      <c r="D1" s="111"/>
      <c r="E1" s="97"/>
    </row>
    <row r="2" spans="1:5" x14ac:dyDescent="0.35">
      <c r="A2" s="106" t="s">
        <v>5</v>
      </c>
      <c r="B2" s="107" t="str">
        <f ca="1">MID(CELL("filename",A1),FIND("]",CELL("filename",A1))+1,LEN(CELL("filename",A1))-FIND("]",CELL("filename",A1)))</f>
        <v>TC124</v>
      </c>
      <c r="C2" s="98"/>
      <c r="D2" s="111"/>
      <c r="E2" s="97"/>
    </row>
    <row r="3" spans="1:5" x14ac:dyDescent="0.35">
      <c r="A3" s="104" t="s">
        <v>19</v>
      </c>
      <c r="B3" s="112">
        <f ca="1">VLOOKUP(B2,Table53[#All],2,FALSE)</f>
        <v>0</v>
      </c>
      <c r="C3" s="98"/>
      <c r="D3" s="111"/>
      <c r="E3" s="97"/>
    </row>
    <row r="4" spans="1:5" ht="29" x14ac:dyDescent="0.35">
      <c r="A4" s="113" t="s">
        <v>20</v>
      </c>
      <c r="B4" s="99">
        <f ca="1">VLOOKUP(B2,Table53[#All],4,FALSE)</f>
        <v>0</v>
      </c>
      <c r="C4" s="98"/>
      <c r="D4" s="111"/>
      <c r="E4" s="97"/>
    </row>
    <row r="5" spans="1:5" x14ac:dyDescent="0.35">
      <c r="A5" s="104" t="s">
        <v>6</v>
      </c>
      <c r="B5" s="77">
        <f ca="1">VLOOKUP(B2,Table53[#All],3,FALSE)</f>
        <v>0</v>
      </c>
      <c r="C5" s="98"/>
      <c r="D5" s="111"/>
      <c r="E5" s="97"/>
    </row>
    <row r="6" spans="1:5" x14ac:dyDescent="0.35">
      <c r="A6" s="97"/>
      <c r="B6" s="97"/>
      <c r="C6" s="98"/>
      <c r="D6" s="111"/>
      <c r="E6" s="97"/>
    </row>
    <row r="7" spans="1:5" ht="15.5" x14ac:dyDescent="0.35">
      <c r="A7" s="100" t="s">
        <v>7</v>
      </c>
      <c r="B7" s="101" t="s">
        <v>8</v>
      </c>
      <c r="C7" s="102" t="s">
        <v>9</v>
      </c>
      <c r="D7" s="102" t="s">
        <v>14</v>
      </c>
      <c r="E7" s="103" t="s">
        <v>10</v>
      </c>
    </row>
    <row r="8" spans="1:5" x14ac:dyDescent="0.35">
      <c r="A8" s="118">
        <v>1</v>
      </c>
      <c r="B8" s="114" t="s">
        <v>114</v>
      </c>
      <c r="C8" s="109" t="s">
        <v>125</v>
      </c>
      <c r="D8" s="128"/>
      <c r="E8" s="125" t="s">
        <v>11</v>
      </c>
    </row>
    <row r="9" spans="1:5" x14ac:dyDescent="0.35">
      <c r="A9" s="118">
        <v>2</v>
      </c>
      <c r="B9" s="114" t="s">
        <v>12</v>
      </c>
      <c r="C9" s="109" t="e">
        <f>VLOOKUP(Table257519913140106110151155[[#This Row],[PEG]],Table1016[#All],2,FALSE)</f>
        <v>#N/A</v>
      </c>
      <c r="D9" s="128"/>
      <c r="E9" s="125" t="e">
        <f>VLOOKUP(Table257519913140106110151155[[#This Row],[PEG]],Table1016[#All],3,FALSE)</f>
        <v>#N/A</v>
      </c>
    </row>
    <row r="10" spans="1:5" x14ac:dyDescent="0.35">
      <c r="A10" s="118">
        <v>3</v>
      </c>
      <c r="B10" s="114" t="s">
        <v>115</v>
      </c>
      <c r="C10" s="109" t="e">
        <f>VLOOKUP(Table257519913140106110151155[[#This Row],[PEG]],Table1016[#All],2,FALSE)</f>
        <v>#N/A</v>
      </c>
      <c r="D10" s="128"/>
      <c r="E10" s="125" t="e">
        <f>VLOOKUP(Table257519913140106110151155[[#This Row],[PEG]],Table1016[#All],3,FALSE)</f>
        <v>#N/A</v>
      </c>
    </row>
    <row r="11" spans="1:5" x14ac:dyDescent="0.35">
      <c r="A11" s="118">
        <v>4</v>
      </c>
      <c r="B11" s="114" t="s">
        <v>115</v>
      </c>
      <c r="C11" s="109" t="e">
        <f>VLOOKUP(Table257519913140106110151155[[#This Row],[PEG]],Table1016[#All],2,FALSE)</f>
        <v>#N/A</v>
      </c>
      <c r="D11" s="128"/>
      <c r="E11" s="125" t="e">
        <f>VLOOKUP(Table257519913140106110151155[[#This Row],[PEG]],Table1016[#All],3,FALSE)</f>
        <v>#N/A</v>
      </c>
    </row>
    <row r="12" spans="1:5" x14ac:dyDescent="0.35">
      <c r="A12" s="118">
        <v>5</v>
      </c>
      <c r="B12" s="114" t="s">
        <v>114</v>
      </c>
      <c r="C12" s="109" t="e">
        <f>VLOOKUP(Table257519913140106110151155[[#This Row],[PEG]],Table1016[#All],2,FALSE)</f>
        <v>#N/A</v>
      </c>
      <c r="D12" s="128"/>
      <c r="E12" s="125" t="e">
        <f>VLOOKUP(Table257519913140106110151155[[#This Row],[PEG]],Table1016[#All],3,FALSE)</f>
        <v>#N/A</v>
      </c>
    </row>
    <row r="13" spans="1:5" x14ac:dyDescent="0.35">
      <c r="A13" s="118">
        <v>6</v>
      </c>
      <c r="B13" s="114" t="s">
        <v>115</v>
      </c>
      <c r="C13" s="109" t="e">
        <f>VLOOKUP(Table257519913140106110151155[[#This Row],[PEG]],Table1016[#All],2,FALSE)</f>
        <v>#N/A</v>
      </c>
      <c r="D13" s="128"/>
      <c r="E13" s="125" t="e">
        <f>VLOOKUP(Table257519913140106110151155[[#This Row],[PEG]],Table1016[#All],3,FALSE)</f>
        <v>#N/A</v>
      </c>
    </row>
    <row r="14" spans="1:5" x14ac:dyDescent="0.35">
      <c r="A14" s="118">
        <v>7</v>
      </c>
      <c r="B14" s="114" t="s">
        <v>114</v>
      </c>
      <c r="C14" s="109" t="e">
        <f>VLOOKUP(Table257519913140106110151155[[#This Row],[PEG]],Table1016[#All],2,FALSE)</f>
        <v>#N/A</v>
      </c>
      <c r="D14" s="128"/>
      <c r="E14" s="125" t="e">
        <f>VLOOKUP(Table257519913140106110151155[[#This Row],[PEG]],Table1016[#All],3,FALSE)</f>
        <v>#N/A</v>
      </c>
    </row>
    <row r="15" spans="1:5" x14ac:dyDescent="0.35">
      <c r="A15" s="118">
        <v>8</v>
      </c>
      <c r="B15" s="114" t="s">
        <v>115</v>
      </c>
      <c r="C15" s="109" t="e">
        <f>VLOOKUP(Table257519913140106110151155[[#This Row],[PEG]],Table1016[#All],2,FALSE)</f>
        <v>#N/A</v>
      </c>
      <c r="D15" s="116"/>
      <c r="E15" s="125" t="e">
        <f>VLOOKUP(Table257519913140106110151155[[#This Row],[PEG]],Table1016[#All],3,FALSE)</f>
        <v>#N/A</v>
      </c>
    </row>
    <row r="16" spans="1:5" x14ac:dyDescent="0.35">
      <c r="A16" s="118">
        <v>9</v>
      </c>
      <c r="B16" s="114" t="s">
        <v>12</v>
      </c>
      <c r="C16" s="109" t="e">
        <f>VLOOKUP(Table257519913140106110151155[[#This Row],[PEG]],Table1016[#All],2,FALSE)</f>
        <v>#N/A</v>
      </c>
      <c r="D16" s="116"/>
      <c r="E16" s="125" t="e">
        <f>VLOOKUP(Table257519913140106110151155[[#This Row],[PEG]],Table1016[#All],3,FALSE)</f>
        <v>#N/A</v>
      </c>
    </row>
    <row r="17" spans="1:5" x14ac:dyDescent="0.35">
      <c r="A17" s="118">
        <v>10</v>
      </c>
      <c r="B17" s="114" t="s">
        <v>12</v>
      </c>
      <c r="C17" s="109" t="e">
        <f>VLOOKUP(Table257519913140106110151155[[#This Row],[PEG]],Table1016[#All],2,FALSE)</f>
        <v>#N/A</v>
      </c>
      <c r="D17" s="117"/>
      <c r="E17" s="125" t="e">
        <f>VLOOKUP(Table257519913140106110151155[[#This Row],[PEG]],Table1016[#All],3,FALSE)</f>
        <v>#N/A</v>
      </c>
    </row>
    <row r="18" spans="1:5" x14ac:dyDescent="0.35">
      <c r="A18" s="118">
        <v>11</v>
      </c>
      <c r="B18" s="114" t="s">
        <v>115</v>
      </c>
      <c r="C18" s="109" t="e">
        <f>VLOOKUP(Table257519913140106110151155[[#This Row],[PEG]],Table1016[#All],2,FALSE)</f>
        <v>#N/A</v>
      </c>
      <c r="D18" s="117"/>
      <c r="E18" s="125" t="e">
        <f>VLOOKUP(Table257519913140106110151155[[#This Row],[PEG]],Table1016[#All],3,FALSE)</f>
        <v>#N/A</v>
      </c>
    </row>
    <row r="19" spans="1:5" x14ac:dyDescent="0.35">
      <c r="A19" s="118">
        <v>12</v>
      </c>
      <c r="B19" s="114" t="s">
        <v>115</v>
      </c>
      <c r="C19" s="109" t="e">
        <f>VLOOKUP(Table257519913140106110151155[[#This Row],[PEG]],Table1016[#All],2,FALSE)</f>
        <v>#N/A</v>
      </c>
      <c r="D19" s="117"/>
      <c r="E19" s="125" t="e">
        <f>VLOOKUP(Table257519913140106110151155[[#This Row],[PEG]],Table1016[#All],3,FALSE)</f>
        <v>#N/A</v>
      </c>
    </row>
    <row r="20" spans="1:5" x14ac:dyDescent="0.35">
      <c r="A20" s="118">
        <v>13</v>
      </c>
      <c r="B20" s="114" t="s">
        <v>114</v>
      </c>
      <c r="C20" s="109" t="e">
        <f>VLOOKUP(Table257519913140106110151155[[#This Row],[PEG]],Table1016[#All],2,FALSE)</f>
        <v>#N/A</v>
      </c>
      <c r="D20" s="117"/>
      <c r="E20" s="125" t="e">
        <f>VLOOKUP(Table257519913140106110151155[[#This Row],[PEG]],Table1016[#All],3,FALSE)</f>
        <v>#N/A</v>
      </c>
    </row>
    <row r="21" spans="1:5" x14ac:dyDescent="0.35">
      <c r="A21" s="118">
        <v>14</v>
      </c>
      <c r="B21" s="114" t="s">
        <v>12</v>
      </c>
      <c r="C21" s="109" t="e">
        <f>VLOOKUP(Table257519913140106110151155[[#This Row],[PEG]],Table1016[#All],2,FALSE)</f>
        <v>#N/A</v>
      </c>
      <c r="D21" s="117"/>
      <c r="E21" s="125" t="e">
        <f>VLOOKUP(Table257519913140106110151155[[#This Row],[PEG]],Table1016[#All],3,FALSE)</f>
        <v>#N/A</v>
      </c>
    </row>
    <row r="22" spans="1:5" x14ac:dyDescent="0.35">
      <c r="A22" s="118">
        <v>15</v>
      </c>
      <c r="B22" s="114" t="s">
        <v>12</v>
      </c>
      <c r="C22" s="109" t="e">
        <f>VLOOKUP(Table257519913140106110151155[[#This Row],[PEG]],Table1016[#All],2,FALSE)</f>
        <v>#N/A</v>
      </c>
      <c r="D22" s="117"/>
      <c r="E22" s="125" t="e">
        <f>VLOOKUP(Table257519913140106110151155[[#This Row],[PEG]],Table1016[#All],3,FALSE)</f>
        <v>#N/A</v>
      </c>
    </row>
    <row r="23" spans="1:5" x14ac:dyDescent="0.35">
      <c r="A23" s="118">
        <v>16</v>
      </c>
      <c r="B23" s="114" t="s">
        <v>115</v>
      </c>
      <c r="C23" s="109" t="e">
        <f>VLOOKUP(Table257519913140106110151155[[#This Row],[PEG]],Table1016[#All],2,FALSE)</f>
        <v>#N/A</v>
      </c>
      <c r="D23" s="117"/>
      <c r="E23" s="125" t="e">
        <f>VLOOKUP(Table257519913140106110151155[[#This Row],[PEG]],Table1016[#All],3,FALSE)</f>
        <v>#N/A</v>
      </c>
    </row>
    <row r="24" spans="1:5" x14ac:dyDescent="0.35">
      <c r="A24" s="118">
        <v>17</v>
      </c>
      <c r="B24" s="114" t="s">
        <v>114</v>
      </c>
      <c r="C24" s="109" t="e">
        <f>VLOOKUP(Table257519913140106110151155[[#This Row],[PEG]],Table1016[#All],2,FALSE)</f>
        <v>#N/A</v>
      </c>
      <c r="D24" s="117"/>
      <c r="E24" s="125" t="e">
        <f>VLOOKUP(Table257519913140106110151155[[#This Row],[PEG]],Table1016[#All],3,FALSE)</f>
        <v>#N/A</v>
      </c>
    </row>
    <row r="25" spans="1:5" x14ac:dyDescent="0.35">
      <c r="A25" s="118">
        <v>18</v>
      </c>
      <c r="B25" s="114" t="s">
        <v>12</v>
      </c>
      <c r="C25" s="109" t="e">
        <f>VLOOKUP(Table257519913140106110151155[[#This Row],[PEG]],Table1016[#All],2,FALSE)</f>
        <v>#N/A</v>
      </c>
      <c r="D25" s="117"/>
      <c r="E25" s="125" t="e">
        <f>VLOOKUP(Table257519913140106110151155[[#This Row],[PEG]],Table1016[#All],3,FALSE)</f>
        <v>#N/A</v>
      </c>
    </row>
    <row r="26" spans="1:5" x14ac:dyDescent="0.35">
      <c r="A26" s="118">
        <v>19</v>
      </c>
      <c r="B26" s="114" t="s">
        <v>12</v>
      </c>
      <c r="C26" s="109" t="e">
        <f>VLOOKUP(Table257519913140106110151155[[#This Row],[PEG]],Table1016[#All],2,FALSE)</f>
        <v>#N/A</v>
      </c>
      <c r="D26" s="117"/>
      <c r="E26" s="125" t="e">
        <f>VLOOKUP(Table257519913140106110151155[[#This Row],[PEG]],Table1016[#All],3,FALSE)</f>
        <v>#N/A</v>
      </c>
    </row>
    <row r="27" spans="1:5" x14ac:dyDescent="0.35">
      <c r="A27" s="118">
        <v>20</v>
      </c>
      <c r="B27" s="114" t="s">
        <v>115</v>
      </c>
      <c r="C27" s="109" t="e">
        <f>VLOOKUP(Table257519913140106110151155[[#This Row],[PEG]],Table1016[#All],2,FALSE)</f>
        <v>#N/A</v>
      </c>
      <c r="D27" s="117"/>
      <c r="E27" s="125" t="e">
        <f>VLOOKUP(Table257519913140106110151155[[#This Row],[PEG]],Table1016[#All],3,FALSE)</f>
        <v>#N/A</v>
      </c>
    </row>
    <row r="28" spans="1:5" x14ac:dyDescent="0.35">
      <c r="A28" s="118">
        <v>21</v>
      </c>
      <c r="B28" s="114" t="s">
        <v>114</v>
      </c>
      <c r="C28" s="109" t="e">
        <f>VLOOKUP(Table257519913140106110151155[[#This Row],[PEG]],Table1016[#All],2,FALSE)</f>
        <v>#N/A</v>
      </c>
      <c r="D28" s="117"/>
      <c r="E28" s="125" t="e">
        <f>VLOOKUP(Table257519913140106110151155[[#This Row],[PEG]],Table1016[#All],3,FALSE)</f>
        <v>#N/A</v>
      </c>
    </row>
    <row r="29" spans="1:5" x14ac:dyDescent="0.35">
      <c r="A29" s="118">
        <v>22</v>
      </c>
      <c r="B29" s="114" t="s">
        <v>12</v>
      </c>
      <c r="C29" s="109" t="e">
        <f>VLOOKUP(Table257519913140106110151155[[#This Row],[PEG]],Table1016[#All],2,FALSE)</f>
        <v>#N/A</v>
      </c>
      <c r="D29" s="117"/>
      <c r="E29" s="125" t="e">
        <f>VLOOKUP(Table257519913140106110151155[[#This Row],[PEG]],Table1016[#All],3,FALSE)</f>
        <v>#N/A</v>
      </c>
    </row>
    <row r="30" spans="1:5" x14ac:dyDescent="0.35">
      <c r="A30" s="118">
        <v>23</v>
      </c>
      <c r="B30" s="114" t="s">
        <v>12</v>
      </c>
      <c r="C30" s="109" t="e">
        <f>VLOOKUP(Table257519913140106110151155[[#This Row],[PEG]],Table1016[#All],2,FALSE)</f>
        <v>#N/A</v>
      </c>
      <c r="D30" s="117"/>
      <c r="E30" s="125" t="e">
        <f>VLOOKUP(Table257519913140106110151155[[#This Row],[PEG]],Table1016[#All],3,FALSE)</f>
        <v>#N/A</v>
      </c>
    </row>
    <row r="31" spans="1:5" x14ac:dyDescent="0.35">
      <c r="A31" s="118">
        <v>24</v>
      </c>
      <c r="B31" s="114" t="s">
        <v>115</v>
      </c>
      <c r="C31" s="109" t="e">
        <f>VLOOKUP(Table257519913140106110151155[[#This Row],[PEG]],Table1016[#All],2,FALSE)</f>
        <v>#N/A</v>
      </c>
      <c r="D31" s="117"/>
      <c r="E31" s="125" t="e">
        <f>VLOOKUP(Table257519913140106110151155[[#This Row],[PEG]],Table1016[#All],3,FALSE)</f>
        <v>#N/A</v>
      </c>
    </row>
    <row r="32" spans="1:5" x14ac:dyDescent="0.35">
      <c r="A32" s="118">
        <v>25</v>
      </c>
      <c r="B32" s="114" t="s">
        <v>115</v>
      </c>
      <c r="C32" s="109" t="e">
        <f>VLOOKUP(Table257519913140106110151155[[#This Row],[PEG]],Table1016[#All],2,FALSE)</f>
        <v>#N/A</v>
      </c>
      <c r="D32" s="117"/>
      <c r="E32" s="125" t="e">
        <f>VLOOKUP(Table257519913140106110151155[[#This Row],[PEG]],Table1016[#All],3,FALSE)</f>
        <v>#N/A</v>
      </c>
    </row>
    <row r="33" spans="1:5" x14ac:dyDescent="0.35">
      <c r="A33" s="118">
        <v>26</v>
      </c>
      <c r="B33" s="114" t="s">
        <v>124</v>
      </c>
      <c r="C33" s="109" t="e">
        <f>VLOOKUP(Table257519913140106110151155[[#This Row],[PEG]],Table1016[#All],2,FALSE)</f>
        <v>#N/A</v>
      </c>
      <c r="D33" s="117"/>
      <c r="E33" s="125" t="e">
        <f>VLOOKUP(Table257519913140106110151155[[#This Row],[PEG]],Table1016[#All],3,FALSE)</f>
        <v>#N/A</v>
      </c>
    </row>
    <row r="34" spans="1:5" x14ac:dyDescent="0.35">
      <c r="A34" s="118">
        <v>27</v>
      </c>
      <c r="B34" s="114" t="s">
        <v>115</v>
      </c>
      <c r="C34" s="109" t="e">
        <f>VLOOKUP(Table257519913140106110151155[[#This Row],[PEG]],Table1016[#All],2,FALSE)</f>
        <v>#N/A</v>
      </c>
      <c r="D34" s="117"/>
      <c r="E34" s="125" t="e">
        <f>VLOOKUP(Table257519913140106110151155[[#This Row],[PEG]],Table1016[#All],3,FALSE)</f>
        <v>#N/A</v>
      </c>
    </row>
    <row r="35" spans="1:5" x14ac:dyDescent="0.35">
      <c r="A35" s="118">
        <v>28</v>
      </c>
      <c r="B35" s="114" t="s">
        <v>124</v>
      </c>
      <c r="C35" s="109" t="e">
        <f>VLOOKUP(Table257519913140106110151155[[#This Row],[PEG]],Table1016[#All],2,FALSE)</f>
        <v>#N/A</v>
      </c>
      <c r="D35" s="117"/>
      <c r="E35" s="125" t="e">
        <f>VLOOKUP(Table257519913140106110151155[[#This Row],[PEG]],Table1016[#All],3,FALSE)</f>
        <v>#N/A</v>
      </c>
    </row>
    <row r="36" spans="1:5" x14ac:dyDescent="0.35">
      <c r="A36" s="118">
        <v>29</v>
      </c>
      <c r="B36" s="114" t="s">
        <v>115</v>
      </c>
      <c r="C36" s="109" t="e">
        <f>VLOOKUP(Table257519913140106110151155[[#This Row],[PEG]],Table1016[#All],2,FALSE)</f>
        <v>#N/A</v>
      </c>
      <c r="D36" s="117"/>
      <c r="E36" s="125" t="e">
        <f>VLOOKUP(Table257519913140106110151155[[#This Row],[PEG]],Table1016[#All],3,FALSE)</f>
        <v>#N/A</v>
      </c>
    </row>
    <row r="37" spans="1:5" x14ac:dyDescent="0.35">
      <c r="A37" s="118">
        <v>30</v>
      </c>
      <c r="B37" s="114" t="s">
        <v>12</v>
      </c>
      <c r="C37" s="109" t="e">
        <f>VLOOKUP(Table257519913140106110151155[[#This Row],[PEG]],Table1016[#All],2,FALSE)</f>
        <v>#N/A</v>
      </c>
      <c r="D37" s="117"/>
      <c r="E37" s="125" t="e">
        <f>VLOOKUP(Table257519913140106110151155[[#This Row],[PEG]],Table1016[#All],3,FALSE)</f>
        <v>#N/A</v>
      </c>
    </row>
    <row r="38" spans="1:5" x14ac:dyDescent="0.35">
      <c r="A38" s="118">
        <v>31</v>
      </c>
      <c r="B38" s="114" t="s">
        <v>12</v>
      </c>
      <c r="C38" s="109" t="e">
        <f>VLOOKUP(Table257519913140106110151155[[#This Row],[PEG]],Table1016[#All],2,FALSE)</f>
        <v>#N/A</v>
      </c>
      <c r="D38" s="117"/>
      <c r="E38" s="125" t="e">
        <f>VLOOKUP(Table257519913140106110151155[[#This Row],[PEG]],Table1016[#All],3,FALSE)</f>
        <v>#N/A</v>
      </c>
    </row>
    <row r="39" spans="1:5" x14ac:dyDescent="0.35">
      <c r="A39" s="118">
        <v>32</v>
      </c>
      <c r="B39" s="114" t="s">
        <v>12</v>
      </c>
      <c r="C39" s="109" t="e">
        <f>VLOOKUP(Table257519913140106110151155[[#This Row],[PEG]],Table1016[#All],2,FALSE)</f>
        <v>#N/A</v>
      </c>
      <c r="D39" s="117"/>
      <c r="E39" s="125" t="e">
        <f>VLOOKUP(Table257519913140106110151155[[#This Row],[PEG]],Table1016[#All],3,FALSE)</f>
        <v>#N/A</v>
      </c>
    </row>
    <row r="40" spans="1:5" x14ac:dyDescent="0.35">
      <c r="A40" s="118">
        <v>33</v>
      </c>
      <c r="B40" s="114" t="s">
        <v>12</v>
      </c>
      <c r="C40" s="109" t="e">
        <f>VLOOKUP(Table257519913140106110151155[[#This Row],[PEG]],Table1016[#All],2,FALSE)</f>
        <v>#N/A</v>
      </c>
      <c r="D40" s="117"/>
      <c r="E40" s="125" t="e">
        <f>VLOOKUP(Table257519913140106110151155[[#This Row],[PEG]],Table1016[#All],3,FALSE)</f>
        <v>#N/A</v>
      </c>
    </row>
    <row r="41" spans="1:5" x14ac:dyDescent="0.35">
      <c r="A41" s="118">
        <v>34</v>
      </c>
      <c r="B41" s="114" t="s">
        <v>115</v>
      </c>
      <c r="C41" s="109" t="e">
        <f>VLOOKUP(Table257519913140106110151155[[#This Row],[PEG]],Table1016[#All],2,FALSE)</f>
        <v>#N/A</v>
      </c>
      <c r="D41" s="117"/>
      <c r="E41" s="125" t="e">
        <f>VLOOKUP(Table257519913140106110151155[[#This Row],[PEG]],Table1016[#All],3,FALSE)</f>
        <v>#N/A</v>
      </c>
    </row>
    <row r="42" spans="1:5" x14ac:dyDescent="0.35">
      <c r="A42" s="118">
        <v>35</v>
      </c>
      <c r="B42" s="114" t="s">
        <v>12</v>
      </c>
      <c r="C42" s="109" t="e">
        <f>VLOOKUP(Table257519913140106110151155[[#This Row],[PEG]],Table1016[#All],2,FALSE)</f>
        <v>#N/A</v>
      </c>
      <c r="D42" s="115"/>
      <c r="E42" s="125" t="e">
        <f>VLOOKUP(Table257519913140106110151155[[#This Row],[PEG]],Table1016[#All],3,FALSE)</f>
        <v>#N/A</v>
      </c>
    </row>
    <row r="43" spans="1:5" x14ac:dyDescent="0.35">
      <c r="A43" s="118">
        <v>36</v>
      </c>
      <c r="B43" s="114" t="s">
        <v>115</v>
      </c>
      <c r="C43" s="109" t="e">
        <f>VLOOKUP(Table257519913140106110151155[[#This Row],[PEG]],Table1016[#All],2,FALSE)</f>
        <v>#N/A</v>
      </c>
      <c r="D43" s="115"/>
      <c r="E43" s="125" t="e">
        <f>VLOOKUP(Table257519913140106110151155[[#This Row],[PEG]],Table1016[#All],3,FALSE)</f>
        <v>#N/A</v>
      </c>
    </row>
    <row r="44" spans="1:5" x14ac:dyDescent="0.35">
      <c r="A44" s="118">
        <v>37</v>
      </c>
      <c r="B44" s="114" t="s">
        <v>13</v>
      </c>
      <c r="C44" s="18" t="s">
        <v>13</v>
      </c>
      <c r="D44" s="115"/>
      <c r="E44" s="32"/>
    </row>
  </sheetData>
  <mergeCells count="1">
    <mergeCell ref="A1:B1"/>
  </mergeCells>
  <conditionalFormatting sqref="B8:B18">
    <cfRule type="containsText" dxfId="1835" priority="1" operator="containsText" text="Hear">
      <formula>NOT(ISERROR(SEARCH("Hear",B8)))</formula>
    </cfRule>
  </conditionalFormatting>
  <conditionalFormatting sqref="B30">
    <cfRule type="containsText" dxfId="1834" priority="4" operator="containsText" text="Hear">
      <formula>NOT(ISERROR(SEARCH("Hear",B30)))</formula>
    </cfRule>
  </conditionalFormatting>
  <conditionalFormatting sqref="B43:B44">
    <cfRule type="containsText" dxfId="1833" priority="8" operator="containsText" text="Hear">
      <formula>NOT(ISERROR(SEARCH("Hear",B43)))</formula>
    </cfRule>
  </conditionalFormatting>
  <conditionalFormatting sqref="E44">
    <cfRule type="containsText" dxfId="1832" priority="6" operator="containsText" text="WEB SERVICE">
      <formula>NOT(ISERROR(SEARCH("WEB SERVICE",E44)))</formula>
    </cfRule>
    <cfRule type="containsText" dxfId="1831" priority="7" operator="containsText" text="DB">
      <formula>NOT(ISERROR(SEARCH("DB",E44)))</formula>
    </cfRule>
  </conditionalFormatting>
  <conditionalFormatting sqref="C44">
    <cfRule type="expression" dxfId="1830" priority="9">
      <formula>$B44="Dial"</formula>
    </cfRule>
  </conditionalFormatting>
  <conditionalFormatting sqref="B36:B38 B40:B41">
    <cfRule type="containsText" dxfId="1829" priority="3" operator="containsText" text="Hear">
      <formula>NOT(ISERROR(SEARCH("Hear",B36)))</formula>
    </cfRule>
  </conditionalFormatting>
  <conditionalFormatting sqref="B19:B29 B31:B35 B42">
    <cfRule type="containsText" dxfId="1828" priority="5" operator="containsText" text="Hear">
      <formula>NOT(ISERROR(SEARCH("Hear",B19)))</formula>
    </cfRule>
  </conditionalFormatting>
  <hyperlinks>
    <hyperlink ref="A1" location="'Test Case Overview'!A1" display="Return to Test Case Overview" xr:uid="{D3C35B75-527D-4D9B-BE91-D089F8D71001}"/>
  </hyperlinks>
  <pageMargins left="0.7" right="0.7" top="0.75" bottom="0.75" header="0.3" footer="0.3"/>
  <pageSetup orientation="portrait" verticalDpi="0" r:id="rId1"/>
  <tableParts count="1">
    <tablePart r:id="rId2"/>
  </tableParts>
  <extLst>
    <ext xmlns:x14="http://schemas.microsoft.com/office/spreadsheetml/2009/9/main" uri="{78C0D931-6437-407d-A8EE-F0AAD7539E65}">
      <x14:conditionalFormattings>
        <x14:conditionalFormatting xmlns:xm="http://schemas.microsoft.com/office/excel/2006/main">
          <x14:cfRule type="expression" priority="2" id="{E7655D24-BD93-4C63-B1C9-E7BDA6F16F32}">
            <xm:f>'TC1'!$B8="HANGUP"</xm:f>
            <x14:dxf>
              <font>
                <b/>
                <i val="0"/>
              </font>
            </x14:dxf>
          </x14:cfRule>
          <x14:cfRule type="expression" priority="10" id="{DE4ABD63-371C-447D-94F7-DBE70E1369B1}">
            <xm:f>'TC1'!$B8="Dial"</xm:f>
            <x14:dxf>
              <font>
                <b/>
                <i val="0"/>
                <color rgb="FFFF0000"/>
              </font>
            </x14:dxf>
          </x14:cfRule>
          <xm:sqref>C8</xm:sqref>
        </x14:conditionalFormatting>
        <x14:conditionalFormatting xmlns:xm="http://schemas.microsoft.com/office/excel/2006/main">
          <x14:cfRule type="expression" priority="11" id="{B7A9AA88-587C-4B2B-8C62-F492A0BA919B}">
            <xm:f>'TC1'!$B8="Speak"</xm:f>
            <x14:dxf>
              <font>
                <b/>
                <i val="0"/>
                <color rgb="FFFF0000"/>
              </font>
            </x14:dxf>
          </x14:cfRule>
          <xm:sqref>C8</xm:sqref>
        </x14:conditionalFormatting>
        <x14:conditionalFormatting xmlns:xm="http://schemas.microsoft.com/office/excel/2006/main">
          <x14:cfRule type="containsText" priority="14" operator="containsText" text="Hear" id="{24E957A9-DA0B-4B7F-A7AD-00742BE67531}">
            <xm:f>NOT(ISERROR(SEARCH("Hear",'TC3'!B34)))</xm:f>
            <x14:dxf>
              <font>
                <color theme="9" tint="-0.24994659260841701"/>
              </font>
              <fill>
                <patternFill>
                  <bgColor theme="9" tint="0.59996337778862885"/>
                </patternFill>
              </fill>
            </x14:dxf>
          </x14:cfRule>
          <xm:sqref>B41</xm:sqref>
        </x14:conditionalFormatting>
        <x14:conditionalFormatting xmlns:xm="http://schemas.microsoft.com/office/excel/2006/main">
          <x14:cfRule type="expression" priority="2743" id="{E7655D24-BD93-4C63-B1C9-E7BDA6F16F32}">
            <xm:f>'TC1'!$B16="HANGUP"</xm:f>
            <x14:dxf>
              <font>
                <b/>
                <i val="0"/>
              </font>
            </x14:dxf>
          </x14:cfRule>
          <x14:cfRule type="expression" priority="2744" id="{DE4ABD63-371C-447D-94F7-DBE70E1369B1}">
            <xm:f>'TC1'!$B16="Dial"</xm:f>
            <x14:dxf>
              <font>
                <b/>
                <i val="0"/>
                <color rgb="FFFF0000"/>
              </font>
            </x14:dxf>
          </x14:cfRule>
          <xm:sqref>C34:C43</xm:sqref>
        </x14:conditionalFormatting>
        <x14:conditionalFormatting xmlns:xm="http://schemas.microsoft.com/office/excel/2006/main">
          <x14:cfRule type="expression" priority="2745" id="{E7655D24-BD93-4C63-B1C9-E7BDA6F16F32}">
            <xm:f>'TC1'!#REF!="HANGUP"</xm:f>
            <x14:dxf>
              <font>
                <b/>
                <i val="0"/>
              </font>
            </x14:dxf>
          </x14:cfRule>
          <x14:cfRule type="expression" priority="2746" id="{DE4ABD63-371C-447D-94F7-DBE70E1369B1}">
            <xm:f>'TC1'!#REF!="Dial"</xm:f>
            <x14:dxf>
              <font>
                <b/>
                <i val="0"/>
                <color rgb="FFFF0000"/>
              </font>
            </x14:dxf>
          </x14:cfRule>
          <xm:sqref>C17:C33</xm:sqref>
        </x14:conditionalFormatting>
        <x14:conditionalFormatting xmlns:xm="http://schemas.microsoft.com/office/excel/2006/main">
          <x14:cfRule type="expression" priority="2750" id="{B7A9AA88-587C-4B2B-8C62-F492A0BA919B}">
            <xm:f>'TC1'!$B16="Speak"</xm:f>
            <x14:dxf>
              <font>
                <b/>
                <i val="0"/>
                <color rgb="FFFF0000"/>
              </font>
            </x14:dxf>
          </x14:cfRule>
          <xm:sqref>C34:C43</xm:sqref>
        </x14:conditionalFormatting>
        <x14:conditionalFormatting xmlns:xm="http://schemas.microsoft.com/office/excel/2006/main">
          <x14:cfRule type="expression" priority="2751" id="{B7A9AA88-587C-4B2B-8C62-F492A0BA919B}">
            <xm:f>'TC1'!#REF!="Speak"</xm:f>
            <x14:dxf>
              <font>
                <b/>
                <i val="0"/>
                <color rgb="FFFF0000"/>
              </font>
            </x14:dxf>
          </x14:cfRule>
          <xm:sqref>C17:C33</xm:sqref>
        </x14:conditionalFormatting>
        <x14:conditionalFormatting xmlns:xm="http://schemas.microsoft.com/office/excel/2006/main">
          <x14:cfRule type="containsText" priority="2755" operator="containsText" text="DB" id="{2F3AD2EF-C4A3-4FCB-BC97-C123BA63DCFE}">
            <xm:f>NOT(ISERROR(SEARCH("DB",'TC1'!E16)))</xm:f>
            <x14:dxf>
              <font>
                <color rgb="FF006100"/>
              </font>
              <fill>
                <patternFill>
                  <bgColor rgb="FFC6EFCE"/>
                </patternFill>
              </fill>
            </x14:dxf>
          </x14:cfRule>
          <x14:cfRule type="containsText" priority="2756" operator="containsText" text="WEB SERVICE" id="{140C042D-683F-4744-9478-E1AD72358FB5}">
            <xm:f>NOT(ISERROR(SEARCH("WEB SERVICE",'TC1'!E16)))</xm:f>
            <x14:dxf>
              <font>
                <color rgb="FF9C0006"/>
              </font>
              <fill>
                <patternFill>
                  <bgColor rgb="FFFFC7CE"/>
                </patternFill>
              </fill>
            </x14:dxf>
          </x14:cfRule>
          <xm:sqref>E34:E43</xm:sqref>
        </x14:conditionalFormatting>
        <x14:conditionalFormatting xmlns:xm="http://schemas.microsoft.com/office/excel/2006/main">
          <x14:cfRule type="containsText" priority="2757" operator="containsText" text="DB" id="{2F3AD2EF-C4A3-4FCB-BC97-C123BA63DCFE}">
            <xm:f>NOT(ISERROR(SEARCH("DB",'TC1'!#REF!)))</xm:f>
            <x14:dxf>
              <font>
                <color rgb="FF006100"/>
              </font>
              <fill>
                <patternFill>
                  <bgColor rgb="FFC6EFCE"/>
                </patternFill>
              </fill>
            </x14:dxf>
          </x14:cfRule>
          <x14:cfRule type="containsText" priority="2758" operator="containsText" text="WEB SERVICE" id="{140C042D-683F-4744-9478-E1AD72358FB5}">
            <xm:f>NOT(ISERROR(SEARCH("WEB SERVICE",'TC1'!#REF!)))</xm:f>
            <x14:dxf>
              <font>
                <color rgb="FF9C0006"/>
              </font>
              <fill>
                <patternFill>
                  <bgColor rgb="FFFFC7CE"/>
                </patternFill>
              </fill>
            </x14:dxf>
          </x14:cfRule>
          <xm:sqref>E17:E33</xm:sqref>
        </x14:conditionalFormatting>
        <x14:conditionalFormatting xmlns:xm="http://schemas.microsoft.com/office/excel/2006/main">
          <x14:cfRule type="expression" priority="5407" id="{E7655D24-BD93-4C63-B1C9-E7BDA6F16F32}">
            <xm:f>'TC1'!$B9="HANGUP"</xm:f>
            <x14:dxf>
              <font>
                <b/>
                <i val="0"/>
              </font>
            </x14:dxf>
          </x14:cfRule>
          <x14:cfRule type="expression" priority="5408" id="{DE4ABD63-371C-447D-94F7-DBE70E1369B1}">
            <xm:f>'TC1'!$B9="Dial"</xm:f>
            <x14:dxf>
              <font>
                <b/>
                <i val="0"/>
                <color rgb="FFFF0000"/>
              </font>
            </x14:dxf>
          </x14:cfRule>
          <xm:sqref>C12:C15</xm:sqref>
        </x14:conditionalFormatting>
        <x14:conditionalFormatting xmlns:xm="http://schemas.microsoft.com/office/excel/2006/main">
          <x14:cfRule type="expression" priority="5409" id="{E7655D24-BD93-4C63-B1C9-E7BDA6F16F32}">
            <xm:f>'TC1'!#REF!="HANGUP"</xm:f>
            <x14:dxf>
              <font>
                <b/>
                <i val="0"/>
              </font>
            </x14:dxf>
          </x14:cfRule>
          <x14:cfRule type="expression" priority="5410" id="{DE4ABD63-371C-447D-94F7-DBE70E1369B1}">
            <xm:f>'TC1'!#REF!="Dial"</xm:f>
            <x14:dxf>
              <font>
                <b/>
                <i val="0"/>
                <color rgb="FFFF0000"/>
              </font>
            </x14:dxf>
          </x14:cfRule>
          <xm:sqref>C9:C11</xm:sqref>
        </x14:conditionalFormatting>
        <x14:conditionalFormatting xmlns:xm="http://schemas.microsoft.com/office/excel/2006/main">
          <x14:cfRule type="expression" priority="5414" id="{B7A9AA88-587C-4B2B-8C62-F492A0BA919B}">
            <xm:f>'TC1'!$B9="Speak"</xm:f>
            <x14:dxf>
              <font>
                <b/>
                <i val="0"/>
                <color rgb="FFFF0000"/>
              </font>
            </x14:dxf>
          </x14:cfRule>
          <xm:sqref>C12:C15</xm:sqref>
        </x14:conditionalFormatting>
        <x14:conditionalFormatting xmlns:xm="http://schemas.microsoft.com/office/excel/2006/main">
          <x14:cfRule type="expression" priority="5415" id="{B7A9AA88-587C-4B2B-8C62-F492A0BA919B}">
            <xm:f>'TC1'!#REF!="Speak"</xm:f>
            <x14:dxf>
              <font>
                <b/>
                <i val="0"/>
                <color rgb="FFFF0000"/>
              </font>
            </x14:dxf>
          </x14:cfRule>
          <xm:sqref>C9:C11</xm:sqref>
        </x14:conditionalFormatting>
        <x14:conditionalFormatting xmlns:xm="http://schemas.microsoft.com/office/excel/2006/main">
          <x14:cfRule type="containsText" priority="5417" operator="containsText" text="DB" id="{2F3AD2EF-C4A3-4FCB-BC97-C123BA63DCFE}">
            <xm:f>NOT(ISERROR(SEARCH("DB",'TC1'!#REF!)))</xm:f>
            <x14:dxf>
              <font>
                <color rgb="FF006100"/>
              </font>
              <fill>
                <patternFill>
                  <bgColor rgb="FFC6EFCE"/>
                </patternFill>
              </fill>
            </x14:dxf>
          </x14:cfRule>
          <x14:cfRule type="containsText" priority="5418" operator="containsText" text="WEB SERVICE" id="{140C042D-683F-4744-9478-E1AD72358FB5}">
            <xm:f>NOT(ISERROR(SEARCH("WEB SERVICE",'TC1'!#REF!)))</xm:f>
            <x14:dxf>
              <font>
                <color rgb="FF9C0006"/>
              </font>
              <fill>
                <patternFill>
                  <bgColor rgb="FFFFC7CE"/>
                </patternFill>
              </fill>
            </x14:dxf>
          </x14:cfRule>
          <xm:sqref>E9:E11</xm:sqref>
        </x14:conditionalFormatting>
        <x14:conditionalFormatting xmlns:xm="http://schemas.microsoft.com/office/excel/2006/main">
          <x14:cfRule type="containsText" priority="5419" operator="containsText" text="DB" id="{2F3AD2EF-C4A3-4FCB-BC97-C123BA63DCFE}">
            <xm:f>NOT(ISERROR(SEARCH("DB",'TC1'!E9)))</xm:f>
            <x14:dxf>
              <font>
                <color rgb="FF006100"/>
              </font>
              <fill>
                <patternFill>
                  <bgColor rgb="FFC6EFCE"/>
                </patternFill>
              </fill>
            </x14:dxf>
          </x14:cfRule>
          <x14:cfRule type="containsText" priority="5420" operator="containsText" text="WEB SERVICE" id="{140C042D-683F-4744-9478-E1AD72358FB5}">
            <xm:f>NOT(ISERROR(SEARCH("WEB SERVICE",'TC1'!E9)))</xm:f>
            <x14:dxf>
              <font>
                <color rgb="FF9C0006"/>
              </font>
              <fill>
                <patternFill>
                  <bgColor rgb="FFFFC7CE"/>
                </patternFill>
              </fill>
            </x14:dxf>
          </x14:cfRule>
          <xm:sqref>E12:E15</xm:sqref>
        </x14:conditionalFormatting>
        <x14:conditionalFormatting xmlns:xm="http://schemas.microsoft.com/office/excel/2006/main">
          <x14:cfRule type="expression" priority="7685" id="{E7655D24-BD93-4C63-B1C9-E7BDA6F16F32}">
            <xm:f>'TC1'!$B15="HANGUP"</xm:f>
            <x14:dxf>
              <font>
                <b/>
                <i val="0"/>
              </font>
            </x14:dxf>
          </x14:cfRule>
          <x14:cfRule type="expression" priority="7686" id="{DE4ABD63-371C-447D-94F7-DBE70E1369B1}">
            <xm:f>'TC1'!$B15="Dial"</xm:f>
            <x14:dxf>
              <font>
                <b/>
                <i val="0"/>
                <color rgb="FFFF0000"/>
              </font>
            </x14:dxf>
          </x14:cfRule>
          <xm:sqref>C16</xm:sqref>
        </x14:conditionalFormatting>
        <x14:conditionalFormatting xmlns:xm="http://schemas.microsoft.com/office/excel/2006/main">
          <x14:cfRule type="expression" priority="7688" id="{B7A9AA88-587C-4B2B-8C62-F492A0BA919B}">
            <xm:f>'TC1'!$B15="Speak"</xm:f>
            <x14:dxf>
              <font>
                <b/>
                <i val="0"/>
                <color rgb="FFFF0000"/>
              </font>
            </x14:dxf>
          </x14:cfRule>
          <xm:sqref>C16</xm:sqref>
        </x14:conditionalFormatting>
        <x14:conditionalFormatting xmlns:xm="http://schemas.microsoft.com/office/excel/2006/main">
          <x14:cfRule type="containsText" priority="7691" operator="containsText" text="DB" id="{2F3AD2EF-C4A3-4FCB-BC97-C123BA63DCFE}">
            <xm:f>NOT(ISERROR(SEARCH("DB",'TC1'!E15)))</xm:f>
            <x14:dxf>
              <font>
                <color rgb="FF006100"/>
              </font>
              <fill>
                <patternFill>
                  <bgColor rgb="FFC6EFCE"/>
                </patternFill>
              </fill>
            </x14:dxf>
          </x14:cfRule>
          <x14:cfRule type="containsText" priority="7692" operator="containsText" text="WEB SERVICE" id="{140C042D-683F-4744-9478-E1AD72358FB5}">
            <xm:f>NOT(ISERROR(SEARCH("WEB SERVICE",'TC1'!E15)))</xm:f>
            <x14:dxf>
              <font>
                <color rgb="FF9C0006"/>
              </font>
              <fill>
                <patternFill>
                  <bgColor rgb="FFFFC7CE"/>
                </patternFill>
              </fill>
            </x14:dxf>
          </x14:cfRule>
          <xm:sqref>E16</xm:sqref>
        </x14:conditionalFormatting>
        <x14:conditionalFormatting xmlns:xm="http://schemas.microsoft.com/office/excel/2006/main">
          <x14:cfRule type="containsText" priority="10314" operator="containsText" text="Hear" id="{6BB7B049-4F1B-41F2-A972-58CF6A0A78AC}">
            <xm:f>NOT(ISERROR(SEARCH("Hear",'TC26'!#REF!)))</xm:f>
            <x14:dxf>
              <font>
                <color theme="9" tint="-0.24994659260841701"/>
              </font>
              <fill>
                <patternFill>
                  <bgColor theme="9" tint="0.59996337778862885"/>
                </patternFill>
              </fill>
            </x14:dxf>
          </x14:cfRule>
          <xm:sqref>B39</xm:sqref>
        </x14:conditionalFormatting>
      </x14:conditionalFormattings>
    </ext>
  </extLst>
</worksheet>
</file>

<file path=xl/worksheets/sheet1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D00-000000000000}">
  <sheetPr codeName="Sheet127"/>
  <dimension ref="A1:E44"/>
  <sheetViews>
    <sheetView zoomScaleNormal="100" workbookViewId="0">
      <selection sqref="A1:E44"/>
    </sheetView>
  </sheetViews>
  <sheetFormatPr defaultRowHeight="14.5" x14ac:dyDescent="0.35"/>
  <cols>
    <col min="1" max="1" width="14.453125" bestFit="1" customWidth="1"/>
    <col min="2" max="2" width="42.6328125" customWidth="1"/>
    <col min="3" max="3" width="106.1796875" customWidth="1"/>
    <col min="4" max="4" width="21.81640625" bestFit="1" customWidth="1"/>
    <col min="5" max="5" width="20.6328125" customWidth="1"/>
  </cols>
  <sheetData>
    <row r="1" spans="1:5" ht="18.5" x14ac:dyDescent="0.35">
      <c r="A1" s="192" t="s">
        <v>4</v>
      </c>
      <c r="B1" s="192"/>
      <c r="C1" s="105"/>
      <c r="D1" s="111"/>
      <c r="E1" s="97"/>
    </row>
    <row r="2" spans="1:5" x14ac:dyDescent="0.35">
      <c r="A2" s="106" t="s">
        <v>5</v>
      </c>
      <c r="B2" s="107" t="str">
        <f ca="1">MID(CELL("filename",A1),FIND("]",CELL("filename",A1))+1,LEN(CELL("filename",A1))-FIND("]",CELL("filename",A1)))</f>
        <v>TC125</v>
      </c>
      <c r="C2" s="98"/>
      <c r="D2" s="111"/>
      <c r="E2" s="97"/>
    </row>
    <row r="3" spans="1:5" x14ac:dyDescent="0.35">
      <c r="A3" s="104" t="s">
        <v>19</v>
      </c>
      <c r="B3" s="112">
        <f ca="1">VLOOKUP(B2,Table53[#All],2,FALSE)</f>
        <v>0</v>
      </c>
      <c r="C3" s="98"/>
      <c r="D3" s="111"/>
      <c r="E3" s="97"/>
    </row>
    <row r="4" spans="1:5" ht="29" x14ac:dyDescent="0.35">
      <c r="A4" s="113" t="s">
        <v>20</v>
      </c>
      <c r="B4" s="99">
        <f ca="1">VLOOKUP(B2,Table53[#All],4,FALSE)</f>
        <v>0</v>
      </c>
      <c r="C4" s="98"/>
      <c r="D4" s="111"/>
      <c r="E4" s="97"/>
    </row>
    <row r="5" spans="1:5" x14ac:dyDescent="0.35">
      <c r="A5" s="104" t="s">
        <v>6</v>
      </c>
      <c r="B5" s="77">
        <f ca="1">VLOOKUP(B2,Table53[#All],3,FALSE)</f>
        <v>0</v>
      </c>
      <c r="C5" s="98"/>
      <c r="D5" s="111"/>
      <c r="E5" s="97"/>
    </row>
    <row r="6" spans="1:5" x14ac:dyDescent="0.35">
      <c r="A6" s="97"/>
      <c r="B6" s="97"/>
      <c r="C6" s="98"/>
      <c r="D6" s="111"/>
      <c r="E6" s="97"/>
    </row>
    <row r="7" spans="1:5" ht="15.5" x14ac:dyDescent="0.35">
      <c r="A7" s="100" t="s">
        <v>7</v>
      </c>
      <c r="B7" s="101" t="s">
        <v>8</v>
      </c>
      <c r="C7" s="102" t="s">
        <v>9</v>
      </c>
      <c r="D7" s="102" t="s">
        <v>14</v>
      </c>
      <c r="E7" s="103" t="s">
        <v>10</v>
      </c>
    </row>
    <row r="8" spans="1:5" x14ac:dyDescent="0.35">
      <c r="A8" s="118">
        <v>1</v>
      </c>
      <c r="B8" s="114" t="s">
        <v>114</v>
      </c>
      <c r="C8" s="109" t="s">
        <v>125</v>
      </c>
      <c r="D8" s="128"/>
      <c r="E8" s="125" t="s">
        <v>11</v>
      </c>
    </row>
    <row r="9" spans="1:5" x14ac:dyDescent="0.35">
      <c r="A9" s="118">
        <v>2</v>
      </c>
      <c r="B9" s="114" t="s">
        <v>12</v>
      </c>
      <c r="C9" s="109" t="e">
        <f>VLOOKUP(Table257519913140106110151155158[[#This Row],[PEG]],Table1016[#All],2,FALSE)</f>
        <v>#N/A</v>
      </c>
      <c r="D9" s="128"/>
      <c r="E9" s="125" t="e">
        <f>VLOOKUP(Table257519913140106110151155158[[#This Row],[PEG]],Table1016[#All],3,FALSE)</f>
        <v>#N/A</v>
      </c>
    </row>
    <row r="10" spans="1:5" x14ac:dyDescent="0.35">
      <c r="A10" s="118">
        <v>3</v>
      </c>
      <c r="B10" s="114" t="s">
        <v>115</v>
      </c>
      <c r="C10" s="109" t="e">
        <f>VLOOKUP(Table257519913140106110151155158[[#This Row],[PEG]],Table1016[#All],2,FALSE)</f>
        <v>#N/A</v>
      </c>
      <c r="D10" s="128"/>
      <c r="E10" s="125" t="e">
        <f>VLOOKUP(Table257519913140106110151155158[[#This Row],[PEG]],Table1016[#All],3,FALSE)</f>
        <v>#N/A</v>
      </c>
    </row>
    <row r="11" spans="1:5" x14ac:dyDescent="0.35">
      <c r="A11" s="118">
        <v>4</v>
      </c>
      <c r="B11" s="114" t="s">
        <v>115</v>
      </c>
      <c r="C11" s="109" t="e">
        <f>VLOOKUP(Table257519913140106110151155158[[#This Row],[PEG]],Table1016[#All],2,FALSE)</f>
        <v>#N/A</v>
      </c>
      <c r="D11" s="128"/>
      <c r="E11" s="125" t="e">
        <f>VLOOKUP(Table257519913140106110151155158[[#This Row],[PEG]],Table1016[#All],3,FALSE)</f>
        <v>#N/A</v>
      </c>
    </row>
    <row r="12" spans="1:5" x14ac:dyDescent="0.35">
      <c r="A12" s="118">
        <v>5</v>
      </c>
      <c r="B12" s="114" t="s">
        <v>114</v>
      </c>
      <c r="C12" s="109" t="e">
        <f>VLOOKUP(Table257519913140106110151155158[[#This Row],[PEG]],Table1016[#All],2,FALSE)</f>
        <v>#N/A</v>
      </c>
      <c r="D12" s="128"/>
      <c r="E12" s="125" t="e">
        <f>VLOOKUP(Table257519913140106110151155158[[#This Row],[PEG]],Table1016[#All],3,FALSE)</f>
        <v>#N/A</v>
      </c>
    </row>
    <row r="13" spans="1:5" x14ac:dyDescent="0.35">
      <c r="A13" s="118">
        <v>6</v>
      </c>
      <c r="B13" s="114" t="s">
        <v>115</v>
      </c>
      <c r="C13" s="109" t="e">
        <f>VLOOKUP(Table257519913140106110151155158[[#This Row],[PEG]],Table1016[#All],2,FALSE)</f>
        <v>#N/A</v>
      </c>
      <c r="D13" s="128"/>
      <c r="E13" s="125" t="e">
        <f>VLOOKUP(Table257519913140106110151155158[[#This Row],[PEG]],Table1016[#All],3,FALSE)</f>
        <v>#N/A</v>
      </c>
    </row>
    <row r="14" spans="1:5" x14ac:dyDescent="0.35">
      <c r="A14" s="118">
        <v>7</v>
      </c>
      <c r="B14" s="114" t="s">
        <v>114</v>
      </c>
      <c r="C14" s="109" t="e">
        <f>VLOOKUP(Table257519913140106110151155158[[#This Row],[PEG]],Table1016[#All],2,FALSE)</f>
        <v>#N/A</v>
      </c>
      <c r="D14" s="128"/>
      <c r="E14" s="125" t="e">
        <f>VLOOKUP(Table257519913140106110151155158[[#This Row],[PEG]],Table1016[#All],3,FALSE)</f>
        <v>#N/A</v>
      </c>
    </row>
    <row r="15" spans="1:5" x14ac:dyDescent="0.35">
      <c r="A15" s="118">
        <v>8</v>
      </c>
      <c r="B15" s="114" t="s">
        <v>115</v>
      </c>
      <c r="C15" s="109" t="e">
        <f>VLOOKUP(Table257519913140106110151155158[[#This Row],[PEG]],Table1016[#All],2,FALSE)</f>
        <v>#N/A</v>
      </c>
      <c r="D15" s="116"/>
      <c r="E15" s="125" t="e">
        <f>VLOOKUP(Table257519913140106110151155158[[#This Row],[PEG]],Table1016[#All],3,FALSE)</f>
        <v>#N/A</v>
      </c>
    </row>
    <row r="16" spans="1:5" x14ac:dyDescent="0.35">
      <c r="A16" s="118">
        <v>9</v>
      </c>
      <c r="B16" s="114" t="s">
        <v>12</v>
      </c>
      <c r="C16" s="109" t="e">
        <f>VLOOKUP(Table257519913140106110151155158[[#This Row],[PEG]],Table1016[#All],2,FALSE)</f>
        <v>#N/A</v>
      </c>
      <c r="D16" s="116"/>
      <c r="E16" s="125" t="e">
        <f>VLOOKUP(Table257519913140106110151155158[[#This Row],[PEG]],Table1016[#All],3,FALSE)</f>
        <v>#N/A</v>
      </c>
    </row>
    <row r="17" spans="1:5" x14ac:dyDescent="0.35">
      <c r="A17" s="118">
        <v>10</v>
      </c>
      <c r="B17" s="114" t="s">
        <v>12</v>
      </c>
      <c r="C17" s="109" t="e">
        <f>VLOOKUP(Table257519913140106110151155158[[#This Row],[PEG]],Table1016[#All],2,FALSE)</f>
        <v>#N/A</v>
      </c>
      <c r="D17" s="117"/>
      <c r="E17" s="125" t="e">
        <f>VLOOKUP(Table257519913140106110151155158[[#This Row],[PEG]],Table1016[#All],3,FALSE)</f>
        <v>#N/A</v>
      </c>
    </row>
    <row r="18" spans="1:5" x14ac:dyDescent="0.35">
      <c r="A18" s="118">
        <v>11</v>
      </c>
      <c r="B18" s="114" t="s">
        <v>115</v>
      </c>
      <c r="C18" s="109" t="e">
        <f>VLOOKUP(Table257519913140106110151155158[[#This Row],[PEG]],Table1016[#All],2,FALSE)</f>
        <v>#N/A</v>
      </c>
      <c r="D18" s="117"/>
      <c r="E18" s="125" t="e">
        <f>VLOOKUP(Table257519913140106110151155158[[#This Row],[PEG]],Table1016[#All],3,FALSE)</f>
        <v>#N/A</v>
      </c>
    </row>
    <row r="19" spans="1:5" x14ac:dyDescent="0.35">
      <c r="A19" s="118">
        <v>12</v>
      </c>
      <c r="B19" s="114" t="s">
        <v>115</v>
      </c>
      <c r="C19" s="109" t="e">
        <f>VLOOKUP(Table257519913140106110151155158[[#This Row],[PEG]],Table1016[#All],2,FALSE)</f>
        <v>#N/A</v>
      </c>
      <c r="D19" s="117"/>
      <c r="E19" s="125" t="e">
        <f>VLOOKUP(Table257519913140106110151155158[[#This Row],[PEG]],Table1016[#All],3,FALSE)</f>
        <v>#N/A</v>
      </c>
    </row>
    <row r="20" spans="1:5" x14ac:dyDescent="0.35">
      <c r="A20" s="118">
        <v>13</v>
      </c>
      <c r="B20" s="114" t="s">
        <v>114</v>
      </c>
      <c r="C20" s="109" t="e">
        <f>VLOOKUP(Table257519913140106110151155158[[#This Row],[PEG]],Table1016[#All],2,FALSE)</f>
        <v>#N/A</v>
      </c>
      <c r="D20" s="117"/>
      <c r="E20" s="125" t="e">
        <f>VLOOKUP(Table257519913140106110151155158[[#This Row],[PEG]],Table1016[#All],3,FALSE)</f>
        <v>#N/A</v>
      </c>
    </row>
    <row r="21" spans="1:5" x14ac:dyDescent="0.35">
      <c r="A21" s="118">
        <v>14</v>
      </c>
      <c r="B21" s="114" t="s">
        <v>12</v>
      </c>
      <c r="C21" s="109" t="e">
        <f>VLOOKUP(Table257519913140106110151155158[[#This Row],[PEG]],Table1016[#All],2,FALSE)</f>
        <v>#N/A</v>
      </c>
      <c r="D21" s="117"/>
      <c r="E21" s="125" t="e">
        <f>VLOOKUP(Table257519913140106110151155158[[#This Row],[PEG]],Table1016[#All],3,FALSE)</f>
        <v>#N/A</v>
      </c>
    </row>
    <row r="22" spans="1:5" x14ac:dyDescent="0.35">
      <c r="A22" s="118">
        <v>15</v>
      </c>
      <c r="B22" s="114" t="s">
        <v>12</v>
      </c>
      <c r="C22" s="109" t="e">
        <f>VLOOKUP(Table257519913140106110151155158[[#This Row],[PEG]],Table1016[#All],2,FALSE)</f>
        <v>#N/A</v>
      </c>
      <c r="D22" s="117"/>
      <c r="E22" s="125" t="e">
        <f>VLOOKUP(Table257519913140106110151155158[[#This Row],[PEG]],Table1016[#All],3,FALSE)</f>
        <v>#N/A</v>
      </c>
    </row>
    <row r="23" spans="1:5" x14ac:dyDescent="0.35">
      <c r="A23" s="118">
        <v>16</v>
      </c>
      <c r="B23" s="114" t="s">
        <v>115</v>
      </c>
      <c r="C23" s="109" t="e">
        <f>VLOOKUP(Table257519913140106110151155158[[#This Row],[PEG]],Table1016[#All],2,FALSE)</f>
        <v>#N/A</v>
      </c>
      <c r="D23" s="117"/>
      <c r="E23" s="125" t="e">
        <f>VLOOKUP(Table257519913140106110151155158[[#This Row],[PEG]],Table1016[#All],3,FALSE)</f>
        <v>#N/A</v>
      </c>
    </row>
    <row r="24" spans="1:5" x14ac:dyDescent="0.35">
      <c r="A24" s="118">
        <v>17</v>
      </c>
      <c r="B24" s="114" t="s">
        <v>114</v>
      </c>
      <c r="C24" s="109" t="e">
        <f>VLOOKUP(Table257519913140106110151155158[[#This Row],[PEG]],Table1016[#All],2,FALSE)</f>
        <v>#N/A</v>
      </c>
      <c r="D24" s="117"/>
      <c r="E24" s="125" t="e">
        <f>VLOOKUP(Table257519913140106110151155158[[#This Row],[PEG]],Table1016[#All],3,FALSE)</f>
        <v>#N/A</v>
      </c>
    </row>
    <row r="25" spans="1:5" x14ac:dyDescent="0.35">
      <c r="A25" s="118">
        <v>18</v>
      </c>
      <c r="B25" s="114" t="s">
        <v>12</v>
      </c>
      <c r="C25" s="109" t="e">
        <f>VLOOKUP(Table257519913140106110151155158[[#This Row],[PEG]],Table1016[#All],2,FALSE)</f>
        <v>#N/A</v>
      </c>
      <c r="D25" s="117"/>
      <c r="E25" s="125" t="e">
        <f>VLOOKUP(Table257519913140106110151155158[[#This Row],[PEG]],Table1016[#All],3,FALSE)</f>
        <v>#N/A</v>
      </c>
    </row>
    <row r="26" spans="1:5" x14ac:dyDescent="0.35">
      <c r="A26" s="118">
        <v>19</v>
      </c>
      <c r="B26" s="114" t="s">
        <v>12</v>
      </c>
      <c r="C26" s="109" t="e">
        <f>VLOOKUP(Table257519913140106110151155158[[#This Row],[PEG]],Table1016[#All],2,FALSE)</f>
        <v>#N/A</v>
      </c>
      <c r="D26" s="117"/>
      <c r="E26" s="125" t="e">
        <f>VLOOKUP(Table257519913140106110151155158[[#This Row],[PEG]],Table1016[#All],3,FALSE)</f>
        <v>#N/A</v>
      </c>
    </row>
    <row r="27" spans="1:5" x14ac:dyDescent="0.35">
      <c r="A27" s="118">
        <v>20</v>
      </c>
      <c r="B27" s="114" t="s">
        <v>115</v>
      </c>
      <c r="C27" s="109" t="e">
        <f>VLOOKUP(Table257519913140106110151155158[[#This Row],[PEG]],Table1016[#All],2,FALSE)</f>
        <v>#N/A</v>
      </c>
      <c r="D27" s="117"/>
      <c r="E27" s="125" t="e">
        <f>VLOOKUP(Table257519913140106110151155158[[#This Row],[PEG]],Table1016[#All],3,FALSE)</f>
        <v>#N/A</v>
      </c>
    </row>
    <row r="28" spans="1:5" x14ac:dyDescent="0.35">
      <c r="A28" s="118">
        <v>21</v>
      </c>
      <c r="B28" s="114" t="s">
        <v>114</v>
      </c>
      <c r="C28" s="109" t="e">
        <f>VLOOKUP(Table257519913140106110151155158[[#This Row],[PEG]],Table1016[#All],2,FALSE)</f>
        <v>#N/A</v>
      </c>
      <c r="D28" s="117"/>
      <c r="E28" s="125" t="e">
        <f>VLOOKUP(Table257519913140106110151155158[[#This Row],[PEG]],Table1016[#All],3,FALSE)</f>
        <v>#N/A</v>
      </c>
    </row>
    <row r="29" spans="1:5" x14ac:dyDescent="0.35">
      <c r="A29" s="118">
        <v>22</v>
      </c>
      <c r="B29" s="114" t="s">
        <v>12</v>
      </c>
      <c r="C29" s="109" t="e">
        <f>VLOOKUP(Table257519913140106110151155158[[#This Row],[PEG]],Table1016[#All],2,FALSE)</f>
        <v>#N/A</v>
      </c>
      <c r="D29" s="117"/>
      <c r="E29" s="125" t="e">
        <f>VLOOKUP(Table257519913140106110151155158[[#This Row],[PEG]],Table1016[#All],3,FALSE)</f>
        <v>#N/A</v>
      </c>
    </row>
    <row r="30" spans="1:5" x14ac:dyDescent="0.35">
      <c r="A30" s="118">
        <v>23</v>
      </c>
      <c r="B30" s="114" t="s">
        <v>12</v>
      </c>
      <c r="C30" s="109" t="e">
        <f>VLOOKUP(Table257519913140106110151155158[[#This Row],[PEG]],Table1016[#All],2,FALSE)</f>
        <v>#N/A</v>
      </c>
      <c r="D30" s="117"/>
      <c r="E30" s="125" t="e">
        <f>VLOOKUP(Table257519913140106110151155158[[#This Row],[PEG]],Table1016[#All],3,FALSE)</f>
        <v>#N/A</v>
      </c>
    </row>
    <row r="31" spans="1:5" x14ac:dyDescent="0.35">
      <c r="A31" s="118">
        <v>24</v>
      </c>
      <c r="B31" s="114" t="s">
        <v>115</v>
      </c>
      <c r="C31" s="109" t="e">
        <f>VLOOKUP(Table257519913140106110151155158[[#This Row],[PEG]],Table1016[#All],2,FALSE)</f>
        <v>#N/A</v>
      </c>
      <c r="D31" s="117"/>
      <c r="E31" s="125" t="e">
        <f>VLOOKUP(Table257519913140106110151155158[[#This Row],[PEG]],Table1016[#All],3,FALSE)</f>
        <v>#N/A</v>
      </c>
    </row>
    <row r="32" spans="1:5" x14ac:dyDescent="0.35">
      <c r="A32" s="118">
        <v>25</v>
      </c>
      <c r="B32" s="114" t="s">
        <v>115</v>
      </c>
      <c r="C32" s="109" t="e">
        <f>VLOOKUP(Table257519913140106110151155158[[#This Row],[PEG]],Table1016[#All],2,FALSE)</f>
        <v>#N/A</v>
      </c>
      <c r="D32" s="117"/>
      <c r="E32" s="125" t="e">
        <f>VLOOKUP(Table257519913140106110151155158[[#This Row],[PEG]],Table1016[#All],3,FALSE)</f>
        <v>#N/A</v>
      </c>
    </row>
    <row r="33" spans="1:5" x14ac:dyDescent="0.35">
      <c r="A33" s="118">
        <v>26</v>
      </c>
      <c r="B33" s="114" t="s">
        <v>124</v>
      </c>
      <c r="C33" s="109" t="e">
        <f>VLOOKUP(Table257519913140106110151155158[[#This Row],[PEG]],Table1016[#All],2,FALSE)</f>
        <v>#N/A</v>
      </c>
      <c r="D33" s="117"/>
      <c r="E33" s="125" t="e">
        <f>VLOOKUP(Table257519913140106110151155158[[#This Row],[PEG]],Table1016[#All],3,FALSE)</f>
        <v>#N/A</v>
      </c>
    </row>
    <row r="34" spans="1:5" x14ac:dyDescent="0.35">
      <c r="A34" s="118">
        <v>27</v>
      </c>
      <c r="B34" s="114" t="s">
        <v>115</v>
      </c>
      <c r="C34" s="109" t="e">
        <f>VLOOKUP(Table257519913140106110151155158[[#This Row],[PEG]],Table1016[#All],2,FALSE)</f>
        <v>#N/A</v>
      </c>
      <c r="D34" s="117"/>
      <c r="E34" s="125" t="e">
        <f>VLOOKUP(Table257519913140106110151155158[[#This Row],[PEG]],Table1016[#All],3,FALSE)</f>
        <v>#N/A</v>
      </c>
    </row>
    <row r="35" spans="1:5" x14ac:dyDescent="0.35">
      <c r="A35" s="118">
        <v>28</v>
      </c>
      <c r="B35" s="114" t="s">
        <v>124</v>
      </c>
      <c r="C35" s="109" t="e">
        <f>VLOOKUP(Table257519913140106110151155158[[#This Row],[PEG]],Table1016[#All],2,FALSE)</f>
        <v>#N/A</v>
      </c>
      <c r="D35" s="117"/>
      <c r="E35" s="125" t="e">
        <f>VLOOKUP(Table257519913140106110151155158[[#This Row],[PEG]],Table1016[#All],3,FALSE)</f>
        <v>#N/A</v>
      </c>
    </row>
    <row r="36" spans="1:5" x14ac:dyDescent="0.35">
      <c r="A36" s="118">
        <v>29</v>
      </c>
      <c r="B36" s="114" t="s">
        <v>115</v>
      </c>
      <c r="C36" s="109" t="e">
        <f>VLOOKUP(Table257519913140106110151155158[[#This Row],[PEG]],Table1016[#All],2,FALSE)</f>
        <v>#N/A</v>
      </c>
      <c r="D36" s="117"/>
      <c r="E36" s="125" t="e">
        <f>VLOOKUP(Table257519913140106110151155158[[#This Row],[PEG]],Table1016[#All],3,FALSE)</f>
        <v>#N/A</v>
      </c>
    </row>
    <row r="37" spans="1:5" x14ac:dyDescent="0.35">
      <c r="A37" s="118">
        <v>30</v>
      </c>
      <c r="B37" s="114" t="s">
        <v>12</v>
      </c>
      <c r="C37" s="109" t="e">
        <f>VLOOKUP(Table257519913140106110151155158[[#This Row],[PEG]],Table1016[#All],2,FALSE)</f>
        <v>#N/A</v>
      </c>
      <c r="D37" s="117"/>
      <c r="E37" s="125" t="e">
        <f>VLOOKUP(Table257519913140106110151155158[[#This Row],[PEG]],Table1016[#All],3,FALSE)</f>
        <v>#N/A</v>
      </c>
    </row>
    <row r="38" spans="1:5" x14ac:dyDescent="0.35">
      <c r="A38" s="118">
        <v>31</v>
      </c>
      <c r="B38" s="114" t="s">
        <v>12</v>
      </c>
      <c r="C38" s="109" t="e">
        <f>VLOOKUP(Table257519913140106110151155158[[#This Row],[PEG]],Table1016[#All],2,FALSE)</f>
        <v>#N/A</v>
      </c>
      <c r="D38" s="117"/>
      <c r="E38" s="125" t="e">
        <f>VLOOKUP(Table257519913140106110151155158[[#This Row],[PEG]],Table1016[#All],3,FALSE)</f>
        <v>#N/A</v>
      </c>
    </row>
    <row r="39" spans="1:5" x14ac:dyDescent="0.35">
      <c r="A39" s="118">
        <v>32</v>
      </c>
      <c r="B39" s="114" t="s">
        <v>12</v>
      </c>
      <c r="C39" s="109" t="e">
        <f>VLOOKUP(Table257519913140106110151155158[[#This Row],[PEG]],Table1016[#All],2,FALSE)</f>
        <v>#N/A</v>
      </c>
      <c r="D39" s="117"/>
      <c r="E39" s="125" t="e">
        <f>VLOOKUP(Table257519913140106110151155158[[#This Row],[PEG]],Table1016[#All],3,FALSE)</f>
        <v>#N/A</v>
      </c>
    </row>
    <row r="40" spans="1:5" x14ac:dyDescent="0.35">
      <c r="A40" s="118">
        <v>33</v>
      </c>
      <c r="B40" s="114" t="s">
        <v>12</v>
      </c>
      <c r="C40" s="109" t="e">
        <f>VLOOKUP(Table257519913140106110151155158[[#This Row],[PEG]],Table1016[#All],2,FALSE)</f>
        <v>#N/A</v>
      </c>
      <c r="D40" s="117"/>
      <c r="E40" s="125" t="e">
        <f>VLOOKUP(Table257519913140106110151155158[[#This Row],[PEG]],Table1016[#All],3,FALSE)</f>
        <v>#N/A</v>
      </c>
    </row>
    <row r="41" spans="1:5" x14ac:dyDescent="0.35">
      <c r="A41" s="118">
        <v>34</v>
      </c>
      <c r="B41" s="114" t="s">
        <v>115</v>
      </c>
      <c r="C41" s="109" t="e">
        <f>VLOOKUP(Table257519913140106110151155158[[#This Row],[PEG]],Table1016[#All],2,FALSE)</f>
        <v>#N/A</v>
      </c>
      <c r="D41" s="117"/>
      <c r="E41" s="125" t="e">
        <f>VLOOKUP(Table257519913140106110151155158[[#This Row],[PEG]],Table1016[#All],3,FALSE)</f>
        <v>#N/A</v>
      </c>
    </row>
    <row r="42" spans="1:5" x14ac:dyDescent="0.35">
      <c r="A42" s="118">
        <v>35</v>
      </c>
      <c r="B42" s="114" t="s">
        <v>12</v>
      </c>
      <c r="C42" s="109" t="e">
        <f>VLOOKUP(Table257519913140106110151155158[[#This Row],[PEG]],Table1016[#All],2,FALSE)</f>
        <v>#N/A</v>
      </c>
      <c r="D42" s="115"/>
      <c r="E42" s="125" t="e">
        <f>VLOOKUP(Table257519913140106110151155158[[#This Row],[PEG]],Table1016[#All],3,FALSE)</f>
        <v>#N/A</v>
      </c>
    </row>
    <row r="43" spans="1:5" x14ac:dyDescent="0.35">
      <c r="A43" s="118">
        <v>36</v>
      </c>
      <c r="B43" s="114" t="s">
        <v>115</v>
      </c>
      <c r="C43" s="109" t="e">
        <f>VLOOKUP(Table257519913140106110151155158[[#This Row],[PEG]],Table1016[#All],2,FALSE)</f>
        <v>#N/A</v>
      </c>
      <c r="D43" s="115"/>
      <c r="E43" s="125" t="e">
        <f>VLOOKUP(Table257519913140106110151155158[[#This Row],[PEG]],Table1016[#All],3,FALSE)</f>
        <v>#N/A</v>
      </c>
    </row>
    <row r="44" spans="1:5" x14ac:dyDescent="0.35">
      <c r="A44" s="118">
        <v>37</v>
      </c>
      <c r="B44" s="114" t="s">
        <v>13</v>
      </c>
      <c r="C44" s="18" t="s">
        <v>13</v>
      </c>
      <c r="D44" s="115"/>
      <c r="E44" s="32"/>
    </row>
  </sheetData>
  <mergeCells count="1">
    <mergeCell ref="A1:B1"/>
  </mergeCells>
  <conditionalFormatting sqref="B8:B18">
    <cfRule type="containsText" dxfId="1797" priority="1" operator="containsText" text="Hear">
      <formula>NOT(ISERROR(SEARCH("Hear",B8)))</formula>
    </cfRule>
  </conditionalFormatting>
  <conditionalFormatting sqref="B30">
    <cfRule type="containsText" dxfId="1796" priority="4" operator="containsText" text="Hear">
      <formula>NOT(ISERROR(SEARCH("Hear",B30)))</formula>
    </cfRule>
  </conditionalFormatting>
  <conditionalFormatting sqref="B43:B44">
    <cfRule type="containsText" dxfId="1795" priority="8" operator="containsText" text="Hear">
      <formula>NOT(ISERROR(SEARCH("Hear",B43)))</formula>
    </cfRule>
  </conditionalFormatting>
  <conditionalFormatting sqref="E44">
    <cfRule type="containsText" dxfId="1794" priority="6" operator="containsText" text="WEB SERVICE">
      <formula>NOT(ISERROR(SEARCH("WEB SERVICE",E44)))</formula>
    </cfRule>
    <cfRule type="containsText" dxfId="1793" priority="7" operator="containsText" text="DB">
      <formula>NOT(ISERROR(SEARCH("DB",E44)))</formula>
    </cfRule>
  </conditionalFormatting>
  <conditionalFormatting sqref="B36:B38 B40:B41">
    <cfRule type="containsText" dxfId="1792" priority="3" operator="containsText" text="Hear">
      <formula>NOT(ISERROR(SEARCH("Hear",B36)))</formula>
    </cfRule>
  </conditionalFormatting>
  <conditionalFormatting sqref="B19:B29 B31:B35 B42">
    <cfRule type="containsText" dxfId="1791" priority="5" operator="containsText" text="Hear">
      <formula>NOT(ISERROR(SEARCH("Hear",B19)))</formula>
    </cfRule>
  </conditionalFormatting>
  <conditionalFormatting sqref="C44">
    <cfRule type="expression" dxfId="1790" priority="9">
      <formula>$B44="HANGUP"</formula>
    </cfRule>
    <cfRule type="expression" dxfId="1789" priority="9">
      <formula>$B44="Dial"</formula>
    </cfRule>
  </conditionalFormatting>
  <conditionalFormatting sqref="C44">
    <cfRule type="expression" dxfId="1788" priority="10">
      <formula>$B44="Speak"</formula>
    </cfRule>
  </conditionalFormatting>
  <hyperlinks>
    <hyperlink ref="A1" location="'Test Case Overview'!A1" display="Return to Test Case Overview" xr:uid="{A8B0D6E4-ADE7-4961-9C6B-88E7710F7CC4}"/>
  </hyperlinks>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expression" priority="2" id="{BBBA7FCB-694F-455A-B12B-67F8FD384288}">
            <xm:f>'TC1'!$B8="Dial"</xm:f>
            <x14:dxf>
              <font>
                <b/>
                <i val="0"/>
                <color rgb="FFFF0000"/>
              </font>
            </x14:dxf>
          </x14:cfRule>
          <x14:cfRule type="expression" priority="15" id="{D4B8A7A6-B827-4621-BB26-2776654731A9}">
            <xm:f>'TC1'!$B8="HANGUP"</xm:f>
            <x14:dxf>
              <font>
                <b/>
                <i val="0"/>
              </font>
            </x14:dxf>
          </x14:cfRule>
          <xm:sqref>C8</xm:sqref>
        </x14:conditionalFormatting>
        <x14:conditionalFormatting xmlns:xm="http://schemas.microsoft.com/office/excel/2006/main">
          <x14:cfRule type="expression" priority="14" id="{B20DE416-B7E5-4B98-A87D-E5124E5BC417}">
            <xm:f>'TC1'!$B8="Speak"</xm:f>
            <x14:dxf>
              <font>
                <b/>
                <i val="0"/>
                <color rgb="FFFF0000"/>
              </font>
            </x14:dxf>
          </x14:cfRule>
          <xm:sqref>C8</xm:sqref>
        </x14:conditionalFormatting>
        <x14:conditionalFormatting xmlns:xm="http://schemas.microsoft.com/office/excel/2006/main">
          <x14:cfRule type="containsText" priority="16" operator="containsText" text="Hear" id="{858E4726-153E-419A-A271-4BE4D00FD88A}">
            <xm:f>NOT(ISERROR(SEARCH("Hear",'TC3'!B34)))</xm:f>
            <x14:dxf>
              <font>
                <color theme="9" tint="-0.24994659260841701"/>
              </font>
              <fill>
                <patternFill>
                  <bgColor theme="9" tint="0.59996337778862885"/>
                </patternFill>
              </fill>
            </x14:dxf>
          </x14:cfRule>
          <xm:sqref>B41</xm:sqref>
        </x14:conditionalFormatting>
        <x14:conditionalFormatting xmlns:xm="http://schemas.microsoft.com/office/excel/2006/main">
          <x14:cfRule type="expression" priority="2763" id="{BBBA7FCB-694F-455A-B12B-67F8FD384288}">
            <xm:f>'TC1'!$B16="Dial"</xm:f>
            <x14:dxf>
              <font>
                <b/>
                <i val="0"/>
                <color rgb="FFFF0000"/>
              </font>
            </x14:dxf>
          </x14:cfRule>
          <x14:cfRule type="expression" priority="2764" id="{D4B8A7A6-B827-4621-BB26-2776654731A9}">
            <xm:f>'TC1'!$B16="HANGUP"</xm:f>
            <x14:dxf>
              <font>
                <b/>
                <i val="0"/>
              </font>
            </x14:dxf>
          </x14:cfRule>
          <xm:sqref>C34:C43</xm:sqref>
        </x14:conditionalFormatting>
        <x14:conditionalFormatting xmlns:xm="http://schemas.microsoft.com/office/excel/2006/main">
          <x14:cfRule type="expression" priority="2765" id="{BBBA7FCB-694F-455A-B12B-67F8FD384288}">
            <xm:f>'TC1'!#REF!="Dial"</xm:f>
            <x14:dxf>
              <font>
                <b/>
                <i val="0"/>
                <color rgb="FFFF0000"/>
              </font>
            </x14:dxf>
          </x14:cfRule>
          <x14:cfRule type="expression" priority="2766" id="{D4B8A7A6-B827-4621-BB26-2776654731A9}">
            <xm:f>'TC1'!#REF!="HANGUP"</xm:f>
            <x14:dxf>
              <font>
                <b/>
                <i val="0"/>
              </font>
            </x14:dxf>
          </x14:cfRule>
          <xm:sqref>C17:C33</xm:sqref>
        </x14:conditionalFormatting>
        <x14:conditionalFormatting xmlns:xm="http://schemas.microsoft.com/office/excel/2006/main">
          <x14:cfRule type="expression" priority="2770" id="{B20DE416-B7E5-4B98-A87D-E5124E5BC417}">
            <xm:f>'TC1'!$B16="Speak"</xm:f>
            <x14:dxf>
              <font>
                <b/>
                <i val="0"/>
                <color rgb="FFFF0000"/>
              </font>
            </x14:dxf>
          </x14:cfRule>
          <xm:sqref>C34:C43</xm:sqref>
        </x14:conditionalFormatting>
        <x14:conditionalFormatting xmlns:xm="http://schemas.microsoft.com/office/excel/2006/main">
          <x14:cfRule type="expression" priority="2771" id="{B20DE416-B7E5-4B98-A87D-E5124E5BC417}">
            <xm:f>'TC1'!#REF!="Speak"</xm:f>
            <x14:dxf>
              <font>
                <b/>
                <i val="0"/>
                <color rgb="FFFF0000"/>
              </font>
            </x14:dxf>
          </x14:cfRule>
          <xm:sqref>C17:C33</xm:sqref>
        </x14:conditionalFormatting>
        <x14:conditionalFormatting xmlns:xm="http://schemas.microsoft.com/office/excel/2006/main">
          <x14:cfRule type="containsText" priority="2775" operator="containsText" text="DB" id="{4B753AE6-76D2-488D-A0EC-5902C19F7CF3}">
            <xm:f>NOT(ISERROR(SEARCH("DB",'TC1'!E16)))</xm:f>
            <x14:dxf>
              <font>
                <color rgb="FF006100"/>
              </font>
              <fill>
                <patternFill>
                  <bgColor rgb="FFC6EFCE"/>
                </patternFill>
              </fill>
            </x14:dxf>
          </x14:cfRule>
          <x14:cfRule type="containsText" priority="2776" operator="containsText" text="WEB SERVICE" id="{BAAF3DBA-EF62-4009-A8CB-D71CBEFA7610}">
            <xm:f>NOT(ISERROR(SEARCH("WEB SERVICE",'TC1'!E16)))</xm:f>
            <x14:dxf>
              <font>
                <color rgb="FF9C0006"/>
              </font>
              <fill>
                <patternFill>
                  <bgColor rgb="FFFFC7CE"/>
                </patternFill>
              </fill>
            </x14:dxf>
          </x14:cfRule>
          <xm:sqref>E34:E43</xm:sqref>
        </x14:conditionalFormatting>
        <x14:conditionalFormatting xmlns:xm="http://schemas.microsoft.com/office/excel/2006/main">
          <x14:cfRule type="containsText" priority="2777" operator="containsText" text="DB" id="{4B753AE6-76D2-488D-A0EC-5902C19F7CF3}">
            <xm:f>NOT(ISERROR(SEARCH("DB",'TC1'!#REF!)))</xm:f>
            <x14:dxf>
              <font>
                <color rgb="FF006100"/>
              </font>
              <fill>
                <patternFill>
                  <bgColor rgb="FFC6EFCE"/>
                </patternFill>
              </fill>
            </x14:dxf>
          </x14:cfRule>
          <x14:cfRule type="containsText" priority="2778" operator="containsText" text="WEB SERVICE" id="{BAAF3DBA-EF62-4009-A8CB-D71CBEFA7610}">
            <xm:f>NOT(ISERROR(SEARCH("WEB SERVICE",'TC1'!#REF!)))</xm:f>
            <x14:dxf>
              <font>
                <color rgb="FF9C0006"/>
              </font>
              <fill>
                <patternFill>
                  <bgColor rgb="FFFFC7CE"/>
                </patternFill>
              </fill>
            </x14:dxf>
          </x14:cfRule>
          <xm:sqref>E17:E33</xm:sqref>
        </x14:conditionalFormatting>
        <x14:conditionalFormatting xmlns:xm="http://schemas.microsoft.com/office/excel/2006/main">
          <x14:cfRule type="expression" priority="5425" id="{BBBA7FCB-694F-455A-B12B-67F8FD384288}">
            <xm:f>'TC1'!$B9="Dial"</xm:f>
            <x14:dxf>
              <font>
                <b/>
                <i val="0"/>
                <color rgb="FFFF0000"/>
              </font>
            </x14:dxf>
          </x14:cfRule>
          <x14:cfRule type="expression" priority="5426" id="{D4B8A7A6-B827-4621-BB26-2776654731A9}">
            <xm:f>'TC1'!$B9="HANGUP"</xm:f>
            <x14:dxf>
              <font>
                <b/>
                <i val="0"/>
              </font>
            </x14:dxf>
          </x14:cfRule>
          <xm:sqref>C12:C15</xm:sqref>
        </x14:conditionalFormatting>
        <x14:conditionalFormatting xmlns:xm="http://schemas.microsoft.com/office/excel/2006/main">
          <x14:cfRule type="expression" priority="5427" id="{BBBA7FCB-694F-455A-B12B-67F8FD384288}">
            <xm:f>'TC1'!#REF!="Dial"</xm:f>
            <x14:dxf>
              <font>
                <b/>
                <i val="0"/>
                <color rgb="FFFF0000"/>
              </font>
            </x14:dxf>
          </x14:cfRule>
          <x14:cfRule type="expression" priority="5428" id="{D4B8A7A6-B827-4621-BB26-2776654731A9}">
            <xm:f>'TC1'!#REF!="HANGUP"</xm:f>
            <x14:dxf>
              <font>
                <b/>
                <i val="0"/>
              </font>
            </x14:dxf>
          </x14:cfRule>
          <xm:sqref>C9:C11</xm:sqref>
        </x14:conditionalFormatting>
        <x14:conditionalFormatting xmlns:xm="http://schemas.microsoft.com/office/excel/2006/main">
          <x14:cfRule type="expression" priority="5432" id="{B20DE416-B7E5-4B98-A87D-E5124E5BC417}">
            <xm:f>'TC1'!$B9="Speak"</xm:f>
            <x14:dxf>
              <font>
                <b/>
                <i val="0"/>
                <color rgb="FFFF0000"/>
              </font>
            </x14:dxf>
          </x14:cfRule>
          <xm:sqref>C12:C15</xm:sqref>
        </x14:conditionalFormatting>
        <x14:conditionalFormatting xmlns:xm="http://schemas.microsoft.com/office/excel/2006/main">
          <x14:cfRule type="expression" priority="5433" id="{B20DE416-B7E5-4B98-A87D-E5124E5BC417}">
            <xm:f>'TC1'!#REF!="Speak"</xm:f>
            <x14:dxf>
              <font>
                <b/>
                <i val="0"/>
                <color rgb="FFFF0000"/>
              </font>
            </x14:dxf>
          </x14:cfRule>
          <xm:sqref>C9:C11</xm:sqref>
        </x14:conditionalFormatting>
        <x14:conditionalFormatting xmlns:xm="http://schemas.microsoft.com/office/excel/2006/main">
          <x14:cfRule type="containsText" priority="5435" operator="containsText" text="DB" id="{4B753AE6-76D2-488D-A0EC-5902C19F7CF3}">
            <xm:f>NOT(ISERROR(SEARCH("DB",'TC1'!#REF!)))</xm:f>
            <x14:dxf>
              <font>
                <color rgb="FF006100"/>
              </font>
              <fill>
                <patternFill>
                  <bgColor rgb="FFC6EFCE"/>
                </patternFill>
              </fill>
            </x14:dxf>
          </x14:cfRule>
          <x14:cfRule type="containsText" priority="5436" operator="containsText" text="WEB SERVICE" id="{BAAF3DBA-EF62-4009-A8CB-D71CBEFA7610}">
            <xm:f>NOT(ISERROR(SEARCH("WEB SERVICE",'TC1'!#REF!)))</xm:f>
            <x14:dxf>
              <font>
                <color rgb="FF9C0006"/>
              </font>
              <fill>
                <patternFill>
                  <bgColor rgb="FFFFC7CE"/>
                </patternFill>
              </fill>
            </x14:dxf>
          </x14:cfRule>
          <xm:sqref>E9:E11</xm:sqref>
        </x14:conditionalFormatting>
        <x14:conditionalFormatting xmlns:xm="http://schemas.microsoft.com/office/excel/2006/main">
          <x14:cfRule type="containsText" priority="5437" operator="containsText" text="DB" id="{4B753AE6-76D2-488D-A0EC-5902C19F7CF3}">
            <xm:f>NOT(ISERROR(SEARCH("DB",'TC1'!E9)))</xm:f>
            <x14:dxf>
              <font>
                <color rgb="FF006100"/>
              </font>
              <fill>
                <patternFill>
                  <bgColor rgb="FFC6EFCE"/>
                </patternFill>
              </fill>
            </x14:dxf>
          </x14:cfRule>
          <x14:cfRule type="containsText" priority="5438" operator="containsText" text="WEB SERVICE" id="{BAAF3DBA-EF62-4009-A8CB-D71CBEFA7610}">
            <xm:f>NOT(ISERROR(SEARCH("WEB SERVICE",'TC1'!E9)))</xm:f>
            <x14:dxf>
              <font>
                <color rgb="FF9C0006"/>
              </font>
              <fill>
                <patternFill>
                  <bgColor rgb="FFFFC7CE"/>
                </patternFill>
              </fill>
            </x14:dxf>
          </x14:cfRule>
          <xm:sqref>E12:E15</xm:sqref>
        </x14:conditionalFormatting>
        <x14:conditionalFormatting xmlns:xm="http://schemas.microsoft.com/office/excel/2006/main">
          <x14:cfRule type="expression" priority="7700" id="{BBBA7FCB-694F-455A-B12B-67F8FD384288}">
            <xm:f>'TC1'!$B15="Dial"</xm:f>
            <x14:dxf>
              <font>
                <b/>
                <i val="0"/>
                <color rgb="FFFF0000"/>
              </font>
            </x14:dxf>
          </x14:cfRule>
          <x14:cfRule type="expression" priority="7701" id="{D4B8A7A6-B827-4621-BB26-2776654731A9}">
            <xm:f>'TC1'!$B15="HANGUP"</xm:f>
            <x14:dxf>
              <font>
                <b/>
                <i val="0"/>
              </font>
            </x14:dxf>
          </x14:cfRule>
          <xm:sqref>C16</xm:sqref>
        </x14:conditionalFormatting>
        <x14:conditionalFormatting xmlns:xm="http://schemas.microsoft.com/office/excel/2006/main">
          <x14:cfRule type="expression" priority="7703" id="{B20DE416-B7E5-4B98-A87D-E5124E5BC417}">
            <xm:f>'TC1'!$B15="Speak"</xm:f>
            <x14:dxf>
              <font>
                <b/>
                <i val="0"/>
                <color rgb="FFFF0000"/>
              </font>
            </x14:dxf>
          </x14:cfRule>
          <xm:sqref>C16</xm:sqref>
        </x14:conditionalFormatting>
        <x14:conditionalFormatting xmlns:xm="http://schemas.microsoft.com/office/excel/2006/main">
          <x14:cfRule type="containsText" priority="7706" operator="containsText" text="DB" id="{4B753AE6-76D2-488D-A0EC-5902C19F7CF3}">
            <xm:f>NOT(ISERROR(SEARCH("DB",'TC1'!E15)))</xm:f>
            <x14:dxf>
              <font>
                <color rgb="FF006100"/>
              </font>
              <fill>
                <patternFill>
                  <bgColor rgb="FFC6EFCE"/>
                </patternFill>
              </fill>
            </x14:dxf>
          </x14:cfRule>
          <x14:cfRule type="containsText" priority="7707" operator="containsText" text="WEB SERVICE" id="{BAAF3DBA-EF62-4009-A8CB-D71CBEFA7610}">
            <xm:f>NOT(ISERROR(SEARCH("WEB SERVICE",'TC1'!E15)))</xm:f>
            <x14:dxf>
              <font>
                <color rgb="FF9C0006"/>
              </font>
              <fill>
                <patternFill>
                  <bgColor rgb="FFFFC7CE"/>
                </patternFill>
              </fill>
            </x14:dxf>
          </x14:cfRule>
          <xm:sqref>E16</xm:sqref>
        </x14:conditionalFormatting>
        <x14:conditionalFormatting xmlns:xm="http://schemas.microsoft.com/office/excel/2006/main">
          <x14:cfRule type="containsText" priority="10334" operator="containsText" text="Hear" id="{D96FA67E-A576-483D-8472-84FDED311C54}">
            <xm:f>NOT(ISERROR(SEARCH("Hear",'TC26'!#REF!)))</xm:f>
            <x14:dxf>
              <font>
                <color theme="9" tint="-0.24994659260841701"/>
              </font>
              <fill>
                <patternFill>
                  <bgColor theme="9" tint="0.59996337778862885"/>
                </patternFill>
              </fill>
            </x14:dxf>
          </x14:cfRule>
          <xm:sqref>B39</xm:sqref>
        </x14:conditionalFormatting>
      </x14:conditionalFormattings>
    </ext>
  </extLst>
</worksheet>
</file>

<file path=xl/worksheets/sheet1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E00-000000000000}">
  <sheetPr codeName="Sheet128"/>
  <dimension ref="A1:E44"/>
  <sheetViews>
    <sheetView zoomScaleNormal="100" workbookViewId="0">
      <selection sqref="A1:E44"/>
    </sheetView>
  </sheetViews>
  <sheetFormatPr defaultRowHeight="14.5" x14ac:dyDescent="0.35"/>
  <cols>
    <col min="1" max="1" width="14.453125" bestFit="1" customWidth="1"/>
    <col min="2" max="2" width="42.6328125" customWidth="1"/>
    <col min="3" max="3" width="106.1796875" customWidth="1"/>
    <col min="4" max="4" width="21.81640625" bestFit="1" customWidth="1"/>
    <col min="5" max="5" width="20.6328125" customWidth="1"/>
  </cols>
  <sheetData>
    <row r="1" spans="1:5" ht="18.5" x14ac:dyDescent="0.35">
      <c r="A1" s="192" t="s">
        <v>4</v>
      </c>
      <c r="B1" s="192"/>
      <c r="C1" s="105"/>
      <c r="D1" s="111"/>
      <c r="E1" s="97"/>
    </row>
    <row r="2" spans="1:5" x14ac:dyDescent="0.35">
      <c r="A2" s="106" t="s">
        <v>5</v>
      </c>
      <c r="B2" s="107" t="str">
        <f ca="1">MID(CELL("filename",A1),FIND("]",CELL("filename",A1))+1,LEN(CELL("filename",A1))-FIND("]",CELL("filename",A1)))</f>
        <v>TC126</v>
      </c>
      <c r="C2" s="98"/>
      <c r="D2" s="111"/>
      <c r="E2" s="97"/>
    </row>
    <row r="3" spans="1:5" x14ac:dyDescent="0.35">
      <c r="A3" s="104" t="s">
        <v>19</v>
      </c>
      <c r="B3" s="112">
        <f ca="1">VLOOKUP(B2,Table53[#All],2,FALSE)</f>
        <v>0</v>
      </c>
      <c r="C3" s="98"/>
      <c r="D3" s="111"/>
      <c r="E3" s="97"/>
    </row>
    <row r="4" spans="1:5" ht="29" x14ac:dyDescent="0.35">
      <c r="A4" s="113" t="s">
        <v>20</v>
      </c>
      <c r="B4" s="99">
        <f ca="1">VLOOKUP(B2,Table53[#All],4,FALSE)</f>
        <v>0</v>
      </c>
      <c r="C4" s="98"/>
      <c r="D4" s="111"/>
      <c r="E4" s="97"/>
    </row>
    <row r="5" spans="1:5" x14ac:dyDescent="0.35">
      <c r="A5" s="104" t="s">
        <v>6</v>
      </c>
      <c r="B5" s="77">
        <f ca="1">VLOOKUP(B2,Table53[#All],3,FALSE)</f>
        <v>0</v>
      </c>
      <c r="C5" s="98"/>
      <c r="D5" s="111"/>
      <c r="E5" s="97"/>
    </row>
    <row r="6" spans="1:5" x14ac:dyDescent="0.35">
      <c r="A6" s="97"/>
      <c r="B6" s="97"/>
      <c r="C6" s="98"/>
      <c r="D6" s="111"/>
      <c r="E6" s="97"/>
    </row>
    <row r="7" spans="1:5" ht="15.5" x14ac:dyDescent="0.35">
      <c r="A7" s="100" t="s">
        <v>7</v>
      </c>
      <c r="B7" s="101" t="s">
        <v>8</v>
      </c>
      <c r="C7" s="102" t="s">
        <v>9</v>
      </c>
      <c r="D7" s="102" t="s">
        <v>14</v>
      </c>
      <c r="E7" s="103" t="s">
        <v>10</v>
      </c>
    </row>
    <row r="8" spans="1:5" x14ac:dyDescent="0.35">
      <c r="A8" s="118">
        <v>1</v>
      </c>
      <c r="B8" s="114" t="s">
        <v>114</v>
      </c>
      <c r="C8" s="109" t="s">
        <v>125</v>
      </c>
      <c r="D8" s="128"/>
      <c r="E8" s="125" t="s">
        <v>11</v>
      </c>
    </row>
    <row r="9" spans="1:5" x14ac:dyDescent="0.35">
      <c r="A9" s="118">
        <v>2</v>
      </c>
      <c r="B9" s="114" t="s">
        <v>12</v>
      </c>
      <c r="C9" s="109" t="e">
        <f>VLOOKUP(Table257519913140106110151155160[[#This Row],[PEG]],Table1016[#All],2,FALSE)</f>
        <v>#N/A</v>
      </c>
      <c r="D9" s="128"/>
      <c r="E9" s="125" t="e">
        <f>VLOOKUP(Table257519913140106110151155160[[#This Row],[PEG]],Table1016[#All],3,FALSE)</f>
        <v>#N/A</v>
      </c>
    </row>
    <row r="10" spans="1:5" x14ac:dyDescent="0.35">
      <c r="A10" s="118">
        <v>3</v>
      </c>
      <c r="B10" s="114" t="s">
        <v>115</v>
      </c>
      <c r="C10" s="109" t="e">
        <f>VLOOKUP(Table257519913140106110151155160[[#This Row],[PEG]],Table1016[#All],2,FALSE)</f>
        <v>#N/A</v>
      </c>
      <c r="D10" s="128"/>
      <c r="E10" s="125" t="e">
        <f>VLOOKUP(Table257519913140106110151155160[[#This Row],[PEG]],Table1016[#All],3,FALSE)</f>
        <v>#N/A</v>
      </c>
    </row>
    <row r="11" spans="1:5" x14ac:dyDescent="0.35">
      <c r="A11" s="118">
        <v>4</v>
      </c>
      <c r="B11" s="114" t="s">
        <v>115</v>
      </c>
      <c r="C11" s="109" t="e">
        <f>VLOOKUP(Table257519913140106110151155160[[#This Row],[PEG]],Table1016[#All],2,FALSE)</f>
        <v>#N/A</v>
      </c>
      <c r="D11" s="128"/>
      <c r="E11" s="125" t="e">
        <f>VLOOKUP(Table257519913140106110151155160[[#This Row],[PEG]],Table1016[#All],3,FALSE)</f>
        <v>#N/A</v>
      </c>
    </row>
    <row r="12" spans="1:5" x14ac:dyDescent="0.35">
      <c r="A12" s="118">
        <v>5</v>
      </c>
      <c r="B12" s="114" t="s">
        <v>114</v>
      </c>
      <c r="C12" s="109" t="e">
        <f>VLOOKUP(Table257519913140106110151155160[[#This Row],[PEG]],Table1016[#All],2,FALSE)</f>
        <v>#N/A</v>
      </c>
      <c r="D12" s="128"/>
      <c r="E12" s="125" t="e">
        <f>VLOOKUP(Table257519913140106110151155160[[#This Row],[PEG]],Table1016[#All],3,FALSE)</f>
        <v>#N/A</v>
      </c>
    </row>
    <row r="13" spans="1:5" x14ac:dyDescent="0.35">
      <c r="A13" s="118">
        <v>6</v>
      </c>
      <c r="B13" s="114" t="s">
        <v>115</v>
      </c>
      <c r="C13" s="109" t="e">
        <f>VLOOKUP(Table257519913140106110151155160[[#This Row],[PEG]],Table1016[#All],2,FALSE)</f>
        <v>#N/A</v>
      </c>
      <c r="D13" s="128"/>
      <c r="E13" s="125" t="e">
        <f>VLOOKUP(Table257519913140106110151155160[[#This Row],[PEG]],Table1016[#All],3,FALSE)</f>
        <v>#N/A</v>
      </c>
    </row>
    <row r="14" spans="1:5" x14ac:dyDescent="0.35">
      <c r="A14" s="118">
        <v>7</v>
      </c>
      <c r="B14" s="114" t="s">
        <v>114</v>
      </c>
      <c r="C14" s="109" t="e">
        <f>VLOOKUP(Table257519913140106110151155160[[#This Row],[PEG]],Table1016[#All],2,FALSE)</f>
        <v>#N/A</v>
      </c>
      <c r="D14" s="128"/>
      <c r="E14" s="125" t="e">
        <f>VLOOKUP(Table257519913140106110151155160[[#This Row],[PEG]],Table1016[#All],3,FALSE)</f>
        <v>#N/A</v>
      </c>
    </row>
    <row r="15" spans="1:5" x14ac:dyDescent="0.35">
      <c r="A15" s="118">
        <v>8</v>
      </c>
      <c r="B15" s="114" t="s">
        <v>115</v>
      </c>
      <c r="C15" s="109" t="e">
        <f>VLOOKUP(Table257519913140106110151155160[[#This Row],[PEG]],Table1016[#All],2,FALSE)</f>
        <v>#N/A</v>
      </c>
      <c r="D15" s="116"/>
      <c r="E15" s="125" t="e">
        <f>VLOOKUP(Table257519913140106110151155160[[#This Row],[PEG]],Table1016[#All],3,FALSE)</f>
        <v>#N/A</v>
      </c>
    </row>
    <row r="16" spans="1:5" x14ac:dyDescent="0.35">
      <c r="A16" s="118">
        <v>9</v>
      </c>
      <c r="B16" s="114" t="s">
        <v>12</v>
      </c>
      <c r="C16" s="109" t="e">
        <f>VLOOKUP(Table257519913140106110151155160[[#This Row],[PEG]],Table1016[#All],2,FALSE)</f>
        <v>#N/A</v>
      </c>
      <c r="D16" s="116"/>
      <c r="E16" s="125" t="e">
        <f>VLOOKUP(Table257519913140106110151155160[[#This Row],[PEG]],Table1016[#All],3,FALSE)</f>
        <v>#N/A</v>
      </c>
    </row>
    <row r="17" spans="1:5" x14ac:dyDescent="0.35">
      <c r="A17" s="118">
        <v>10</v>
      </c>
      <c r="B17" s="114" t="s">
        <v>12</v>
      </c>
      <c r="C17" s="109" t="e">
        <f>VLOOKUP(Table257519913140106110151155160[[#This Row],[PEG]],Table1016[#All],2,FALSE)</f>
        <v>#N/A</v>
      </c>
      <c r="D17" s="117"/>
      <c r="E17" s="125" t="e">
        <f>VLOOKUP(Table257519913140106110151155160[[#This Row],[PEG]],Table1016[#All],3,FALSE)</f>
        <v>#N/A</v>
      </c>
    </row>
    <row r="18" spans="1:5" x14ac:dyDescent="0.35">
      <c r="A18" s="118">
        <v>11</v>
      </c>
      <c r="B18" s="114" t="s">
        <v>115</v>
      </c>
      <c r="C18" s="109" t="e">
        <f>VLOOKUP(Table257519913140106110151155160[[#This Row],[PEG]],Table1016[#All],2,FALSE)</f>
        <v>#N/A</v>
      </c>
      <c r="D18" s="117"/>
      <c r="E18" s="125" t="e">
        <f>VLOOKUP(Table257519913140106110151155160[[#This Row],[PEG]],Table1016[#All],3,FALSE)</f>
        <v>#N/A</v>
      </c>
    </row>
    <row r="19" spans="1:5" x14ac:dyDescent="0.35">
      <c r="A19" s="118">
        <v>12</v>
      </c>
      <c r="B19" s="114" t="s">
        <v>115</v>
      </c>
      <c r="C19" s="109" t="e">
        <f>VLOOKUP(Table257519913140106110151155160[[#This Row],[PEG]],Table1016[#All],2,FALSE)</f>
        <v>#N/A</v>
      </c>
      <c r="D19" s="117"/>
      <c r="E19" s="125" t="e">
        <f>VLOOKUP(Table257519913140106110151155160[[#This Row],[PEG]],Table1016[#All],3,FALSE)</f>
        <v>#N/A</v>
      </c>
    </row>
    <row r="20" spans="1:5" x14ac:dyDescent="0.35">
      <c r="A20" s="118">
        <v>13</v>
      </c>
      <c r="B20" s="114" t="s">
        <v>114</v>
      </c>
      <c r="C20" s="109" t="e">
        <f>VLOOKUP(Table257519913140106110151155160[[#This Row],[PEG]],Table1016[#All],2,FALSE)</f>
        <v>#N/A</v>
      </c>
      <c r="D20" s="117"/>
      <c r="E20" s="125" t="e">
        <f>VLOOKUP(Table257519913140106110151155160[[#This Row],[PEG]],Table1016[#All],3,FALSE)</f>
        <v>#N/A</v>
      </c>
    </row>
    <row r="21" spans="1:5" x14ac:dyDescent="0.35">
      <c r="A21" s="118">
        <v>14</v>
      </c>
      <c r="B21" s="114" t="s">
        <v>12</v>
      </c>
      <c r="C21" s="109" t="e">
        <f>VLOOKUP(Table257519913140106110151155160[[#This Row],[PEG]],Table1016[#All],2,FALSE)</f>
        <v>#N/A</v>
      </c>
      <c r="D21" s="117"/>
      <c r="E21" s="125" t="e">
        <f>VLOOKUP(Table257519913140106110151155160[[#This Row],[PEG]],Table1016[#All],3,FALSE)</f>
        <v>#N/A</v>
      </c>
    </row>
    <row r="22" spans="1:5" x14ac:dyDescent="0.35">
      <c r="A22" s="118">
        <v>15</v>
      </c>
      <c r="B22" s="114" t="s">
        <v>12</v>
      </c>
      <c r="C22" s="109" t="e">
        <f>VLOOKUP(Table257519913140106110151155160[[#This Row],[PEG]],Table1016[#All],2,FALSE)</f>
        <v>#N/A</v>
      </c>
      <c r="D22" s="117"/>
      <c r="E22" s="125" t="e">
        <f>VLOOKUP(Table257519913140106110151155160[[#This Row],[PEG]],Table1016[#All],3,FALSE)</f>
        <v>#N/A</v>
      </c>
    </row>
    <row r="23" spans="1:5" x14ac:dyDescent="0.35">
      <c r="A23" s="118">
        <v>16</v>
      </c>
      <c r="B23" s="114" t="s">
        <v>115</v>
      </c>
      <c r="C23" s="109" t="e">
        <f>VLOOKUP(Table257519913140106110151155160[[#This Row],[PEG]],Table1016[#All],2,FALSE)</f>
        <v>#N/A</v>
      </c>
      <c r="D23" s="117"/>
      <c r="E23" s="125" t="e">
        <f>VLOOKUP(Table257519913140106110151155160[[#This Row],[PEG]],Table1016[#All],3,FALSE)</f>
        <v>#N/A</v>
      </c>
    </row>
    <row r="24" spans="1:5" x14ac:dyDescent="0.35">
      <c r="A24" s="118">
        <v>17</v>
      </c>
      <c r="B24" s="114" t="s">
        <v>114</v>
      </c>
      <c r="C24" s="109" t="e">
        <f>VLOOKUP(Table257519913140106110151155160[[#This Row],[PEG]],Table1016[#All],2,FALSE)</f>
        <v>#N/A</v>
      </c>
      <c r="D24" s="117"/>
      <c r="E24" s="125" t="e">
        <f>VLOOKUP(Table257519913140106110151155160[[#This Row],[PEG]],Table1016[#All],3,FALSE)</f>
        <v>#N/A</v>
      </c>
    </row>
    <row r="25" spans="1:5" x14ac:dyDescent="0.35">
      <c r="A25" s="118">
        <v>18</v>
      </c>
      <c r="B25" s="114" t="s">
        <v>12</v>
      </c>
      <c r="C25" s="109" t="e">
        <f>VLOOKUP(Table257519913140106110151155160[[#This Row],[PEG]],Table1016[#All],2,FALSE)</f>
        <v>#N/A</v>
      </c>
      <c r="D25" s="117"/>
      <c r="E25" s="125" t="e">
        <f>VLOOKUP(Table257519913140106110151155160[[#This Row],[PEG]],Table1016[#All],3,FALSE)</f>
        <v>#N/A</v>
      </c>
    </row>
    <row r="26" spans="1:5" x14ac:dyDescent="0.35">
      <c r="A26" s="118">
        <v>19</v>
      </c>
      <c r="B26" s="114" t="s">
        <v>12</v>
      </c>
      <c r="C26" s="109" t="e">
        <f>VLOOKUP(Table257519913140106110151155160[[#This Row],[PEG]],Table1016[#All],2,FALSE)</f>
        <v>#N/A</v>
      </c>
      <c r="D26" s="117"/>
      <c r="E26" s="125" t="e">
        <f>VLOOKUP(Table257519913140106110151155160[[#This Row],[PEG]],Table1016[#All],3,FALSE)</f>
        <v>#N/A</v>
      </c>
    </row>
    <row r="27" spans="1:5" x14ac:dyDescent="0.35">
      <c r="A27" s="118">
        <v>20</v>
      </c>
      <c r="B27" s="114" t="s">
        <v>115</v>
      </c>
      <c r="C27" s="109" t="e">
        <f>VLOOKUP(Table257519913140106110151155160[[#This Row],[PEG]],Table1016[#All],2,FALSE)</f>
        <v>#N/A</v>
      </c>
      <c r="D27" s="117"/>
      <c r="E27" s="125" t="e">
        <f>VLOOKUP(Table257519913140106110151155160[[#This Row],[PEG]],Table1016[#All],3,FALSE)</f>
        <v>#N/A</v>
      </c>
    </row>
    <row r="28" spans="1:5" x14ac:dyDescent="0.35">
      <c r="A28" s="118">
        <v>21</v>
      </c>
      <c r="B28" s="114" t="s">
        <v>114</v>
      </c>
      <c r="C28" s="109" t="e">
        <f>VLOOKUP(Table257519913140106110151155160[[#This Row],[PEG]],Table1016[#All],2,FALSE)</f>
        <v>#N/A</v>
      </c>
      <c r="D28" s="117"/>
      <c r="E28" s="125" t="e">
        <f>VLOOKUP(Table257519913140106110151155160[[#This Row],[PEG]],Table1016[#All],3,FALSE)</f>
        <v>#N/A</v>
      </c>
    </row>
    <row r="29" spans="1:5" x14ac:dyDescent="0.35">
      <c r="A29" s="118">
        <v>22</v>
      </c>
      <c r="B29" s="114" t="s">
        <v>12</v>
      </c>
      <c r="C29" s="109" t="e">
        <f>VLOOKUP(Table257519913140106110151155160[[#This Row],[PEG]],Table1016[#All],2,FALSE)</f>
        <v>#N/A</v>
      </c>
      <c r="D29" s="117"/>
      <c r="E29" s="125" t="e">
        <f>VLOOKUP(Table257519913140106110151155160[[#This Row],[PEG]],Table1016[#All],3,FALSE)</f>
        <v>#N/A</v>
      </c>
    </row>
    <row r="30" spans="1:5" x14ac:dyDescent="0.35">
      <c r="A30" s="118">
        <v>23</v>
      </c>
      <c r="B30" s="114" t="s">
        <v>12</v>
      </c>
      <c r="C30" s="109" t="e">
        <f>VLOOKUP(Table257519913140106110151155160[[#This Row],[PEG]],Table1016[#All],2,FALSE)</f>
        <v>#N/A</v>
      </c>
      <c r="D30" s="117"/>
      <c r="E30" s="125" t="e">
        <f>VLOOKUP(Table257519913140106110151155160[[#This Row],[PEG]],Table1016[#All],3,FALSE)</f>
        <v>#N/A</v>
      </c>
    </row>
    <row r="31" spans="1:5" x14ac:dyDescent="0.35">
      <c r="A31" s="118">
        <v>24</v>
      </c>
      <c r="B31" s="114" t="s">
        <v>115</v>
      </c>
      <c r="C31" s="109" t="e">
        <f>VLOOKUP(Table257519913140106110151155160[[#This Row],[PEG]],Table1016[#All],2,FALSE)</f>
        <v>#N/A</v>
      </c>
      <c r="D31" s="117"/>
      <c r="E31" s="125" t="e">
        <f>VLOOKUP(Table257519913140106110151155160[[#This Row],[PEG]],Table1016[#All],3,FALSE)</f>
        <v>#N/A</v>
      </c>
    </row>
    <row r="32" spans="1:5" x14ac:dyDescent="0.35">
      <c r="A32" s="118">
        <v>25</v>
      </c>
      <c r="B32" s="114" t="s">
        <v>115</v>
      </c>
      <c r="C32" s="109" t="e">
        <f>VLOOKUP(Table257519913140106110151155160[[#This Row],[PEG]],Table1016[#All],2,FALSE)</f>
        <v>#N/A</v>
      </c>
      <c r="D32" s="117"/>
      <c r="E32" s="125" t="e">
        <f>VLOOKUP(Table257519913140106110151155160[[#This Row],[PEG]],Table1016[#All],3,FALSE)</f>
        <v>#N/A</v>
      </c>
    </row>
    <row r="33" spans="1:5" x14ac:dyDescent="0.35">
      <c r="A33" s="118">
        <v>26</v>
      </c>
      <c r="B33" s="114" t="s">
        <v>124</v>
      </c>
      <c r="C33" s="109" t="e">
        <f>VLOOKUP(Table257519913140106110151155160[[#This Row],[PEG]],Table1016[#All],2,FALSE)</f>
        <v>#N/A</v>
      </c>
      <c r="D33" s="117"/>
      <c r="E33" s="125" t="e">
        <f>VLOOKUP(Table257519913140106110151155160[[#This Row],[PEG]],Table1016[#All],3,FALSE)</f>
        <v>#N/A</v>
      </c>
    </row>
    <row r="34" spans="1:5" x14ac:dyDescent="0.35">
      <c r="A34" s="118">
        <v>27</v>
      </c>
      <c r="B34" s="114" t="s">
        <v>115</v>
      </c>
      <c r="C34" s="109" t="e">
        <f>VLOOKUP(Table257519913140106110151155160[[#This Row],[PEG]],Table1016[#All],2,FALSE)</f>
        <v>#N/A</v>
      </c>
      <c r="D34" s="117"/>
      <c r="E34" s="125" t="e">
        <f>VLOOKUP(Table257519913140106110151155160[[#This Row],[PEG]],Table1016[#All],3,FALSE)</f>
        <v>#N/A</v>
      </c>
    </row>
    <row r="35" spans="1:5" x14ac:dyDescent="0.35">
      <c r="A35" s="118">
        <v>28</v>
      </c>
      <c r="B35" s="114" t="s">
        <v>124</v>
      </c>
      <c r="C35" s="109" t="e">
        <f>VLOOKUP(Table257519913140106110151155160[[#This Row],[PEG]],Table1016[#All],2,FALSE)</f>
        <v>#N/A</v>
      </c>
      <c r="D35" s="117"/>
      <c r="E35" s="125" t="e">
        <f>VLOOKUP(Table257519913140106110151155160[[#This Row],[PEG]],Table1016[#All],3,FALSE)</f>
        <v>#N/A</v>
      </c>
    </row>
    <row r="36" spans="1:5" x14ac:dyDescent="0.35">
      <c r="A36" s="118">
        <v>29</v>
      </c>
      <c r="B36" s="114" t="s">
        <v>115</v>
      </c>
      <c r="C36" s="109" t="e">
        <f>VLOOKUP(Table257519913140106110151155160[[#This Row],[PEG]],Table1016[#All],2,FALSE)</f>
        <v>#N/A</v>
      </c>
      <c r="D36" s="117"/>
      <c r="E36" s="125" t="e">
        <f>VLOOKUP(Table257519913140106110151155160[[#This Row],[PEG]],Table1016[#All],3,FALSE)</f>
        <v>#N/A</v>
      </c>
    </row>
    <row r="37" spans="1:5" x14ac:dyDescent="0.35">
      <c r="A37" s="118">
        <v>30</v>
      </c>
      <c r="B37" s="114" t="s">
        <v>12</v>
      </c>
      <c r="C37" s="109" t="e">
        <f>VLOOKUP(Table257519913140106110151155160[[#This Row],[PEG]],Table1016[#All],2,FALSE)</f>
        <v>#N/A</v>
      </c>
      <c r="D37" s="117"/>
      <c r="E37" s="125" t="e">
        <f>VLOOKUP(Table257519913140106110151155160[[#This Row],[PEG]],Table1016[#All],3,FALSE)</f>
        <v>#N/A</v>
      </c>
    </row>
    <row r="38" spans="1:5" x14ac:dyDescent="0.35">
      <c r="A38" s="118">
        <v>31</v>
      </c>
      <c r="B38" s="114" t="s">
        <v>12</v>
      </c>
      <c r="C38" s="109" t="e">
        <f>VLOOKUP(Table257519913140106110151155160[[#This Row],[PEG]],Table1016[#All],2,FALSE)</f>
        <v>#N/A</v>
      </c>
      <c r="D38" s="117"/>
      <c r="E38" s="125" t="e">
        <f>VLOOKUP(Table257519913140106110151155160[[#This Row],[PEG]],Table1016[#All],3,FALSE)</f>
        <v>#N/A</v>
      </c>
    </row>
    <row r="39" spans="1:5" x14ac:dyDescent="0.35">
      <c r="A39" s="118">
        <v>32</v>
      </c>
      <c r="B39" s="114" t="s">
        <v>12</v>
      </c>
      <c r="C39" s="109" t="e">
        <f>VLOOKUP(Table257519913140106110151155160[[#This Row],[PEG]],Table1016[#All],2,FALSE)</f>
        <v>#N/A</v>
      </c>
      <c r="D39" s="117"/>
      <c r="E39" s="125" t="e">
        <f>VLOOKUP(Table257519913140106110151155160[[#This Row],[PEG]],Table1016[#All],3,FALSE)</f>
        <v>#N/A</v>
      </c>
    </row>
    <row r="40" spans="1:5" x14ac:dyDescent="0.35">
      <c r="A40" s="118">
        <v>33</v>
      </c>
      <c r="B40" s="114" t="s">
        <v>12</v>
      </c>
      <c r="C40" s="109" t="e">
        <f>VLOOKUP(Table257519913140106110151155160[[#This Row],[PEG]],Table1016[#All],2,FALSE)</f>
        <v>#N/A</v>
      </c>
      <c r="D40" s="117"/>
      <c r="E40" s="125" t="e">
        <f>VLOOKUP(Table257519913140106110151155160[[#This Row],[PEG]],Table1016[#All],3,FALSE)</f>
        <v>#N/A</v>
      </c>
    </row>
    <row r="41" spans="1:5" x14ac:dyDescent="0.35">
      <c r="A41" s="118">
        <v>34</v>
      </c>
      <c r="B41" s="114" t="s">
        <v>115</v>
      </c>
      <c r="C41" s="109" t="e">
        <f>VLOOKUP(Table257519913140106110151155160[[#This Row],[PEG]],Table1016[#All],2,FALSE)</f>
        <v>#N/A</v>
      </c>
      <c r="D41" s="117"/>
      <c r="E41" s="125" t="e">
        <f>VLOOKUP(Table257519913140106110151155160[[#This Row],[PEG]],Table1016[#All],3,FALSE)</f>
        <v>#N/A</v>
      </c>
    </row>
    <row r="42" spans="1:5" x14ac:dyDescent="0.35">
      <c r="A42" s="118">
        <v>35</v>
      </c>
      <c r="B42" s="114" t="s">
        <v>12</v>
      </c>
      <c r="C42" s="109" t="e">
        <f>VLOOKUP(Table257519913140106110151155160[[#This Row],[PEG]],Table1016[#All],2,FALSE)</f>
        <v>#N/A</v>
      </c>
      <c r="D42" s="115"/>
      <c r="E42" s="125" t="e">
        <f>VLOOKUP(Table257519913140106110151155160[[#This Row],[PEG]],Table1016[#All],3,FALSE)</f>
        <v>#N/A</v>
      </c>
    </row>
    <row r="43" spans="1:5" x14ac:dyDescent="0.35">
      <c r="A43" s="118">
        <v>36</v>
      </c>
      <c r="B43" s="114" t="s">
        <v>115</v>
      </c>
      <c r="C43" s="109" t="e">
        <f>VLOOKUP(Table257519913140106110151155160[[#This Row],[PEG]],Table1016[#All],2,FALSE)</f>
        <v>#N/A</v>
      </c>
      <c r="D43" s="115"/>
      <c r="E43" s="125" t="e">
        <f>VLOOKUP(Table257519913140106110151155160[[#This Row],[PEG]],Table1016[#All],3,FALSE)</f>
        <v>#N/A</v>
      </c>
    </row>
    <row r="44" spans="1:5" x14ac:dyDescent="0.35">
      <c r="A44" s="118">
        <v>37</v>
      </c>
      <c r="B44" s="114" t="s">
        <v>13</v>
      </c>
      <c r="C44" s="18" t="s">
        <v>13</v>
      </c>
      <c r="D44" s="115"/>
      <c r="E44" s="32"/>
    </row>
  </sheetData>
  <mergeCells count="1">
    <mergeCell ref="A1:B1"/>
  </mergeCells>
  <conditionalFormatting sqref="B8:B18">
    <cfRule type="containsText" dxfId="1757" priority="1" operator="containsText" text="Hear">
      <formula>NOT(ISERROR(SEARCH("Hear",B8)))</formula>
    </cfRule>
  </conditionalFormatting>
  <conditionalFormatting sqref="B30">
    <cfRule type="containsText" dxfId="1756" priority="4" operator="containsText" text="Hear">
      <formula>NOT(ISERROR(SEARCH("Hear",B30)))</formula>
    </cfRule>
  </conditionalFormatting>
  <conditionalFormatting sqref="B43:B44">
    <cfRule type="containsText" dxfId="1755" priority="8" operator="containsText" text="Hear">
      <formula>NOT(ISERROR(SEARCH("Hear",B43)))</formula>
    </cfRule>
  </conditionalFormatting>
  <conditionalFormatting sqref="E44">
    <cfRule type="containsText" dxfId="1754" priority="6" operator="containsText" text="WEB SERVICE">
      <formula>NOT(ISERROR(SEARCH("WEB SERVICE",E44)))</formula>
    </cfRule>
    <cfRule type="containsText" dxfId="1753" priority="7" operator="containsText" text="DB">
      <formula>NOT(ISERROR(SEARCH("DB",E44)))</formula>
    </cfRule>
  </conditionalFormatting>
  <conditionalFormatting sqref="C44">
    <cfRule type="expression" dxfId="1752" priority="9">
      <formula>$B44="HANGUP"</formula>
    </cfRule>
    <cfRule type="expression" dxfId="1751" priority="9">
      <formula>$B44="Dial"</formula>
    </cfRule>
  </conditionalFormatting>
  <conditionalFormatting sqref="C44">
    <cfRule type="expression" dxfId="1750" priority="3">
      <formula>$B44="Speak"</formula>
    </cfRule>
  </conditionalFormatting>
  <conditionalFormatting sqref="B36:B38 B40:B41">
    <cfRule type="containsText" dxfId="1749" priority="10" operator="containsText" text="Hear">
      <formula>NOT(ISERROR(SEARCH("Hear",B36)))</formula>
    </cfRule>
  </conditionalFormatting>
  <conditionalFormatting sqref="B19:B29 B31:B35 B42">
    <cfRule type="containsText" dxfId="1748" priority="5" operator="containsText" text="Hear">
      <formula>NOT(ISERROR(SEARCH("Hear",B19)))</formula>
    </cfRule>
  </conditionalFormatting>
  <hyperlinks>
    <hyperlink ref="A1" location="'Test Case Overview'!A1" display="Return to Test Case Overview" xr:uid="{5CCDA0FF-3B5F-454F-91BC-059E4C659896}"/>
  </hyperlinks>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expression" priority="2" id="{B961FC19-9373-4D23-8B6F-29EC0EF15534}">
            <xm:f>'TC1'!$B8="HANGUP"</xm:f>
            <x14:dxf>
              <font>
                <b/>
                <i val="0"/>
              </font>
            </x14:dxf>
          </x14:cfRule>
          <x14:cfRule type="expression" priority="11" id="{C2EBF0B1-2834-411B-A7C6-8E355E354AAC}">
            <xm:f>'TC1'!$B8="Dial"</xm:f>
            <x14:dxf>
              <font>
                <b/>
                <i val="0"/>
                <color rgb="FFFF0000"/>
              </font>
            </x14:dxf>
          </x14:cfRule>
          <xm:sqref>C8</xm:sqref>
        </x14:conditionalFormatting>
        <x14:conditionalFormatting xmlns:xm="http://schemas.microsoft.com/office/excel/2006/main">
          <x14:cfRule type="expression" priority="12" id="{61951449-ADBA-482C-868B-3772DCEF3CC6}">
            <xm:f>'TC1'!$B8="Speak"</xm:f>
            <x14:dxf>
              <font>
                <b/>
                <i val="0"/>
                <color rgb="FFFF0000"/>
              </font>
            </x14:dxf>
          </x14:cfRule>
          <xm:sqref>C8</xm:sqref>
        </x14:conditionalFormatting>
        <x14:conditionalFormatting xmlns:xm="http://schemas.microsoft.com/office/excel/2006/main">
          <x14:cfRule type="containsText" priority="15" operator="containsText" text="Hear" id="{FA0B5168-6463-497A-8519-A1735BA92E53}">
            <xm:f>NOT(ISERROR(SEARCH("Hear",'TC3'!B34)))</xm:f>
            <x14:dxf>
              <font>
                <color theme="9" tint="-0.24994659260841701"/>
              </font>
              <fill>
                <patternFill>
                  <bgColor theme="9" tint="0.59996337778862885"/>
                </patternFill>
              </fill>
            </x14:dxf>
          </x14:cfRule>
          <xm:sqref>B41</xm:sqref>
        </x14:conditionalFormatting>
        <x14:conditionalFormatting xmlns:xm="http://schemas.microsoft.com/office/excel/2006/main">
          <x14:cfRule type="expression" priority="2783" id="{B961FC19-9373-4D23-8B6F-29EC0EF15534}">
            <xm:f>'TC1'!$B16="HANGUP"</xm:f>
            <x14:dxf>
              <font>
                <b/>
                <i val="0"/>
              </font>
            </x14:dxf>
          </x14:cfRule>
          <x14:cfRule type="expression" priority="2784" id="{C2EBF0B1-2834-411B-A7C6-8E355E354AAC}">
            <xm:f>'TC1'!$B16="Dial"</xm:f>
            <x14:dxf>
              <font>
                <b/>
                <i val="0"/>
                <color rgb="FFFF0000"/>
              </font>
            </x14:dxf>
          </x14:cfRule>
          <xm:sqref>C34:C43</xm:sqref>
        </x14:conditionalFormatting>
        <x14:conditionalFormatting xmlns:xm="http://schemas.microsoft.com/office/excel/2006/main">
          <x14:cfRule type="expression" priority="2785" id="{B961FC19-9373-4D23-8B6F-29EC0EF15534}">
            <xm:f>'TC1'!#REF!="HANGUP"</xm:f>
            <x14:dxf>
              <font>
                <b/>
                <i val="0"/>
              </font>
            </x14:dxf>
          </x14:cfRule>
          <x14:cfRule type="expression" priority="2786" id="{C2EBF0B1-2834-411B-A7C6-8E355E354AAC}">
            <xm:f>'TC1'!#REF!="Dial"</xm:f>
            <x14:dxf>
              <font>
                <b/>
                <i val="0"/>
                <color rgb="FFFF0000"/>
              </font>
            </x14:dxf>
          </x14:cfRule>
          <xm:sqref>C17:C33</xm:sqref>
        </x14:conditionalFormatting>
        <x14:conditionalFormatting xmlns:xm="http://schemas.microsoft.com/office/excel/2006/main">
          <x14:cfRule type="expression" priority="2790" id="{61951449-ADBA-482C-868B-3772DCEF3CC6}">
            <xm:f>'TC1'!$B16="Speak"</xm:f>
            <x14:dxf>
              <font>
                <b/>
                <i val="0"/>
                <color rgb="FFFF0000"/>
              </font>
            </x14:dxf>
          </x14:cfRule>
          <xm:sqref>C34:C43</xm:sqref>
        </x14:conditionalFormatting>
        <x14:conditionalFormatting xmlns:xm="http://schemas.microsoft.com/office/excel/2006/main">
          <x14:cfRule type="expression" priority="2791" id="{61951449-ADBA-482C-868B-3772DCEF3CC6}">
            <xm:f>'TC1'!#REF!="Speak"</xm:f>
            <x14:dxf>
              <font>
                <b/>
                <i val="0"/>
                <color rgb="FFFF0000"/>
              </font>
            </x14:dxf>
          </x14:cfRule>
          <xm:sqref>C17:C33</xm:sqref>
        </x14:conditionalFormatting>
        <x14:conditionalFormatting xmlns:xm="http://schemas.microsoft.com/office/excel/2006/main">
          <x14:cfRule type="containsText" priority="2795" operator="containsText" text="DB" id="{B5C1CC18-7E47-4C40-8CD9-CBCA33A36399}">
            <xm:f>NOT(ISERROR(SEARCH("DB",'TC1'!E16)))</xm:f>
            <x14:dxf>
              <font>
                <color rgb="FF006100"/>
              </font>
              <fill>
                <patternFill>
                  <bgColor rgb="FFC6EFCE"/>
                </patternFill>
              </fill>
            </x14:dxf>
          </x14:cfRule>
          <x14:cfRule type="containsText" priority="2796" operator="containsText" text="WEB SERVICE" id="{15FC902A-40A9-4323-A09F-2C07D3DF5173}">
            <xm:f>NOT(ISERROR(SEARCH("WEB SERVICE",'TC1'!E16)))</xm:f>
            <x14:dxf>
              <font>
                <color rgb="FF9C0006"/>
              </font>
              <fill>
                <patternFill>
                  <bgColor rgb="FFFFC7CE"/>
                </patternFill>
              </fill>
            </x14:dxf>
          </x14:cfRule>
          <xm:sqref>E34:E43</xm:sqref>
        </x14:conditionalFormatting>
        <x14:conditionalFormatting xmlns:xm="http://schemas.microsoft.com/office/excel/2006/main">
          <x14:cfRule type="containsText" priority="2797" operator="containsText" text="DB" id="{B5C1CC18-7E47-4C40-8CD9-CBCA33A36399}">
            <xm:f>NOT(ISERROR(SEARCH("DB",'TC1'!#REF!)))</xm:f>
            <x14:dxf>
              <font>
                <color rgb="FF006100"/>
              </font>
              <fill>
                <patternFill>
                  <bgColor rgb="FFC6EFCE"/>
                </patternFill>
              </fill>
            </x14:dxf>
          </x14:cfRule>
          <x14:cfRule type="containsText" priority="2798" operator="containsText" text="WEB SERVICE" id="{15FC902A-40A9-4323-A09F-2C07D3DF5173}">
            <xm:f>NOT(ISERROR(SEARCH("WEB SERVICE",'TC1'!#REF!)))</xm:f>
            <x14:dxf>
              <font>
                <color rgb="FF9C0006"/>
              </font>
              <fill>
                <patternFill>
                  <bgColor rgb="FFFFC7CE"/>
                </patternFill>
              </fill>
            </x14:dxf>
          </x14:cfRule>
          <xm:sqref>E17:E33</xm:sqref>
        </x14:conditionalFormatting>
        <x14:conditionalFormatting xmlns:xm="http://schemas.microsoft.com/office/excel/2006/main">
          <x14:cfRule type="expression" priority="5443" id="{B961FC19-9373-4D23-8B6F-29EC0EF15534}">
            <xm:f>'TC1'!$B9="HANGUP"</xm:f>
            <x14:dxf>
              <font>
                <b/>
                <i val="0"/>
              </font>
            </x14:dxf>
          </x14:cfRule>
          <x14:cfRule type="expression" priority="5444" id="{C2EBF0B1-2834-411B-A7C6-8E355E354AAC}">
            <xm:f>'TC1'!$B9="Dial"</xm:f>
            <x14:dxf>
              <font>
                <b/>
                <i val="0"/>
                <color rgb="FFFF0000"/>
              </font>
            </x14:dxf>
          </x14:cfRule>
          <xm:sqref>C12:C15</xm:sqref>
        </x14:conditionalFormatting>
        <x14:conditionalFormatting xmlns:xm="http://schemas.microsoft.com/office/excel/2006/main">
          <x14:cfRule type="expression" priority="5445" id="{B961FC19-9373-4D23-8B6F-29EC0EF15534}">
            <xm:f>'TC1'!#REF!="HANGUP"</xm:f>
            <x14:dxf>
              <font>
                <b/>
                <i val="0"/>
              </font>
            </x14:dxf>
          </x14:cfRule>
          <x14:cfRule type="expression" priority="5446" id="{C2EBF0B1-2834-411B-A7C6-8E355E354AAC}">
            <xm:f>'TC1'!#REF!="Dial"</xm:f>
            <x14:dxf>
              <font>
                <b/>
                <i val="0"/>
                <color rgb="FFFF0000"/>
              </font>
            </x14:dxf>
          </x14:cfRule>
          <xm:sqref>C9:C11</xm:sqref>
        </x14:conditionalFormatting>
        <x14:conditionalFormatting xmlns:xm="http://schemas.microsoft.com/office/excel/2006/main">
          <x14:cfRule type="expression" priority="5450" id="{61951449-ADBA-482C-868B-3772DCEF3CC6}">
            <xm:f>'TC1'!$B9="Speak"</xm:f>
            <x14:dxf>
              <font>
                <b/>
                <i val="0"/>
                <color rgb="FFFF0000"/>
              </font>
            </x14:dxf>
          </x14:cfRule>
          <xm:sqref>C12:C15</xm:sqref>
        </x14:conditionalFormatting>
        <x14:conditionalFormatting xmlns:xm="http://schemas.microsoft.com/office/excel/2006/main">
          <x14:cfRule type="expression" priority="5451" id="{61951449-ADBA-482C-868B-3772DCEF3CC6}">
            <xm:f>'TC1'!#REF!="Speak"</xm:f>
            <x14:dxf>
              <font>
                <b/>
                <i val="0"/>
                <color rgb="FFFF0000"/>
              </font>
            </x14:dxf>
          </x14:cfRule>
          <xm:sqref>C9:C11</xm:sqref>
        </x14:conditionalFormatting>
        <x14:conditionalFormatting xmlns:xm="http://schemas.microsoft.com/office/excel/2006/main">
          <x14:cfRule type="containsText" priority="5453" operator="containsText" text="DB" id="{B5C1CC18-7E47-4C40-8CD9-CBCA33A36399}">
            <xm:f>NOT(ISERROR(SEARCH("DB",'TC1'!#REF!)))</xm:f>
            <x14:dxf>
              <font>
                <color rgb="FF006100"/>
              </font>
              <fill>
                <patternFill>
                  <bgColor rgb="FFC6EFCE"/>
                </patternFill>
              </fill>
            </x14:dxf>
          </x14:cfRule>
          <x14:cfRule type="containsText" priority="5454" operator="containsText" text="WEB SERVICE" id="{15FC902A-40A9-4323-A09F-2C07D3DF5173}">
            <xm:f>NOT(ISERROR(SEARCH("WEB SERVICE",'TC1'!#REF!)))</xm:f>
            <x14:dxf>
              <font>
                <color rgb="FF9C0006"/>
              </font>
              <fill>
                <patternFill>
                  <bgColor rgb="FFFFC7CE"/>
                </patternFill>
              </fill>
            </x14:dxf>
          </x14:cfRule>
          <xm:sqref>E9:E11</xm:sqref>
        </x14:conditionalFormatting>
        <x14:conditionalFormatting xmlns:xm="http://schemas.microsoft.com/office/excel/2006/main">
          <x14:cfRule type="containsText" priority="5455" operator="containsText" text="DB" id="{B5C1CC18-7E47-4C40-8CD9-CBCA33A36399}">
            <xm:f>NOT(ISERROR(SEARCH("DB",'TC1'!E9)))</xm:f>
            <x14:dxf>
              <font>
                <color rgb="FF006100"/>
              </font>
              <fill>
                <patternFill>
                  <bgColor rgb="FFC6EFCE"/>
                </patternFill>
              </fill>
            </x14:dxf>
          </x14:cfRule>
          <x14:cfRule type="containsText" priority="5456" operator="containsText" text="WEB SERVICE" id="{15FC902A-40A9-4323-A09F-2C07D3DF5173}">
            <xm:f>NOT(ISERROR(SEARCH("WEB SERVICE",'TC1'!E9)))</xm:f>
            <x14:dxf>
              <font>
                <color rgb="FF9C0006"/>
              </font>
              <fill>
                <patternFill>
                  <bgColor rgb="FFFFC7CE"/>
                </patternFill>
              </fill>
            </x14:dxf>
          </x14:cfRule>
          <xm:sqref>E12:E15</xm:sqref>
        </x14:conditionalFormatting>
        <x14:conditionalFormatting xmlns:xm="http://schemas.microsoft.com/office/excel/2006/main">
          <x14:cfRule type="expression" priority="7715" id="{B961FC19-9373-4D23-8B6F-29EC0EF15534}">
            <xm:f>'TC1'!$B15="HANGUP"</xm:f>
            <x14:dxf>
              <font>
                <b/>
                <i val="0"/>
              </font>
            </x14:dxf>
          </x14:cfRule>
          <x14:cfRule type="expression" priority="7716" id="{C2EBF0B1-2834-411B-A7C6-8E355E354AAC}">
            <xm:f>'TC1'!$B15="Dial"</xm:f>
            <x14:dxf>
              <font>
                <b/>
                <i val="0"/>
                <color rgb="FFFF0000"/>
              </font>
            </x14:dxf>
          </x14:cfRule>
          <xm:sqref>C16</xm:sqref>
        </x14:conditionalFormatting>
        <x14:conditionalFormatting xmlns:xm="http://schemas.microsoft.com/office/excel/2006/main">
          <x14:cfRule type="expression" priority="7718" id="{61951449-ADBA-482C-868B-3772DCEF3CC6}">
            <xm:f>'TC1'!$B15="Speak"</xm:f>
            <x14:dxf>
              <font>
                <b/>
                <i val="0"/>
                <color rgb="FFFF0000"/>
              </font>
            </x14:dxf>
          </x14:cfRule>
          <xm:sqref>C16</xm:sqref>
        </x14:conditionalFormatting>
        <x14:conditionalFormatting xmlns:xm="http://schemas.microsoft.com/office/excel/2006/main">
          <x14:cfRule type="containsText" priority="7721" operator="containsText" text="DB" id="{B5C1CC18-7E47-4C40-8CD9-CBCA33A36399}">
            <xm:f>NOT(ISERROR(SEARCH("DB",'TC1'!E15)))</xm:f>
            <x14:dxf>
              <font>
                <color rgb="FF006100"/>
              </font>
              <fill>
                <patternFill>
                  <bgColor rgb="FFC6EFCE"/>
                </patternFill>
              </fill>
            </x14:dxf>
          </x14:cfRule>
          <x14:cfRule type="containsText" priority="7722" operator="containsText" text="WEB SERVICE" id="{15FC902A-40A9-4323-A09F-2C07D3DF5173}">
            <xm:f>NOT(ISERROR(SEARCH("WEB SERVICE",'TC1'!E15)))</xm:f>
            <x14:dxf>
              <font>
                <color rgb="FF9C0006"/>
              </font>
              <fill>
                <patternFill>
                  <bgColor rgb="FFFFC7CE"/>
                </patternFill>
              </fill>
            </x14:dxf>
          </x14:cfRule>
          <xm:sqref>E16</xm:sqref>
        </x14:conditionalFormatting>
        <x14:conditionalFormatting xmlns:xm="http://schemas.microsoft.com/office/excel/2006/main">
          <x14:cfRule type="containsText" priority="10354" operator="containsText" text="Hear" id="{5400486E-EE8A-4675-A380-6F60A0F366DA}">
            <xm:f>NOT(ISERROR(SEARCH("Hear",'TC26'!#REF!)))</xm:f>
            <x14:dxf>
              <font>
                <color theme="9" tint="-0.24994659260841701"/>
              </font>
              <fill>
                <patternFill>
                  <bgColor theme="9" tint="0.59996337778862885"/>
                </patternFill>
              </fill>
            </x14:dxf>
          </x14:cfRule>
          <xm:sqref>B39</xm:sqref>
        </x14:conditionalFormatting>
      </x14:conditionalFormattings>
    </ext>
  </extLst>
</worksheet>
</file>

<file path=xl/worksheets/sheet1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F00-000000000000}">
  <sheetPr codeName="Sheet129"/>
  <dimension ref="A1:E44"/>
  <sheetViews>
    <sheetView zoomScaleNormal="100" workbookViewId="0">
      <selection sqref="A1:E44"/>
    </sheetView>
  </sheetViews>
  <sheetFormatPr defaultRowHeight="14.5" x14ac:dyDescent="0.35"/>
  <cols>
    <col min="1" max="1" width="14.453125" bestFit="1" customWidth="1"/>
    <col min="2" max="2" width="42.6328125" customWidth="1"/>
    <col min="3" max="3" width="106.1796875" customWidth="1"/>
    <col min="4" max="4" width="21.81640625" bestFit="1" customWidth="1"/>
    <col min="5" max="5" width="20.6328125" customWidth="1"/>
  </cols>
  <sheetData>
    <row r="1" spans="1:5" ht="18.5" x14ac:dyDescent="0.35">
      <c r="A1" s="192" t="s">
        <v>4</v>
      </c>
      <c r="B1" s="192"/>
      <c r="C1" s="105"/>
      <c r="D1" s="111"/>
      <c r="E1" s="97"/>
    </row>
    <row r="2" spans="1:5" x14ac:dyDescent="0.35">
      <c r="A2" s="106" t="s">
        <v>5</v>
      </c>
      <c r="B2" s="107" t="str">
        <f ca="1">MID(CELL("filename",A1),FIND("]",CELL("filename",A1))+1,LEN(CELL("filename",A1))-FIND("]",CELL("filename",A1)))</f>
        <v>TC127</v>
      </c>
      <c r="C2" s="98"/>
      <c r="D2" s="111"/>
      <c r="E2" s="97"/>
    </row>
    <row r="3" spans="1:5" x14ac:dyDescent="0.35">
      <c r="A3" s="104" t="s">
        <v>19</v>
      </c>
      <c r="B3" s="112" t="e">
        <f ca="1">VLOOKUP(B2,Table53[#All],2,FALSE)</f>
        <v>#N/A</v>
      </c>
      <c r="C3" s="98"/>
      <c r="D3" s="111"/>
      <c r="E3" s="97"/>
    </row>
    <row r="4" spans="1:5" ht="29" x14ac:dyDescent="0.35">
      <c r="A4" s="113" t="s">
        <v>20</v>
      </c>
      <c r="B4" s="99" t="e">
        <f ca="1">VLOOKUP(B2,Table53[#All],4,FALSE)</f>
        <v>#N/A</v>
      </c>
      <c r="C4" s="98"/>
      <c r="D4" s="111"/>
      <c r="E4" s="97"/>
    </row>
    <row r="5" spans="1:5" x14ac:dyDescent="0.35">
      <c r="A5" s="104" t="s">
        <v>6</v>
      </c>
      <c r="B5" s="77" t="e">
        <f ca="1">VLOOKUP(B2,Table53[#All],3,FALSE)</f>
        <v>#N/A</v>
      </c>
      <c r="C5" s="98"/>
      <c r="D5" s="111"/>
      <c r="E5" s="97"/>
    </row>
    <row r="6" spans="1:5" x14ac:dyDescent="0.35">
      <c r="A6" s="97"/>
      <c r="B6" s="97"/>
      <c r="C6" s="98"/>
      <c r="D6" s="111"/>
      <c r="E6" s="97"/>
    </row>
    <row r="7" spans="1:5" ht="15.5" x14ac:dyDescent="0.35">
      <c r="A7" s="100" t="s">
        <v>7</v>
      </c>
      <c r="B7" s="101" t="s">
        <v>8</v>
      </c>
      <c r="C7" s="102" t="s">
        <v>9</v>
      </c>
      <c r="D7" s="102" t="s">
        <v>14</v>
      </c>
      <c r="E7" s="103" t="s">
        <v>10</v>
      </c>
    </row>
    <row r="8" spans="1:5" x14ac:dyDescent="0.35">
      <c r="A8" s="118">
        <v>1</v>
      </c>
      <c r="B8" s="114" t="s">
        <v>114</v>
      </c>
      <c r="C8" s="109" t="s">
        <v>125</v>
      </c>
      <c r="D8" s="128"/>
      <c r="E8" s="125" t="s">
        <v>11</v>
      </c>
    </row>
    <row r="9" spans="1:5" x14ac:dyDescent="0.35">
      <c r="A9" s="118">
        <v>2</v>
      </c>
      <c r="B9" s="114" t="s">
        <v>12</v>
      </c>
      <c r="C9" s="109" t="e">
        <f>VLOOKUP(Table257519913140106110151155162[[#This Row],[PEG]],Table1016[#All],2,FALSE)</f>
        <v>#N/A</v>
      </c>
      <c r="D9" s="128"/>
      <c r="E9" s="125" t="e">
        <f>VLOOKUP(Table257519913140106110151155162[[#This Row],[PEG]],Table1016[#All],3,FALSE)</f>
        <v>#N/A</v>
      </c>
    </row>
    <row r="10" spans="1:5" x14ac:dyDescent="0.35">
      <c r="A10" s="118">
        <v>3</v>
      </c>
      <c r="B10" s="114" t="s">
        <v>115</v>
      </c>
      <c r="C10" s="109" t="e">
        <f>VLOOKUP(Table257519913140106110151155162[[#This Row],[PEG]],Table1016[#All],2,FALSE)</f>
        <v>#N/A</v>
      </c>
      <c r="D10" s="128"/>
      <c r="E10" s="125" t="e">
        <f>VLOOKUP(Table257519913140106110151155162[[#This Row],[PEG]],Table1016[#All],3,FALSE)</f>
        <v>#N/A</v>
      </c>
    </row>
    <row r="11" spans="1:5" x14ac:dyDescent="0.35">
      <c r="A11" s="118">
        <v>4</v>
      </c>
      <c r="B11" s="114" t="s">
        <v>115</v>
      </c>
      <c r="C11" s="109" t="e">
        <f>VLOOKUP(Table257519913140106110151155162[[#This Row],[PEG]],Table1016[#All],2,FALSE)</f>
        <v>#N/A</v>
      </c>
      <c r="D11" s="128"/>
      <c r="E11" s="125" t="e">
        <f>VLOOKUP(Table257519913140106110151155162[[#This Row],[PEG]],Table1016[#All],3,FALSE)</f>
        <v>#N/A</v>
      </c>
    </row>
    <row r="12" spans="1:5" x14ac:dyDescent="0.35">
      <c r="A12" s="118">
        <v>5</v>
      </c>
      <c r="B12" s="114" t="s">
        <v>114</v>
      </c>
      <c r="C12" s="109" t="e">
        <f>VLOOKUP(Table257519913140106110151155162[[#This Row],[PEG]],Table1016[#All],2,FALSE)</f>
        <v>#N/A</v>
      </c>
      <c r="D12" s="128"/>
      <c r="E12" s="125" t="e">
        <f>VLOOKUP(Table257519913140106110151155162[[#This Row],[PEG]],Table1016[#All],3,FALSE)</f>
        <v>#N/A</v>
      </c>
    </row>
    <row r="13" spans="1:5" x14ac:dyDescent="0.35">
      <c r="A13" s="118">
        <v>6</v>
      </c>
      <c r="B13" s="114" t="s">
        <v>115</v>
      </c>
      <c r="C13" s="109" t="e">
        <f>VLOOKUP(Table257519913140106110151155162[[#This Row],[PEG]],Table1016[#All],2,FALSE)</f>
        <v>#N/A</v>
      </c>
      <c r="D13" s="128"/>
      <c r="E13" s="125" t="e">
        <f>VLOOKUP(Table257519913140106110151155162[[#This Row],[PEG]],Table1016[#All],3,FALSE)</f>
        <v>#N/A</v>
      </c>
    </row>
    <row r="14" spans="1:5" x14ac:dyDescent="0.35">
      <c r="A14" s="118">
        <v>7</v>
      </c>
      <c r="B14" s="114" t="s">
        <v>114</v>
      </c>
      <c r="C14" s="109" t="e">
        <f>VLOOKUP(Table257519913140106110151155162[[#This Row],[PEG]],Table1016[#All],2,FALSE)</f>
        <v>#N/A</v>
      </c>
      <c r="D14" s="128"/>
      <c r="E14" s="125" t="e">
        <f>VLOOKUP(Table257519913140106110151155162[[#This Row],[PEG]],Table1016[#All],3,FALSE)</f>
        <v>#N/A</v>
      </c>
    </row>
    <row r="15" spans="1:5" x14ac:dyDescent="0.35">
      <c r="A15" s="118">
        <v>8</v>
      </c>
      <c r="B15" s="114" t="s">
        <v>115</v>
      </c>
      <c r="C15" s="109" t="e">
        <f>VLOOKUP(Table257519913140106110151155162[[#This Row],[PEG]],Table1016[#All],2,FALSE)</f>
        <v>#N/A</v>
      </c>
      <c r="D15" s="116"/>
      <c r="E15" s="125" t="e">
        <f>VLOOKUP(Table257519913140106110151155162[[#This Row],[PEG]],Table1016[#All],3,FALSE)</f>
        <v>#N/A</v>
      </c>
    </row>
    <row r="16" spans="1:5" x14ac:dyDescent="0.35">
      <c r="A16" s="118">
        <v>9</v>
      </c>
      <c r="B16" s="114" t="s">
        <v>12</v>
      </c>
      <c r="C16" s="109" t="e">
        <f>VLOOKUP(Table257519913140106110151155162[[#This Row],[PEG]],Table1016[#All],2,FALSE)</f>
        <v>#N/A</v>
      </c>
      <c r="D16" s="116"/>
      <c r="E16" s="125" t="e">
        <f>VLOOKUP(Table257519913140106110151155162[[#This Row],[PEG]],Table1016[#All],3,FALSE)</f>
        <v>#N/A</v>
      </c>
    </row>
    <row r="17" spans="1:5" x14ac:dyDescent="0.35">
      <c r="A17" s="118">
        <v>10</v>
      </c>
      <c r="B17" s="114" t="s">
        <v>12</v>
      </c>
      <c r="C17" s="109" t="e">
        <f>VLOOKUP(Table257519913140106110151155162[[#This Row],[PEG]],Table1016[#All],2,FALSE)</f>
        <v>#N/A</v>
      </c>
      <c r="D17" s="117"/>
      <c r="E17" s="125" t="e">
        <f>VLOOKUP(Table257519913140106110151155162[[#This Row],[PEG]],Table1016[#All],3,FALSE)</f>
        <v>#N/A</v>
      </c>
    </row>
    <row r="18" spans="1:5" x14ac:dyDescent="0.35">
      <c r="A18" s="118">
        <v>11</v>
      </c>
      <c r="B18" s="114" t="s">
        <v>115</v>
      </c>
      <c r="C18" s="109" t="e">
        <f>VLOOKUP(Table257519913140106110151155162[[#This Row],[PEG]],Table1016[#All],2,FALSE)</f>
        <v>#N/A</v>
      </c>
      <c r="D18" s="117"/>
      <c r="E18" s="125" t="e">
        <f>VLOOKUP(Table257519913140106110151155162[[#This Row],[PEG]],Table1016[#All],3,FALSE)</f>
        <v>#N/A</v>
      </c>
    </row>
    <row r="19" spans="1:5" x14ac:dyDescent="0.35">
      <c r="A19" s="118">
        <v>12</v>
      </c>
      <c r="B19" s="114" t="s">
        <v>115</v>
      </c>
      <c r="C19" s="109" t="e">
        <f>VLOOKUP(Table257519913140106110151155162[[#This Row],[PEG]],Table1016[#All],2,FALSE)</f>
        <v>#N/A</v>
      </c>
      <c r="D19" s="117"/>
      <c r="E19" s="125" t="e">
        <f>VLOOKUP(Table257519913140106110151155162[[#This Row],[PEG]],Table1016[#All],3,FALSE)</f>
        <v>#N/A</v>
      </c>
    </row>
    <row r="20" spans="1:5" x14ac:dyDescent="0.35">
      <c r="A20" s="118">
        <v>13</v>
      </c>
      <c r="B20" s="114" t="s">
        <v>114</v>
      </c>
      <c r="C20" s="109" t="e">
        <f>VLOOKUP(Table257519913140106110151155162[[#This Row],[PEG]],Table1016[#All],2,FALSE)</f>
        <v>#N/A</v>
      </c>
      <c r="D20" s="117"/>
      <c r="E20" s="125" t="e">
        <f>VLOOKUP(Table257519913140106110151155162[[#This Row],[PEG]],Table1016[#All],3,FALSE)</f>
        <v>#N/A</v>
      </c>
    </row>
    <row r="21" spans="1:5" x14ac:dyDescent="0.35">
      <c r="A21" s="118">
        <v>14</v>
      </c>
      <c r="B21" s="114" t="s">
        <v>12</v>
      </c>
      <c r="C21" s="109" t="e">
        <f>VLOOKUP(Table257519913140106110151155162[[#This Row],[PEG]],Table1016[#All],2,FALSE)</f>
        <v>#N/A</v>
      </c>
      <c r="D21" s="117"/>
      <c r="E21" s="125" t="e">
        <f>VLOOKUP(Table257519913140106110151155162[[#This Row],[PEG]],Table1016[#All],3,FALSE)</f>
        <v>#N/A</v>
      </c>
    </row>
    <row r="22" spans="1:5" x14ac:dyDescent="0.35">
      <c r="A22" s="118">
        <v>15</v>
      </c>
      <c r="B22" s="114" t="s">
        <v>12</v>
      </c>
      <c r="C22" s="109" t="e">
        <f>VLOOKUP(Table257519913140106110151155162[[#This Row],[PEG]],Table1016[#All],2,FALSE)</f>
        <v>#N/A</v>
      </c>
      <c r="D22" s="117"/>
      <c r="E22" s="125" t="e">
        <f>VLOOKUP(Table257519913140106110151155162[[#This Row],[PEG]],Table1016[#All],3,FALSE)</f>
        <v>#N/A</v>
      </c>
    </row>
    <row r="23" spans="1:5" x14ac:dyDescent="0.35">
      <c r="A23" s="118">
        <v>16</v>
      </c>
      <c r="B23" s="114" t="s">
        <v>115</v>
      </c>
      <c r="C23" s="109" t="e">
        <f>VLOOKUP(Table257519913140106110151155162[[#This Row],[PEG]],Table1016[#All],2,FALSE)</f>
        <v>#N/A</v>
      </c>
      <c r="D23" s="117"/>
      <c r="E23" s="125" t="e">
        <f>VLOOKUP(Table257519913140106110151155162[[#This Row],[PEG]],Table1016[#All],3,FALSE)</f>
        <v>#N/A</v>
      </c>
    </row>
    <row r="24" spans="1:5" x14ac:dyDescent="0.35">
      <c r="A24" s="118">
        <v>17</v>
      </c>
      <c r="B24" s="114" t="s">
        <v>114</v>
      </c>
      <c r="C24" s="109" t="e">
        <f>VLOOKUP(Table257519913140106110151155162[[#This Row],[PEG]],Table1016[#All],2,FALSE)</f>
        <v>#N/A</v>
      </c>
      <c r="D24" s="117"/>
      <c r="E24" s="125" t="e">
        <f>VLOOKUP(Table257519913140106110151155162[[#This Row],[PEG]],Table1016[#All],3,FALSE)</f>
        <v>#N/A</v>
      </c>
    </row>
    <row r="25" spans="1:5" x14ac:dyDescent="0.35">
      <c r="A25" s="118">
        <v>18</v>
      </c>
      <c r="B25" s="114" t="s">
        <v>12</v>
      </c>
      <c r="C25" s="109" t="e">
        <f>VLOOKUP(Table257519913140106110151155162[[#This Row],[PEG]],Table1016[#All],2,FALSE)</f>
        <v>#N/A</v>
      </c>
      <c r="D25" s="117"/>
      <c r="E25" s="125" t="e">
        <f>VLOOKUP(Table257519913140106110151155162[[#This Row],[PEG]],Table1016[#All],3,FALSE)</f>
        <v>#N/A</v>
      </c>
    </row>
    <row r="26" spans="1:5" x14ac:dyDescent="0.35">
      <c r="A26" s="118">
        <v>19</v>
      </c>
      <c r="B26" s="114" t="s">
        <v>12</v>
      </c>
      <c r="C26" s="109" t="e">
        <f>VLOOKUP(Table257519913140106110151155162[[#This Row],[PEG]],Table1016[#All],2,FALSE)</f>
        <v>#N/A</v>
      </c>
      <c r="D26" s="117"/>
      <c r="E26" s="125" t="e">
        <f>VLOOKUP(Table257519913140106110151155162[[#This Row],[PEG]],Table1016[#All],3,FALSE)</f>
        <v>#N/A</v>
      </c>
    </row>
    <row r="27" spans="1:5" x14ac:dyDescent="0.35">
      <c r="A27" s="118">
        <v>20</v>
      </c>
      <c r="B27" s="114" t="s">
        <v>115</v>
      </c>
      <c r="C27" s="109" t="e">
        <f>VLOOKUP(Table257519913140106110151155162[[#This Row],[PEG]],Table1016[#All],2,FALSE)</f>
        <v>#N/A</v>
      </c>
      <c r="D27" s="117"/>
      <c r="E27" s="125" t="e">
        <f>VLOOKUP(Table257519913140106110151155162[[#This Row],[PEG]],Table1016[#All],3,FALSE)</f>
        <v>#N/A</v>
      </c>
    </row>
    <row r="28" spans="1:5" x14ac:dyDescent="0.35">
      <c r="A28" s="118">
        <v>21</v>
      </c>
      <c r="B28" s="114" t="s">
        <v>114</v>
      </c>
      <c r="C28" s="109" t="e">
        <f>VLOOKUP(Table257519913140106110151155162[[#This Row],[PEG]],Table1016[#All],2,FALSE)</f>
        <v>#N/A</v>
      </c>
      <c r="D28" s="117"/>
      <c r="E28" s="125" t="e">
        <f>VLOOKUP(Table257519913140106110151155162[[#This Row],[PEG]],Table1016[#All],3,FALSE)</f>
        <v>#N/A</v>
      </c>
    </row>
    <row r="29" spans="1:5" x14ac:dyDescent="0.35">
      <c r="A29" s="118">
        <v>22</v>
      </c>
      <c r="B29" s="114" t="s">
        <v>12</v>
      </c>
      <c r="C29" s="109" t="e">
        <f>VLOOKUP(Table257519913140106110151155162[[#This Row],[PEG]],Table1016[#All],2,FALSE)</f>
        <v>#N/A</v>
      </c>
      <c r="D29" s="117"/>
      <c r="E29" s="125" t="e">
        <f>VLOOKUP(Table257519913140106110151155162[[#This Row],[PEG]],Table1016[#All],3,FALSE)</f>
        <v>#N/A</v>
      </c>
    </row>
    <row r="30" spans="1:5" x14ac:dyDescent="0.35">
      <c r="A30" s="118">
        <v>23</v>
      </c>
      <c r="B30" s="114" t="s">
        <v>12</v>
      </c>
      <c r="C30" s="109" t="e">
        <f>VLOOKUP(Table257519913140106110151155162[[#This Row],[PEG]],Table1016[#All],2,FALSE)</f>
        <v>#N/A</v>
      </c>
      <c r="D30" s="117"/>
      <c r="E30" s="125" t="e">
        <f>VLOOKUP(Table257519913140106110151155162[[#This Row],[PEG]],Table1016[#All],3,FALSE)</f>
        <v>#N/A</v>
      </c>
    </row>
    <row r="31" spans="1:5" x14ac:dyDescent="0.35">
      <c r="A31" s="118">
        <v>24</v>
      </c>
      <c r="B31" s="114" t="s">
        <v>115</v>
      </c>
      <c r="C31" s="109" t="e">
        <f>VLOOKUP(Table257519913140106110151155162[[#This Row],[PEG]],Table1016[#All],2,FALSE)</f>
        <v>#N/A</v>
      </c>
      <c r="D31" s="117"/>
      <c r="E31" s="125" t="e">
        <f>VLOOKUP(Table257519913140106110151155162[[#This Row],[PEG]],Table1016[#All],3,FALSE)</f>
        <v>#N/A</v>
      </c>
    </row>
    <row r="32" spans="1:5" x14ac:dyDescent="0.35">
      <c r="A32" s="118">
        <v>25</v>
      </c>
      <c r="B32" s="114" t="s">
        <v>115</v>
      </c>
      <c r="C32" s="109" t="e">
        <f>VLOOKUP(Table257519913140106110151155162[[#This Row],[PEG]],Table1016[#All],2,FALSE)</f>
        <v>#N/A</v>
      </c>
      <c r="D32" s="117"/>
      <c r="E32" s="125" t="e">
        <f>VLOOKUP(Table257519913140106110151155162[[#This Row],[PEG]],Table1016[#All],3,FALSE)</f>
        <v>#N/A</v>
      </c>
    </row>
    <row r="33" spans="1:5" x14ac:dyDescent="0.35">
      <c r="A33" s="118">
        <v>26</v>
      </c>
      <c r="B33" s="114" t="s">
        <v>124</v>
      </c>
      <c r="C33" s="109" t="e">
        <f>VLOOKUP(Table257519913140106110151155162[[#This Row],[PEG]],Table1016[#All],2,FALSE)</f>
        <v>#N/A</v>
      </c>
      <c r="D33" s="117"/>
      <c r="E33" s="125" t="e">
        <f>VLOOKUP(Table257519913140106110151155162[[#This Row],[PEG]],Table1016[#All],3,FALSE)</f>
        <v>#N/A</v>
      </c>
    </row>
    <row r="34" spans="1:5" x14ac:dyDescent="0.35">
      <c r="A34" s="118">
        <v>27</v>
      </c>
      <c r="B34" s="114" t="s">
        <v>115</v>
      </c>
      <c r="C34" s="109" t="e">
        <f>VLOOKUP(Table257519913140106110151155162[[#This Row],[PEG]],Table1016[#All],2,FALSE)</f>
        <v>#N/A</v>
      </c>
      <c r="D34" s="117"/>
      <c r="E34" s="125" t="e">
        <f>VLOOKUP(Table257519913140106110151155162[[#This Row],[PEG]],Table1016[#All],3,FALSE)</f>
        <v>#N/A</v>
      </c>
    </row>
    <row r="35" spans="1:5" x14ac:dyDescent="0.35">
      <c r="A35" s="118">
        <v>28</v>
      </c>
      <c r="B35" s="114" t="s">
        <v>124</v>
      </c>
      <c r="C35" s="109" t="e">
        <f>VLOOKUP(Table257519913140106110151155162[[#This Row],[PEG]],Table1016[#All],2,FALSE)</f>
        <v>#N/A</v>
      </c>
      <c r="D35" s="117"/>
      <c r="E35" s="125" t="e">
        <f>VLOOKUP(Table257519913140106110151155162[[#This Row],[PEG]],Table1016[#All],3,FALSE)</f>
        <v>#N/A</v>
      </c>
    </row>
    <row r="36" spans="1:5" x14ac:dyDescent="0.35">
      <c r="A36" s="118">
        <v>29</v>
      </c>
      <c r="B36" s="114" t="s">
        <v>115</v>
      </c>
      <c r="C36" s="109" t="e">
        <f>VLOOKUP(Table257519913140106110151155162[[#This Row],[PEG]],Table1016[#All],2,FALSE)</f>
        <v>#N/A</v>
      </c>
      <c r="D36" s="117"/>
      <c r="E36" s="125" t="e">
        <f>VLOOKUP(Table257519913140106110151155162[[#This Row],[PEG]],Table1016[#All],3,FALSE)</f>
        <v>#N/A</v>
      </c>
    </row>
    <row r="37" spans="1:5" x14ac:dyDescent="0.35">
      <c r="A37" s="118">
        <v>30</v>
      </c>
      <c r="B37" s="114" t="s">
        <v>12</v>
      </c>
      <c r="C37" s="109" t="e">
        <f>VLOOKUP(Table257519913140106110151155162[[#This Row],[PEG]],Table1016[#All],2,FALSE)</f>
        <v>#N/A</v>
      </c>
      <c r="D37" s="117"/>
      <c r="E37" s="125" t="e">
        <f>VLOOKUP(Table257519913140106110151155162[[#This Row],[PEG]],Table1016[#All],3,FALSE)</f>
        <v>#N/A</v>
      </c>
    </row>
    <row r="38" spans="1:5" x14ac:dyDescent="0.35">
      <c r="A38" s="118">
        <v>31</v>
      </c>
      <c r="B38" s="114" t="s">
        <v>12</v>
      </c>
      <c r="C38" s="109" t="e">
        <f>VLOOKUP(Table257519913140106110151155162[[#This Row],[PEG]],Table1016[#All],2,FALSE)</f>
        <v>#N/A</v>
      </c>
      <c r="D38" s="117"/>
      <c r="E38" s="125" t="e">
        <f>VLOOKUP(Table257519913140106110151155162[[#This Row],[PEG]],Table1016[#All],3,FALSE)</f>
        <v>#N/A</v>
      </c>
    </row>
    <row r="39" spans="1:5" x14ac:dyDescent="0.35">
      <c r="A39" s="118">
        <v>32</v>
      </c>
      <c r="B39" s="114" t="s">
        <v>12</v>
      </c>
      <c r="C39" s="109" t="e">
        <f>VLOOKUP(Table257519913140106110151155162[[#This Row],[PEG]],Table1016[#All],2,FALSE)</f>
        <v>#N/A</v>
      </c>
      <c r="D39" s="117"/>
      <c r="E39" s="125" t="e">
        <f>VLOOKUP(Table257519913140106110151155162[[#This Row],[PEG]],Table1016[#All],3,FALSE)</f>
        <v>#N/A</v>
      </c>
    </row>
    <row r="40" spans="1:5" x14ac:dyDescent="0.35">
      <c r="A40" s="118">
        <v>33</v>
      </c>
      <c r="B40" s="114" t="s">
        <v>12</v>
      </c>
      <c r="C40" s="109" t="e">
        <f>VLOOKUP(Table257519913140106110151155162[[#This Row],[PEG]],Table1016[#All],2,FALSE)</f>
        <v>#N/A</v>
      </c>
      <c r="D40" s="117"/>
      <c r="E40" s="125" t="e">
        <f>VLOOKUP(Table257519913140106110151155162[[#This Row],[PEG]],Table1016[#All],3,FALSE)</f>
        <v>#N/A</v>
      </c>
    </row>
    <row r="41" spans="1:5" x14ac:dyDescent="0.35">
      <c r="A41" s="118">
        <v>34</v>
      </c>
      <c r="B41" s="114" t="s">
        <v>115</v>
      </c>
      <c r="C41" s="109" t="e">
        <f>VLOOKUP(Table257519913140106110151155162[[#This Row],[PEG]],Table1016[#All],2,FALSE)</f>
        <v>#N/A</v>
      </c>
      <c r="D41" s="117"/>
      <c r="E41" s="125" t="e">
        <f>VLOOKUP(Table257519913140106110151155162[[#This Row],[PEG]],Table1016[#All],3,FALSE)</f>
        <v>#N/A</v>
      </c>
    </row>
    <row r="42" spans="1:5" x14ac:dyDescent="0.35">
      <c r="A42" s="118">
        <v>35</v>
      </c>
      <c r="B42" s="114" t="s">
        <v>12</v>
      </c>
      <c r="C42" s="109" t="e">
        <f>VLOOKUP(Table257519913140106110151155162[[#This Row],[PEG]],Table1016[#All],2,FALSE)</f>
        <v>#N/A</v>
      </c>
      <c r="D42" s="115"/>
      <c r="E42" s="125" t="e">
        <f>VLOOKUP(Table257519913140106110151155162[[#This Row],[PEG]],Table1016[#All],3,FALSE)</f>
        <v>#N/A</v>
      </c>
    </row>
    <row r="43" spans="1:5" x14ac:dyDescent="0.35">
      <c r="A43" s="118">
        <v>36</v>
      </c>
      <c r="B43" s="114" t="s">
        <v>115</v>
      </c>
      <c r="C43" s="109" t="e">
        <f>VLOOKUP(Table257519913140106110151155162[[#This Row],[PEG]],Table1016[#All],2,FALSE)</f>
        <v>#N/A</v>
      </c>
      <c r="D43" s="115"/>
      <c r="E43" s="125" t="e">
        <f>VLOOKUP(Table257519913140106110151155162[[#This Row],[PEG]],Table1016[#All],3,FALSE)</f>
        <v>#N/A</v>
      </c>
    </row>
    <row r="44" spans="1:5" x14ac:dyDescent="0.35">
      <c r="A44" s="118">
        <v>37</v>
      </c>
      <c r="B44" s="114" t="s">
        <v>13</v>
      </c>
      <c r="C44" s="18" t="s">
        <v>13</v>
      </c>
      <c r="D44" s="115"/>
      <c r="E44" s="32"/>
    </row>
  </sheetData>
  <mergeCells count="1">
    <mergeCell ref="A1:B1"/>
  </mergeCells>
  <conditionalFormatting sqref="B8:B18">
    <cfRule type="containsText" dxfId="1717" priority="1" operator="containsText" text="Hear">
      <formula>NOT(ISERROR(SEARCH("Hear",B8)))</formula>
    </cfRule>
  </conditionalFormatting>
  <conditionalFormatting sqref="B30">
    <cfRule type="containsText" dxfId="1716" priority="4" operator="containsText" text="Hear">
      <formula>NOT(ISERROR(SEARCH("Hear",B30)))</formula>
    </cfRule>
  </conditionalFormatting>
  <conditionalFormatting sqref="B43:B44">
    <cfRule type="containsText" dxfId="1715" priority="8" operator="containsText" text="Hear">
      <formula>NOT(ISERROR(SEARCH("Hear",B43)))</formula>
    </cfRule>
  </conditionalFormatting>
  <conditionalFormatting sqref="E44">
    <cfRule type="containsText" dxfId="1714" priority="6" operator="containsText" text="WEB SERVICE">
      <formula>NOT(ISERROR(SEARCH("WEB SERVICE",E44)))</formula>
    </cfRule>
    <cfRule type="containsText" dxfId="1713" priority="7" operator="containsText" text="DB">
      <formula>NOT(ISERROR(SEARCH("DB",E44)))</formula>
    </cfRule>
  </conditionalFormatting>
  <conditionalFormatting sqref="C44">
    <cfRule type="expression" dxfId="1712" priority="9">
      <formula>$B44="HANGUP"</formula>
    </cfRule>
    <cfRule type="expression" dxfId="1711" priority="9">
      <formula>$B44="Dial"</formula>
    </cfRule>
  </conditionalFormatting>
  <conditionalFormatting sqref="C44">
    <cfRule type="expression" dxfId="1710" priority="3">
      <formula>$B44="Speak"</formula>
    </cfRule>
  </conditionalFormatting>
  <conditionalFormatting sqref="B36:B38 B40:B41">
    <cfRule type="containsText" dxfId="1709" priority="10" operator="containsText" text="Hear">
      <formula>NOT(ISERROR(SEARCH("Hear",B36)))</formula>
    </cfRule>
  </conditionalFormatting>
  <conditionalFormatting sqref="B19:B29 B31:B35 B42">
    <cfRule type="containsText" dxfId="1708" priority="5" operator="containsText" text="Hear">
      <formula>NOT(ISERROR(SEARCH("Hear",B19)))</formula>
    </cfRule>
  </conditionalFormatting>
  <hyperlinks>
    <hyperlink ref="A1" location="'Test Case Overview'!A1" display="Return to Test Case Overview" xr:uid="{E1D76F18-961A-4B4D-8360-03040AB5065B}"/>
  </hyperlinks>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expression" priority="2" id="{EDEA8019-9B17-496C-8B9D-2B61D71D6802}">
            <xm:f>'TC1'!$B8="HANGUP"</xm:f>
            <x14:dxf>
              <font>
                <b/>
                <i val="0"/>
              </font>
            </x14:dxf>
          </x14:cfRule>
          <x14:cfRule type="expression" priority="11" id="{5FBD2E1F-0312-4DA5-B63A-3243BD3FD5F4}">
            <xm:f>'TC1'!$B8="Dial"</xm:f>
            <x14:dxf>
              <font>
                <b/>
                <i val="0"/>
                <color rgb="FFFF0000"/>
              </font>
            </x14:dxf>
          </x14:cfRule>
          <xm:sqref>C8</xm:sqref>
        </x14:conditionalFormatting>
        <x14:conditionalFormatting xmlns:xm="http://schemas.microsoft.com/office/excel/2006/main">
          <x14:cfRule type="expression" priority="12" id="{44D938E2-AAB6-40C8-9E4A-341B068E6B4F}">
            <xm:f>'TC1'!$B8="Speak"</xm:f>
            <x14:dxf>
              <font>
                <b/>
                <i val="0"/>
                <color rgb="FFFF0000"/>
              </font>
            </x14:dxf>
          </x14:cfRule>
          <xm:sqref>C8</xm:sqref>
        </x14:conditionalFormatting>
        <x14:conditionalFormatting xmlns:xm="http://schemas.microsoft.com/office/excel/2006/main">
          <x14:cfRule type="containsText" priority="15" operator="containsText" text="Hear" id="{9333B44E-AF6C-40E2-A931-5E79C00F6BBF}">
            <xm:f>NOT(ISERROR(SEARCH("Hear",'TC3'!B34)))</xm:f>
            <x14:dxf>
              <font>
                <color theme="9" tint="-0.24994659260841701"/>
              </font>
              <fill>
                <patternFill>
                  <bgColor theme="9" tint="0.59996337778862885"/>
                </patternFill>
              </fill>
            </x14:dxf>
          </x14:cfRule>
          <xm:sqref>B41</xm:sqref>
        </x14:conditionalFormatting>
        <x14:conditionalFormatting xmlns:xm="http://schemas.microsoft.com/office/excel/2006/main">
          <x14:cfRule type="expression" priority="2803" id="{EDEA8019-9B17-496C-8B9D-2B61D71D6802}">
            <xm:f>'TC1'!$B16="HANGUP"</xm:f>
            <x14:dxf>
              <font>
                <b/>
                <i val="0"/>
              </font>
            </x14:dxf>
          </x14:cfRule>
          <x14:cfRule type="expression" priority="2804" id="{5FBD2E1F-0312-4DA5-B63A-3243BD3FD5F4}">
            <xm:f>'TC1'!$B16="Dial"</xm:f>
            <x14:dxf>
              <font>
                <b/>
                <i val="0"/>
                <color rgb="FFFF0000"/>
              </font>
            </x14:dxf>
          </x14:cfRule>
          <xm:sqref>C34:C43</xm:sqref>
        </x14:conditionalFormatting>
        <x14:conditionalFormatting xmlns:xm="http://schemas.microsoft.com/office/excel/2006/main">
          <x14:cfRule type="expression" priority="2805" id="{EDEA8019-9B17-496C-8B9D-2B61D71D6802}">
            <xm:f>'TC1'!#REF!="HANGUP"</xm:f>
            <x14:dxf>
              <font>
                <b/>
                <i val="0"/>
              </font>
            </x14:dxf>
          </x14:cfRule>
          <x14:cfRule type="expression" priority="2806" id="{5FBD2E1F-0312-4DA5-B63A-3243BD3FD5F4}">
            <xm:f>'TC1'!#REF!="Dial"</xm:f>
            <x14:dxf>
              <font>
                <b/>
                <i val="0"/>
                <color rgb="FFFF0000"/>
              </font>
            </x14:dxf>
          </x14:cfRule>
          <xm:sqref>C17:C33</xm:sqref>
        </x14:conditionalFormatting>
        <x14:conditionalFormatting xmlns:xm="http://schemas.microsoft.com/office/excel/2006/main">
          <x14:cfRule type="expression" priority="2810" id="{44D938E2-AAB6-40C8-9E4A-341B068E6B4F}">
            <xm:f>'TC1'!$B16="Speak"</xm:f>
            <x14:dxf>
              <font>
                <b/>
                <i val="0"/>
                <color rgb="FFFF0000"/>
              </font>
            </x14:dxf>
          </x14:cfRule>
          <xm:sqref>C34:C43</xm:sqref>
        </x14:conditionalFormatting>
        <x14:conditionalFormatting xmlns:xm="http://schemas.microsoft.com/office/excel/2006/main">
          <x14:cfRule type="expression" priority="2811" id="{44D938E2-AAB6-40C8-9E4A-341B068E6B4F}">
            <xm:f>'TC1'!#REF!="Speak"</xm:f>
            <x14:dxf>
              <font>
                <b/>
                <i val="0"/>
                <color rgb="FFFF0000"/>
              </font>
            </x14:dxf>
          </x14:cfRule>
          <xm:sqref>C17:C33</xm:sqref>
        </x14:conditionalFormatting>
        <x14:conditionalFormatting xmlns:xm="http://schemas.microsoft.com/office/excel/2006/main">
          <x14:cfRule type="containsText" priority="2815" operator="containsText" text="DB" id="{476779F1-3647-4433-A6A1-6E58EFCB679C}">
            <xm:f>NOT(ISERROR(SEARCH("DB",'TC1'!E16)))</xm:f>
            <x14:dxf>
              <font>
                <color rgb="FF006100"/>
              </font>
              <fill>
                <patternFill>
                  <bgColor rgb="FFC6EFCE"/>
                </patternFill>
              </fill>
            </x14:dxf>
          </x14:cfRule>
          <x14:cfRule type="containsText" priority="2816" operator="containsText" text="WEB SERVICE" id="{FF2F120B-446E-4E74-9AD9-37A1D4A10ACE}">
            <xm:f>NOT(ISERROR(SEARCH("WEB SERVICE",'TC1'!E16)))</xm:f>
            <x14:dxf>
              <font>
                <color rgb="FF9C0006"/>
              </font>
              <fill>
                <patternFill>
                  <bgColor rgb="FFFFC7CE"/>
                </patternFill>
              </fill>
            </x14:dxf>
          </x14:cfRule>
          <xm:sqref>E34:E43</xm:sqref>
        </x14:conditionalFormatting>
        <x14:conditionalFormatting xmlns:xm="http://schemas.microsoft.com/office/excel/2006/main">
          <x14:cfRule type="containsText" priority="2817" operator="containsText" text="DB" id="{476779F1-3647-4433-A6A1-6E58EFCB679C}">
            <xm:f>NOT(ISERROR(SEARCH("DB",'TC1'!#REF!)))</xm:f>
            <x14:dxf>
              <font>
                <color rgb="FF006100"/>
              </font>
              <fill>
                <patternFill>
                  <bgColor rgb="FFC6EFCE"/>
                </patternFill>
              </fill>
            </x14:dxf>
          </x14:cfRule>
          <x14:cfRule type="containsText" priority="2818" operator="containsText" text="WEB SERVICE" id="{FF2F120B-446E-4E74-9AD9-37A1D4A10ACE}">
            <xm:f>NOT(ISERROR(SEARCH("WEB SERVICE",'TC1'!#REF!)))</xm:f>
            <x14:dxf>
              <font>
                <color rgb="FF9C0006"/>
              </font>
              <fill>
                <patternFill>
                  <bgColor rgb="FFFFC7CE"/>
                </patternFill>
              </fill>
            </x14:dxf>
          </x14:cfRule>
          <xm:sqref>E17:E33</xm:sqref>
        </x14:conditionalFormatting>
        <x14:conditionalFormatting xmlns:xm="http://schemas.microsoft.com/office/excel/2006/main">
          <x14:cfRule type="expression" priority="5461" id="{EDEA8019-9B17-496C-8B9D-2B61D71D6802}">
            <xm:f>'TC1'!$B9="HANGUP"</xm:f>
            <x14:dxf>
              <font>
                <b/>
                <i val="0"/>
              </font>
            </x14:dxf>
          </x14:cfRule>
          <x14:cfRule type="expression" priority="5462" id="{5FBD2E1F-0312-4DA5-B63A-3243BD3FD5F4}">
            <xm:f>'TC1'!$B9="Dial"</xm:f>
            <x14:dxf>
              <font>
                <b/>
                <i val="0"/>
                <color rgb="FFFF0000"/>
              </font>
            </x14:dxf>
          </x14:cfRule>
          <xm:sqref>C12:C15</xm:sqref>
        </x14:conditionalFormatting>
        <x14:conditionalFormatting xmlns:xm="http://schemas.microsoft.com/office/excel/2006/main">
          <x14:cfRule type="expression" priority="5463" id="{EDEA8019-9B17-496C-8B9D-2B61D71D6802}">
            <xm:f>'TC1'!#REF!="HANGUP"</xm:f>
            <x14:dxf>
              <font>
                <b/>
                <i val="0"/>
              </font>
            </x14:dxf>
          </x14:cfRule>
          <x14:cfRule type="expression" priority="5464" id="{5FBD2E1F-0312-4DA5-B63A-3243BD3FD5F4}">
            <xm:f>'TC1'!#REF!="Dial"</xm:f>
            <x14:dxf>
              <font>
                <b/>
                <i val="0"/>
                <color rgb="FFFF0000"/>
              </font>
            </x14:dxf>
          </x14:cfRule>
          <xm:sqref>C9:C11</xm:sqref>
        </x14:conditionalFormatting>
        <x14:conditionalFormatting xmlns:xm="http://schemas.microsoft.com/office/excel/2006/main">
          <x14:cfRule type="expression" priority="5468" id="{44D938E2-AAB6-40C8-9E4A-341B068E6B4F}">
            <xm:f>'TC1'!$B9="Speak"</xm:f>
            <x14:dxf>
              <font>
                <b/>
                <i val="0"/>
                <color rgb="FFFF0000"/>
              </font>
            </x14:dxf>
          </x14:cfRule>
          <xm:sqref>C12:C15</xm:sqref>
        </x14:conditionalFormatting>
        <x14:conditionalFormatting xmlns:xm="http://schemas.microsoft.com/office/excel/2006/main">
          <x14:cfRule type="expression" priority="5469" id="{44D938E2-AAB6-40C8-9E4A-341B068E6B4F}">
            <xm:f>'TC1'!#REF!="Speak"</xm:f>
            <x14:dxf>
              <font>
                <b/>
                <i val="0"/>
                <color rgb="FFFF0000"/>
              </font>
            </x14:dxf>
          </x14:cfRule>
          <xm:sqref>C9:C11</xm:sqref>
        </x14:conditionalFormatting>
        <x14:conditionalFormatting xmlns:xm="http://schemas.microsoft.com/office/excel/2006/main">
          <x14:cfRule type="containsText" priority="5471" operator="containsText" text="DB" id="{476779F1-3647-4433-A6A1-6E58EFCB679C}">
            <xm:f>NOT(ISERROR(SEARCH("DB",'TC1'!#REF!)))</xm:f>
            <x14:dxf>
              <font>
                <color rgb="FF006100"/>
              </font>
              <fill>
                <patternFill>
                  <bgColor rgb="FFC6EFCE"/>
                </patternFill>
              </fill>
            </x14:dxf>
          </x14:cfRule>
          <x14:cfRule type="containsText" priority="5472" operator="containsText" text="WEB SERVICE" id="{FF2F120B-446E-4E74-9AD9-37A1D4A10ACE}">
            <xm:f>NOT(ISERROR(SEARCH("WEB SERVICE",'TC1'!#REF!)))</xm:f>
            <x14:dxf>
              <font>
                <color rgb="FF9C0006"/>
              </font>
              <fill>
                <patternFill>
                  <bgColor rgb="FFFFC7CE"/>
                </patternFill>
              </fill>
            </x14:dxf>
          </x14:cfRule>
          <xm:sqref>E9:E11</xm:sqref>
        </x14:conditionalFormatting>
        <x14:conditionalFormatting xmlns:xm="http://schemas.microsoft.com/office/excel/2006/main">
          <x14:cfRule type="containsText" priority="5473" operator="containsText" text="DB" id="{476779F1-3647-4433-A6A1-6E58EFCB679C}">
            <xm:f>NOT(ISERROR(SEARCH("DB",'TC1'!E9)))</xm:f>
            <x14:dxf>
              <font>
                <color rgb="FF006100"/>
              </font>
              <fill>
                <patternFill>
                  <bgColor rgb="FFC6EFCE"/>
                </patternFill>
              </fill>
            </x14:dxf>
          </x14:cfRule>
          <x14:cfRule type="containsText" priority="5474" operator="containsText" text="WEB SERVICE" id="{FF2F120B-446E-4E74-9AD9-37A1D4A10ACE}">
            <xm:f>NOT(ISERROR(SEARCH("WEB SERVICE",'TC1'!E9)))</xm:f>
            <x14:dxf>
              <font>
                <color rgb="FF9C0006"/>
              </font>
              <fill>
                <patternFill>
                  <bgColor rgb="FFFFC7CE"/>
                </patternFill>
              </fill>
            </x14:dxf>
          </x14:cfRule>
          <xm:sqref>E12:E15</xm:sqref>
        </x14:conditionalFormatting>
        <x14:conditionalFormatting xmlns:xm="http://schemas.microsoft.com/office/excel/2006/main">
          <x14:cfRule type="expression" priority="7730" id="{EDEA8019-9B17-496C-8B9D-2B61D71D6802}">
            <xm:f>'TC1'!$B15="HANGUP"</xm:f>
            <x14:dxf>
              <font>
                <b/>
                <i val="0"/>
              </font>
            </x14:dxf>
          </x14:cfRule>
          <x14:cfRule type="expression" priority="7731" id="{5FBD2E1F-0312-4DA5-B63A-3243BD3FD5F4}">
            <xm:f>'TC1'!$B15="Dial"</xm:f>
            <x14:dxf>
              <font>
                <b/>
                <i val="0"/>
                <color rgb="FFFF0000"/>
              </font>
            </x14:dxf>
          </x14:cfRule>
          <xm:sqref>C16</xm:sqref>
        </x14:conditionalFormatting>
        <x14:conditionalFormatting xmlns:xm="http://schemas.microsoft.com/office/excel/2006/main">
          <x14:cfRule type="expression" priority="7733" id="{44D938E2-AAB6-40C8-9E4A-341B068E6B4F}">
            <xm:f>'TC1'!$B15="Speak"</xm:f>
            <x14:dxf>
              <font>
                <b/>
                <i val="0"/>
                <color rgb="FFFF0000"/>
              </font>
            </x14:dxf>
          </x14:cfRule>
          <xm:sqref>C16</xm:sqref>
        </x14:conditionalFormatting>
        <x14:conditionalFormatting xmlns:xm="http://schemas.microsoft.com/office/excel/2006/main">
          <x14:cfRule type="containsText" priority="7736" operator="containsText" text="DB" id="{476779F1-3647-4433-A6A1-6E58EFCB679C}">
            <xm:f>NOT(ISERROR(SEARCH("DB",'TC1'!E15)))</xm:f>
            <x14:dxf>
              <font>
                <color rgb="FF006100"/>
              </font>
              <fill>
                <patternFill>
                  <bgColor rgb="FFC6EFCE"/>
                </patternFill>
              </fill>
            </x14:dxf>
          </x14:cfRule>
          <x14:cfRule type="containsText" priority="7737" operator="containsText" text="WEB SERVICE" id="{FF2F120B-446E-4E74-9AD9-37A1D4A10ACE}">
            <xm:f>NOT(ISERROR(SEARCH("WEB SERVICE",'TC1'!E15)))</xm:f>
            <x14:dxf>
              <font>
                <color rgb="FF9C0006"/>
              </font>
              <fill>
                <patternFill>
                  <bgColor rgb="FFFFC7CE"/>
                </patternFill>
              </fill>
            </x14:dxf>
          </x14:cfRule>
          <xm:sqref>E16</xm:sqref>
        </x14:conditionalFormatting>
        <x14:conditionalFormatting xmlns:xm="http://schemas.microsoft.com/office/excel/2006/main">
          <x14:cfRule type="containsText" priority="10374" operator="containsText" text="Hear" id="{FED4BAE6-4556-4575-A097-F809D72B0B5C}">
            <xm:f>NOT(ISERROR(SEARCH("Hear",'TC26'!#REF!)))</xm:f>
            <x14:dxf>
              <font>
                <color theme="9" tint="-0.24994659260841701"/>
              </font>
              <fill>
                <patternFill>
                  <bgColor theme="9" tint="0.59996337778862885"/>
                </patternFill>
              </fill>
            </x14:dxf>
          </x14:cfRule>
          <xm:sqref>B39</xm:sqref>
        </x14:conditionalFormatting>
      </x14:conditionalFormattings>
    </ext>
  </extLst>
</worksheet>
</file>

<file path=xl/worksheets/sheet1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000-000000000000}">
  <sheetPr codeName="Sheet130"/>
  <dimension ref="A1:E44"/>
  <sheetViews>
    <sheetView zoomScaleNormal="100" workbookViewId="0">
      <selection sqref="A1:E44"/>
    </sheetView>
  </sheetViews>
  <sheetFormatPr defaultRowHeight="14.5" x14ac:dyDescent="0.35"/>
  <cols>
    <col min="1" max="1" width="14.453125" bestFit="1" customWidth="1"/>
    <col min="2" max="2" width="42.6328125" customWidth="1"/>
    <col min="3" max="3" width="106.1796875" customWidth="1"/>
    <col min="4" max="4" width="21.81640625" bestFit="1" customWidth="1"/>
    <col min="5" max="5" width="20.6328125" customWidth="1"/>
  </cols>
  <sheetData>
    <row r="1" spans="1:5" ht="18.5" x14ac:dyDescent="0.35">
      <c r="A1" s="192" t="s">
        <v>4</v>
      </c>
      <c r="B1" s="192"/>
      <c r="C1" s="105"/>
      <c r="D1" s="111"/>
      <c r="E1" s="97"/>
    </row>
    <row r="2" spans="1:5" x14ac:dyDescent="0.35">
      <c r="A2" s="106" t="s">
        <v>5</v>
      </c>
      <c r="B2" s="107" t="str">
        <f ca="1">MID(CELL("filename",A1),FIND("]",CELL("filename",A1))+1,LEN(CELL("filename",A1))-FIND("]",CELL("filename",A1)))</f>
        <v>TC128</v>
      </c>
      <c r="C2" s="98"/>
      <c r="D2" s="111"/>
      <c r="E2" s="97"/>
    </row>
    <row r="3" spans="1:5" x14ac:dyDescent="0.35">
      <c r="A3" s="104" t="s">
        <v>19</v>
      </c>
      <c r="B3" s="112" t="e">
        <f ca="1">VLOOKUP(B2,Table53[#All],2,FALSE)</f>
        <v>#N/A</v>
      </c>
      <c r="C3" s="98"/>
      <c r="D3" s="111"/>
      <c r="E3" s="97"/>
    </row>
    <row r="4" spans="1:5" ht="29" x14ac:dyDescent="0.35">
      <c r="A4" s="113" t="s">
        <v>20</v>
      </c>
      <c r="B4" s="99" t="e">
        <f ca="1">VLOOKUP(B2,Table53[#All],4,FALSE)</f>
        <v>#N/A</v>
      </c>
      <c r="C4" s="98"/>
      <c r="D4" s="111"/>
      <c r="E4" s="97"/>
    </row>
    <row r="5" spans="1:5" x14ac:dyDescent="0.35">
      <c r="A5" s="104" t="s">
        <v>6</v>
      </c>
      <c r="B5" s="77" t="e">
        <f ca="1">VLOOKUP(B2,Table53[#All],3,FALSE)</f>
        <v>#N/A</v>
      </c>
      <c r="C5" s="98"/>
      <c r="D5" s="111"/>
      <c r="E5" s="97"/>
    </row>
    <row r="6" spans="1:5" x14ac:dyDescent="0.35">
      <c r="A6" s="97"/>
      <c r="B6" s="97"/>
      <c r="C6" s="98"/>
      <c r="D6" s="111"/>
      <c r="E6" s="97"/>
    </row>
    <row r="7" spans="1:5" ht="15.5" x14ac:dyDescent="0.35">
      <c r="A7" s="100" t="s">
        <v>7</v>
      </c>
      <c r="B7" s="101" t="s">
        <v>8</v>
      </c>
      <c r="C7" s="102" t="s">
        <v>9</v>
      </c>
      <c r="D7" s="102" t="s">
        <v>14</v>
      </c>
      <c r="E7" s="103" t="s">
        <v>10</v>
      </c>
    </row>
    <row r="8" spans="1:5" x14ac:dyDescent="0.35">
      <c r="A8" s="118">
        <v>1</v>
      </c>
      <c r="B8" s="114" t="s">
        <v>114</v>
      </c>
      <c r="C8" s="109" t="s">
        <v>125</v>
      </c>
      <c r="D8" s="128"/>
      <c r="E8" s="125" t="s">
        <v>11</v>
      </c>
    </row>
    <row r="9" spans="1:5" x14ac:dyDescent="0.35">
      <c r="A9" s="118">
        <v>2</v>
      </c>
      <c r="B9" s="114" t="s">
        <v>12</v>
      </c>
      <c r="C9" s="109" t="e">
        <f>VLOOKUP(Table257519913140106110151155164[[#This Row],[PEG]],Table1016[#All],2,FALSE)</f>
        <v>#N/A</v>
      </c>
      <c r="D9" s="128"/>
      <c r="E9" s="125" t="e">
        <f>VLOOKUP(Table257519913140106110151155164[[#This Row],[PEG]],Table1016[#All],3,FALSE)</f>
        <v>#N/A</v>
      </c>
    </row>
    <row r="10" spans="1:5" x14ac:dyDescent="0.35">
      <c r="A10" s="118">
        <v>3</v>
      </c>
      <c r="B10" s="114" t="s">
        <v>115</v>
      </c>
      <c r="C10" s="109" t="e">
        <f>VLOOKUP(Table257519913140106110151155164[[#This Row],[PEG]],Table1016[#All],2,FALSE)</f>
        <v>#N/A</v>
      </c>
      <c r="D10" s="128"/>
      <c r="E10" s="125" t="e">
        <f>VLOOKUP(Table257519913140106110151155164[[#This Row],[PEG]],Table1016[#All],3,FALSE)</f>
        <v>#N/A</v>
      </c>
    </row>
    <row r="11" spans="1:5" x14ac:dyDescent="0.35">
      <c r="A11" s="118">
        <v>4</v>
      </c>
      <c r="B11" s="114" t="s">
        <v>115</v>
      </c>
      <c r="C11" s="109" t="e">
        <f>VLOOKUP(Table257519913140106110151155164[[#This Row],[PEG]],Table1016[#All],2,FALSE)</f>
        <v>#N/A</v>
      </c>
      <c r="D11" s="128"/>
      <c r="E11" s="125" t="e">
        <f>VLOOKUP(Table257519913140106110151155164[[#This Row],[PEG]],Table1016[#All],3,FALSE)</f>
        <v>#N/A</v>
      </c>
    </row>
    <row r="12" spans="1:5" x14ac:dyDescent="0.35">
      <c r="A12" s="118">
        <v>5</v>
      </c>
      <c r="B12" s="114" t="s">
        <v>114</v>
      </c>
      <c r="C12" s="109" t="e">
        <f>VLOOKUP(Table257519913140106110151155164[[#This Row],[PEG]],Table1016[#All],2,FALSE)</f>
        <v>#N/A</v>
      </c>
      <c r="D12" s="128"/>
      <c r="E12" s="125" t="e">
        <f>VLOOKUP(Table257519913140106110151155164[[#This Row],[PEG]],Table1016[#All],3,FALSE)</f>
        <v>#N/A</v>
      </c>
    </row>
    <row r="13" spans="1:5" x14ac:dyDescent="0.35">
      <c r="A13" s="118">
        <v>6</v>
      </c>
      <c r="B13" s="114" t="s">
        <v>115</v>
      </c>
      <c r="C13" s="109" t="e">
        <f>VLOOKUP(Table257519913140106110151155164[[#This Row],[PEG]],Table1016[#All],2,FALSE)</f>
        <v>#N/A</v>
      </c>
      <c r="D13" s="128"/>
      <c r="E13" s="125" t="e">
        <f>VLOOKUP(Table257519913140106110151155164[[#This Row],[PEG]],Table1016[#All],3,FALSE)</f>
        <v>#N/A</v>
      </c>
    </row>
    <row r="14" spans="1:5" x14ac:dyDescent="0.35">
      <c r="A14" s="118">
        <v>7</v>
      </c>
      <c r="B14" s="114" t="s">
        <v>114</v>
      </c>
      <c r="C14" s="109" t="e">
        <f>VLOOKUP(Table257519913140106110151155164[[#This Row],[PEG]],Table1016[#All],2,FALSE)</f>
        <v>#N/A</v>
      </c>
      <c r="D14" s="128"/>
      <c r="E14" s="125" t="e">
        <f>VLOOKUP(Table257519913140106110151155164[[#This Row],[PEG]],Table1016[#All],3,FALSE)</f>
        <v>#N/A</v>
      </c>
    </row>
    <row r="15" spans="1:5" x14ac:dyDescent="0.35">
      <c r="A15" s="118">
        <v>8</v>
      </c>
      <c r="B15" s="114" t="s">
        <v>115</v>
      </c>
      <c r="C15" s="109" t="e">
        <f>VLOOKUP(Table257519913140106110151155164[[#This Row],[PEG]],Table1016[#All],2,FALSE)</f>
        <v>#N/A</v>
      </c>
      <c r="D15" s="116"/>
      <c r="E15" s="125" t="e">
        <f>VLOOKUP(Table257519913140106110151155164[[#This Row],[PEG]],Table1016[#All],3,FALSE)</f>
        <v>#N/A</v>
      </c>
    </row>
    <row r="16" spans="1:5" x14ac:dyDescent="0.35">
      <c r="A16" s="118">
        <v>9</v>
      </c>
      <c r="B16" s="114" t="s">
        <v>12</v>
      </c>
      <c r="C16" s="109" t="e">
        <f>VLOOKUP(Table257519913140106110151155164[[#This Row],[PEG]],Table1016[#All],2,FALSE)</f>
        <v>#N/A</v>
      </c>
      <c r="D16" s="116"/>
      <c r="E16" s="125" t="e">
        <f>VLOOKUP(Table257519913140106110151155164[[#This Row],[PEG]],Table1016[#All],3,FALSE)</f>
        <v>#N/A</v>
      </c>
    </row>
    <row r="17" spans="1:5" x14ac:dyDescent="0.35">
      <c r="A17" s="118">
        <v>10</v>
      </c>
      <c r="B17" s="114" t="s">
        <v>12</v>
      </c>
      <c r="C17" s="109" t="e">
        <f>VLOOKUP(Table257519913140106110151155164[[#This Row],[PEG]],Table1016[#All],2,FALSE)</f>
        <v>#N/A</v>
      </c>
      <c r="D17" s="117"/>
      <c r="E17" s="125" t="e">
        <f>VLOOKUP(Table257519913140106110151155164[[#This Row],[PEG]],Table1016[#All],3,FALSE)</f>
        <v>#N/A</v>
      </c>
    </row>
    <row r="18" spans="1:5" x14ac:dyDescent="0.35">
      <c r="A18" s="118">
        <v>11</v>
      </c>
      <c r="B18" s="114" t="s">
        <v>115</v>
      </c>
      <c r="C18" s="109" t="e">
        <f>VLOOKUP(Table257519913140106110151155164[[#This Row],[PEG]],Table1016[#All],2,FALSE)</f>
        <v>#N/A</v>
      </c>
      <c r="D18" s="117"/>
      <c r="E18" s="125" t="e">
        <f>VLOOKUP(Table257519913140106110151155164[[#This Row],[PEG]],Table1016[#All],3,FALSE)</f>
        <v>#N/A</v>
      </c>
    </row>
    <row r="19" spans="1:5" x14ac:dyDescent="0.35">
      <c r="A19" s="118">
        <v>12</v>
      </c>
      <c r="B19" s="114" t="s">
        <v>115</v>
      </c>
      <c r="C19" s="109" t="e">
        <f>VLOOKUP(Table257519913140106110151155164[[#This Row],[PEG]],Table1016[#All],2,FALSE)</f>
        <v>#N/A</v>
      </c>
      <c r="D19" s="117"/>
      <c r="E19" s="125" t="e">
        <f>VLOOKUP(Table257519913140106110151155164[[#This Row],[PEG]],Table1016[#All],3,FALSE)</f>
        <v>#N/A</v>
      </c>
    </row>
    <row r="20" spans="1:5" x14ac:dyDescent="0.35">
      <c r="A20" s="118">
        <v>13</v>
      </c>
      <c r="B20" s="114" t="s">
        <v>114</v>
      </c>
      <c r="C20" s="109" t="e">
        <f>VLOOKUP(Table257519913140106110151155164[[#This Row],[PEG]],Table1016[#All],2,FALSE)</f>
        <v>#N/A</v>
      </c>
      <c r="D20" s="117"/>
      <c r="E20" s="125" t="e">
        <f>VLOOKUP(Table257519913140106110151155164[[#This Row],[PEG]],Table1016[#All],3,FALSE)</f>
        <v>#N/A</v>
      </c>
    </row>
    <row r="21" spans="1:5" x14ac:dyDescent="0.35">
      <c r="A21" s="118">
        <v>14</v>
      </c>
      <c r="B21" s="114" t="s">
        <v>12</v>
      </c>
      <c r="C21" s="109" t="e">
        <f>VLOOKUP(Table257519913140106110151155164[[#This Row],[PEG]],Table1016[#All],2,FALSE)</f>
        <v>#N/A</v>
      </c>
      <c r="D21" s="117"/>
      <c r="E21" s="125" t="e">
        <f>VLOOKUP(Table257519913140106110151155164[[#This Row],[PEG]],Table1016[#All],3,FALSE)</f>
        <v>#N/A</v>
      </c>
    </row>
    <row r="22" spans="1:5" x14ac:dyDescent="0.35">
      <c r="A22" s="118">
        <v>15</v>
      </c>
      <c r="B22" s="114" t="s">
        <v>12</v>
      </c>
      <c r="C22" s="109" t="e">
        <f>VLOOKUP(Table257519913140106110151155164[[#This Row],[PEG]],Table1016[#All],2,FALSE)</f>
        <v>#N/A</v>
      </c>
      <c r="D22" s="117"/>
      <c r="E22" s="125" t="e">
        <f>VLOOKUP(Table257519913140106110151155164[[#This Row],[PEG]],Table1016[#All],3,FALSE)</f>
        <v>#N/A</v>
      </c>
    </row>
    <row r="23" spans="1:5" x14ac:dyDescent="0.35">
      <c r="A23" s="118">
        <v>16</v>
      </c>
      <c r="B23" s="114" t="s">
        <v>115</v>
      </c>
      <c r="C23" s="109" t="e">
        <f>VLOOKUP(Table257519913140106110151155164[[#This Row],[PEG]],Table1016[#All],2,FALSE)</f>
        <v>#N/A</v>
      </c>
      <c r="D23" s="117"/>
      <c r="E23" s="125" t="e">
        <f>VLOOKUP(Table257519913140106110151155164[[#This Row],[PEG]],Table1016[#All],3,FALSE)</f>
        <v>#N/A</v>
      </c>
    </row>
    <row r="24" spans="1:5" x14ac:dyDescent="0.35">
      <c r="A24" s="118">
        <v>17</v>
      </c>
      <c r="B24" s="114" t="s">
        <v>114</v>
      </c>
      <c r="C24" s="109" t="e">
        <f>VLOOKUP(Table257519913140106110151155164[[#This Row],[PEG]],Table1016[#All],2,FALSE)</f>
        <v>#N/A</v>
      </c>
      <c r="D24" s="117"/>
      <c r="E24" s="125" t="e">
        <f>VLOOKUP(Table257519913140106110151155164[[#This Row],[PEG]],Table1016[#All],3,FALSE)</f>
        <v>#N/A</v>
      </c>
    </row>
    <row r="25" spans="1:5" x14ac:dyDescent="0.35">
      <c r="A25" s="118">
        <v>18</v>
      </c>
      <c r="B25" s="114" t="s">
        <v>12</v>
      </c>
      <c r="C25" s="109" t="e">
        <f>VLOOKUP(Table257519913140106110151155164[[#This Row],[PEG]],Table1016[#All],2,FALSE)</f>
        <v>#N/A</v>
      </c>
      <c r="D25" s="117"/>
      <c r="E25" s="125" t="e">
        <f>VLOOKUP(Table257519913140106110151155164[[#This Row],[PEG]],Table1016[#All],3,FALSE)</f>
        <v>#N/A</v>
      </c>
    </row>
    <row r="26" spans="1:5" x14ac:dyDescent="0.35">
      <c r="A26" s="118">
        <v>19</v>
      </c>
      <c r="B26" s="114" t="s">
        <v>12</v>
      </c>
      <c r="C26" s="109" t="e">
        <f>VLOOKUP(Table257519913140106110151155164[[#This Row],[PEG]],Table1016[#All],2,FALSE)</f>
        <v>#N/A</v>
      </c>
      <c r="D26" s="117"/>
      <c r="E26" s="125" t="e">
        <f>VLOOKUP(Table257519913140106110151155164[[#This Row],[PEG]],Table1016[#All],3,FALSE)</f>
        <v>#N/A</v>
      </c>
    </row>
    <row r="27" spans="1:5" x14ac:dyDescent="0.35">
      <c r="A27" s="118">
        <v>20</v>
      </c>
      <c r="B27" s="114" t="s">
        <v>115</v>
      </c>
      <c r="C27" s="109" t="e">
        <f>VLOOKUP(Table257519913140106110151155164[[#This Row],[PEG]],Table1016[#All],2,FALSE)</f>
        <v>#N/A</v>
      </c>
      <c r="D27" s="117"/>
      <c r="E27" s="125" t="e">
        <f>VLOOKUP(Table257519913140106110151155164[[#This Row],[PEG]],Table1016[#All],3,FALSE)</f>
        <v>#N/A</v>
      </c>
    </row>
    <row r="28" spans="1:5" x14ac:dyDescent="0.35">
      <c r="A28" s="118">
        <v>21</v>
      </c>
      <c r="B28" s="114" t="s">
        <v>114</v>
      </c>
      <c r="C28" s="109" t="e">
        <f>VLOOKUP(Table257519913140106110151155164[[#This Row],[PEG]],Table1016[#All],2,FALSE)</f>
        <v>#N/A</v>
      </c>
      <c r="D28" s="117"/>
      <c r="E28" s="125" t="e">
        <f>VLOOKUP(Table257519913140106110151155164[[#This Row],[PEG]],Table1016[#All],3,FALSE)</f>
        <v>#N/A</v>
      </c>
    </row>
    <row r="29" spans="1:5" x14ac:dyDescent="0.35">
      <c r="A29" s="118">
        <v>22</v>
      </c>
      <c r="B29" s="114" t="s">
        <v>12</v>
      </c>
      <c r="C29" s="109" t="e">
        <f>VLOOKUP(Table257519913140106110151155164[[#This Row],[PEG]],Table1016[#All],2,FALSE)</f>
        <v>#N/A</v>
      </c>
      <c r="D29" s="117"/>
      <c r="E29" s="125" t="e">
        <f>VLOOKUP(Table257519913140106110151155164[[#This Row],[PEG]],Table1016[#All],3,FALSE)</f>
        <v>#N/A</v>
      </c>
    </row>
    <row r="30" spans="1:5" x14ac:dyDescent="0.35">
      <c r="A30" s="118">
        <v>23</v>
      </c>
      <c r="B30" s="114" t="s">
        <v>12</v>
      </c>
      <c r="C30" s="109" t="e">
        <f>VLOOKUP(Table257519913140106110151155164[[#This Row],[PEG]],Table1016[#All],2,FALSE)</f>
        <v>#N/A</v>
      </c>
      <c r="D30" s="117"/>
      <c r="E30" s="125" t="e">
        <f>VLOOKUP(Table257519913140106110151155164[[#This Row],[PEG]],Table1016[#All],3,FALSE)</f>
        <v>#N/A</v>
      </c>
    </row>
    <row r="31" spans="1:5" x14ac:dyDescent="0.35">
      <c r="A31" s="118">
        <v>24</v>
      </c>
      <c r="B31" s="114" t="s">
        <v>115</v>
      </c>
      <c r="C31" s="109" t="e">
        <f>VLOOKUP(Table257519913140106110151155164[[#This Row],[PEG]],Table1016[#All],2,FALSE)</f>
        <v>#N/A</v>
      </c>
      <c r="D31" s="117"/>
      <c r="E31" s="125" t="e">
        <f>VLOOKUP(Table257519913140106110151155164[[#This Row],[PEG]],Table1016[#All],3,FALSE)</f>
        <v>#N/A</v>
      </c>
    </row>
    <row r="32" spans="1:5" x14ac:dyDescent="0.35">
      <c r="A32" s="118">
        <v>25</v>
      </c>
      <c r="B32" s="114" t="s">
        <v>115</v>
      </c>
      <c r="C32" s="109" t="e">
        <f>VLOOKUP(Table257519913140106110151155164[[#This Row],[PEG]],Table1016[#All],2,FALSE)</f>
        <v>#N/A</v>
      </c>
      <c r="D32" s="117"/>
      <c r="E32" s="125" t="e">
        <f>VLOOKUP(Table257519913140106110151155164[[#This Row],[PEG]],Table1016[#All],3,FALSE)</f>
        <v>#N/A</v>
      </c>
    </row>
    <row r="33" spans="1:5" x14ac:dyDescent="0.35">
      <c r="A33" s="118">
        <v>26</v>
      </c>
      <c r="B33" s="114" t="s">
        <v>124</v>
      </c>
      <c r="C33" s="109" t="e">
        <f>VLOOKUP(Table257519913140106110151155164[[#This Row],[PEG]],Table1016[#All],2,FALSE)</f>
        <v>#N/A</v>
      </c>
      <c r="D33" s="117"/>
      <c r="E33" s="125" t="e">
        <f>VLOOKUP(Table257519913140106110151155164[[#This Row],[PEG]],Table1016[#All],3,FALSE)</f>
        <v>#N/A</v>
      </c>
    </row>
    <row r="34" spans="1:5" x14ac:dyDescent="0.35">
      <c r="A34" s="118">
        <v>27</v>
      </c>
      <c r="B34" s="114" t="s">
        <v>115</v>
      </c>
      <c r="C34" s="109" t="e">
        <f>VLOOKUP(Table257519913140106110151155164[[#This Row],[PEG]],Table1016[#All],2,FALSE)</f>
        <v>#N/A</v>
      </c>
      <c r="D34" s="117"/>
      <c r="E34" s="125" t="e">
        <f>VLOOKUP(Table257519913140106110151155164[[#This Row],[PEG]],Table1016[#All],3,FALSE)</f>
        <v>#N/A</v>
      </c>
    </row>
    <row r="35" spans="1:5" x14ac:dyDescent="0.35">
      <c r="A35" s="118">
        <v>28</v>
      </c>
      <c r="B35" s="114" t="s">
        <v>124</v>
      </c>
      <c r="C35" s="109" t="e">
        <f>VLOOKUP(Table257519913140106110151155164[[#This Row],[PEG]],Table1016[#All],2,FALSE)</f>
        <v>#N/A</v>
      </c>
      <c r="D35" s="117"/>
      <c r="E35" s="125" t="e">
        <f>VLOOKUP(Table257519913140106110151155164[[#This Row],[PEG]],Table1016[#All],3,FALSE)</f>
        <v>#N/A</v>
      </c>
    </row>
    <row r="36" spans="1:5" x14ac:dyDescent="0.35">
      <c r="A36" s="118">
        <v>29</v>
      </c>
      <c r="B36" s="114" t="s">
        <v>115</v>
      </c>
      <c r="C36" s="109" t="e">
        <f>VLOOKUP(Table257519913140106110151155164[[#This Row],[PEG]],Table1016[#All],2,FALSE)</f>
        <v>#N/A</v>
      </c>
      <c r="D36" s="117"/>
      <c r="E36" s="125" t="e">
        <f>VLOOKUP(Table257519913140106110151155164[[#This Row],[PEG]],Table1016[#All],3,FALSE)</f>
        <v>#N/A</v>
      </c>
    </row>
    <row r="37" spans="1:5" x14ac:dyDescent="0.35">
      <c r="A37" s="118">
        <v>30</v>
      </c>
      <c r="B37" s="114" t="s">
        <v>12</v>
      </c>
      <c r="C37" s="109" t="e">
        <f>VLOOKUP(Table257519913140106110151155164[[#This Row],[PEG]],Table1016[#All],2,FALSE)</f>
        <v>#N/A</v>
      </c>
      <c r="D37" s="117"/>
      <c r="E37" s="125" t="e">
        <f>VLOOKUP(Table257519913140106110151155164[[#This Row],[PEG]],Table1016[#All],3,FALSE)</f>
        <v>#N/A</v>
      </c>
    </row>
    <row r="38" spans="1:5" x14ac:dyDescent="0.35">
      <c r="A38" s="118">
        <v>31</v>
      </c>
      <c r="B38" s="114" t="s">
        <v>12</v>
      </c>
      <c r="C38" s="109" t="e">
        <f>VLOOKUP(Table257519913140106110151155164[[#This Row],[PEG]],Table1016[#All],2,FALSE)</f>
        <v>#N/A</v>
      </c>
      <c r="D38" s="117"/>
      <c r="E38" s="125" t="e">
        <f>VLOOKUP(Table257519913140106110151155164[[#This Row],[PEG]],Table1016[#All],3,FALSE)</f>
        <v>#N/A</v>
      </c>
    </row>
    <row r="39" spans="1:5" x14ac:dyDescent="0.35">
      <c r="A39" s="118">
        <v>32</v>
      </c>
      <c r="B39" s="114" t="s">
        <v>12</v>
      </c>
      <c r="C39" s="109" t="e">
        <f>VLOOKUP(Table257519913140106110151155164[[#This Row],[PEG]],Table1016[#All],2,FALSE)</f>
        <v>#N/A</v>
      </c>
      <c r="D39" s="117"/>
      <c r="E39" s="125" t="e">
        <f>VLOOKUP(Table257519913140106110151155164[[#This Row],[PEG]],Table1016[#All],3,FALSE)</f>
        <v>#N/A</v>
      </c>
    </row>
    <row r="40" spans="1:5" x14ac:dyDescent="0.35">
      <c r="A40" s="118">
        <v>33</v>
      </c>
      <c r="B40" s="114" t="s">
        <v>12</v>
      </c>
      <c r="C40" s="109" t="e">
        <f>VLOOKUP(Table257519913140106110151155164[[#This Row],[PEG]],Table1016[#All],2,FALSE)</f>
        <v>#N/A</v>
      </c>
      <c r="D40" s="117"/>
      <c r="E40" s="125" t="e">
        <f>VLOOKUP(Table257519913140106110151155164[[#This Row],[PEG]],Table1016[#All],3,FALSE)</f>
        <v>#N/A</v>
      </c>
    </row>
    <row r="41" spans="1:5" x14ac:dyDescent="0.35">
      <c r="A41" s="118">
        <v>34</v>
      </c>
      <c r="B41" s="114" t="s">
        <v>115</v>
      </c>
      <c r="C41" s="109" t="e">
        <f>VLOOKUP(Table257519913140106110151155164[[#This Row],[PEG]],Table1016[#All],2,FALSE)</f>
        <v>#N/A</v>
      </c>
      <c r="D41" s="117"/>
      <c r="E41" s="125" t="e">
        <f>VLOOKUP(Table257519913140106110151155164[[#This Row],[PEG]],Table1016[#All],3,FALSE)</f>
        <v>#N/A</v>
      </c>
    </row>
    <row r="42" spans="1:5" x14ac:dyDescent="0.35">
      <c r="A42" s="118">
        <v>35</v>
      </c>
      <c r="B42" s="114" t="s">
        <v>12</v>
      </c>
      <c r="C42" s="109" t="e">
        <f>VLOOKUP(Table257519913140106110151155164[[#This Row],[PEG]],Table1016[#All],2,FALSE)</f>
        <v>#N/A</v>
      </c>
      <c r="D42" s="115"/>
      <c r="E42" s="125" t="e">
        <f>VLOOKUP(Table257519913140106110151155164[[#This Row],[PEG]],Table1016[#All],3,FALSE)</f>
        <v>#N/A</v>
      </c>
    </row>
    <row r="43" spans="1:5" x14ac:dyDescent="0.35">
      <c r="A43" s="118">
        <v>36</v>
      </c>
      <c r="B43" s="114" t="s">
        <v>115</v>
      </c>
      <c r="C43" s="109" t="e">
        <f>VLOOKUP(Table257519913140106110151155164[[#This Row],[PEG]],Table1016[#All],2,FALSE)</f>
        <v>#N/A</v>
      </c>
      <c r="D43" s="115"/>
      <c r="E43" s="125" t="e">
        <f>VLOOKUP(Table257519913140106110151155164[[#This Row],[PEG]],Table1016[#All],3,FALSE)</f>
        <v>#N/A</v>
      </c>
    </row>
    <row r="44" spans="1:5" x14ac:dyDescent="0.35">
      <c r="A44" s="118">
        <v>37</v>
      </c>
      <c r="B44" s="114" t="s">
        <v>13</v>
      </c>
      <c r="C44" s="18" t="s">
        <v>13</v>
      </c>
      <c r="D44" s="115"/>
      <c r="E44" s="32"/>
    </row>
  </sheetData>
  <mergeCells count="1">
    <mergeCell ref="A1:B1"/>
  </mergeCells>
  <conditionalFormatting sqref="B8:B18">
    <cfRule type="containsText" dxfId="1677" priority="1" operator="containsText" text="Hear">
      <formula>NOT(ISERROR(SEARCH("Hear",B8)))</formula>
    </cfRule>
  </conditionalFormatting>
  <conditionalFormatting sqref="B30">
    <cfRule type="containsText" dxfId="1676" priority="4" operator="containsText" text="Hear">
      <formula>NOT(ISERROR(SEARCH("Hear",B30)))</formula>
    </cfRule>
  </conditionalFormatting>
  <conditionalFormatting sqref="B43:B44">
    <cfRule type="containsText" dxfId="1675" priority="8" operator="containsText" text="Hear">
      <formula>NOT(ISERROR(SEARCH("Hear",B43)))</formula>
    </cfRule>
  </conditionalFormatting>
  <conditionalFormatting sqref="E44">
    <cfRule type="containsText" dxfId="1674" priority="6" operator="containsText" text="WEB SERVICE">
      <formula>NOT(ISERROR(SEARCH("WEB SERVICE",E44)))</formula>
    </cfRule>
    <cfRule type="containsText" dxfId="1673" priority="7" operator="containsText" text="DB">
      <formula>NOT(ISERROR(SEARCH("DB",E44)))</formula>
    </cfRule>
  </conditionalFormatting>
  <conditionalFormatting sqref="C44">
    <cfRule type="expression" dxfId="1672" priority="9">
      <formula>$B44="HANGUP"</formula>
    </cfRule>
    <cfRule type="expression" dxfId="1671" priority="9">
      <formula>$B44="Dial"</formula>
    </cfRule>
  </conditionalFormatting>
  <conditionalFormatting sqref="C44">
    <cfRule type="expression" dxfId="1670" priority="3">
      <formula>$B44="Speak"</formula>
    </cfRule>
  </conditionalFormatting>
  <conditionalFormatting sqref="B36:B38 B40:B41">
    <cfRule type="containsText" dxfId="1669" priority="10" operator="containsText" text="Hear">
      <formula>NOT(ISERROR(SEARCH("Hear",B36)))</formula>
    </cfRule>
  </conditionalFormatting>
  <conditionalFormatting sqref="B19:B29 B31:B35 B42">
    <cfRule type="containsText" dxfId="1668" priority="5" operator="containsText" text="Hear">
      <formula>NOT(ISERROR(SEARCH("Hear",B19)))</formula>
    </cfRule>
  </conditionalFormatting>
  <hyperlinks>
    <hyperlink ref="A1" location="'Test Case Overview'!A1" display="Return to Test Case Overview" xr:uid="{25D8105C-CB5F-4A13-82EF-B190AFC714E0}"/>
  </hyperlinks>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expression" priority="2" id="{E3C646FC-E55E-414D-81D7-17718C19D8E7}">
            <xm:f>'TC1'!$B8="HANGUP"</xm:f>
            <x14:dxf>
              <font>
                <b/>
                <i val="0"/>
              </font>
            </x14:dxf>
          </x14:cfRule>
          <x14:cfRule type="expression" priority="11" id="{835419A4-642F-40F8-BEBB-6F1B1E2605A8}">
            <xm:f>'TC1'!$B8="Dial"</xm:f>
            <x14:dxf>
              <font>
                <b/>
                <i val="0"/>
                <color rgb="FFFF0000"/>
              </font>
            </x14:dxf>
          </x14:cfRule>
          <xm:sqref>C8</xm:sqref>
        </x14:conditionalFormatting>
        <x14:conditionalFormatting xmlns:xm="http://schemas.microsoft.com/office/excel/2006/main">
          <x14:cfRule type="expression" priority="12" id="{8EF05FA7-B8ED-4D21-A22B-91534E7D0C72}">
            <xm:f>'TC1'!$B8="Speak"</xm:f>
            <x14:dxf>
              <font>
                <b/>
                <i val="0"/>
                <color rgb="FFFF0000"/>
              </font>
            </x14:dxf>
          </x14:cfRule>
          <xm:sqref>C8</xm:sqref>
        </x14:conditionalFormatting>
        <x14:conditionalFormatting xmlns:xm="http://schemas.microsoft.com/office/excel/2006/main">
          <x14:cfRule type="containsText" priority="15" operator="containsText" text="Hear" id="{6B85A5C7-0DDA-4D99-A3B1-A4044DE17729}">
            <xm:f>NOT(ISERROR(SEARCH("Hear",'TC3'!B34)))</xm:f>
            <x14:dxf>
              <font>
                <color theme="9" tint="-0.24994659260841701"/>
              </font>
              <fill>
                <patternFill>
                  <bgColor theme="9" tint="0.59996337778862885"/>
                </patternFill>
              </fill>
            </x14:dxf>
          </x14:cfRule>
          <xm:sqref>B41</xm:sqref>
        </x14:conditionalFormatting>
        <x14:conditionalFormatting xmlns:xm="http://schemas.microsoft.com/office/excel/2006/main">
          <x14:cfRule type="expression" priority="2823" id="{E3C646FC-E55E-414D-81D7-17718C19D8E7}">
            <xm:f>'TC1'!$B16="HANGUP"</xm:f>
            <x14:dxf>
              <font>
                <b/>
                <i val="0"/>
              </font>
            </x14:dxf>
          </x14:cfRule>
          <x14:cfRule type="expression" priority="2824" id="{835419A4-642F-40F8-BEBB-6F1B1E2605A8}">
            <xm:f>'TC1'!$B16="Dial"</xm:f>
            <x14:dxf>
              <font>
                <b/>
                <i val="0"/>
                <color rgb="FFFF0000"/>
              </font>
            </x14:dxf>
          </x14:cfRule>
          <xm:sqref>C34:C43</xm:sqref>
        </x14:conditionalFormatting>
        <x14:conditionalFormatting xmlns:xm="http://schemas.microsoft.com/office/excel/2006/main">
          <x14:cfRule type="expression" priority="2825" id="{E3C646FC-E55E-414D-81D7-17718C19D8E7}">
            <xm:f>'TC1'!#REF!="HANGUP"</xm:f>
            <x14:dxf>
              <font>
                <b/>
                <i val="0"/>
              </font>
            </x14:dxf>
          </x14:cfRule>
          <x14:cfRule type="expression" priority="2826" id="{835419A4-642F-40F8-BEBB-6F1B1E2605A8}">
            <xm:f>'TC1'!#REF!="Dial"</xm:f>
            <x14:dxf>
              <font>
                <b/>
                <i val="0"/>
                <color rgb="FFFF0000"/>
              </font>
            </x14:dxf>
          </x14:cfRule>
          <xm:sqref>C17:C33</xm:sqref>
        </x14:conditionalFormatting>
        <x14:conditionalFormatting xmlns:xm="http://schemas.microsoft.com/office/excel/2006/main">
          <x14:cfRule type="expression" priority="2830" id="{8EF05FA7-B8ED-4D21-A22B-91534E7D0C72}">
            <xm:f>'TC1'!$B16="Speak"</xm:f>
            <x14:dxf>
              <font>
                <b/>
                <i val="0"/>
                <color rgb="FFFF0000"/>
              </font>
            </x14:dxf>
          </x14:cfRule>
          <xm:sqref>C34:C43</xm:sqref>
        </x14:conditionalFormatting>
        <x14:conditionalFormatting xmlns:xm="http://schemas.microsoft.com/office/excel/2006/main">
          <x14:cfRule type="expression" priority="2831" id="{8EF05FA7-B8ED-4D21-A22B-91534E7D0C72}">
            <xm:f>'TC1'!#REF!="Speak"</xm:f>
            <x14:dxf>
              <font>
                <b/>
                <i val="0"/>
                <color rgb="FFFF0000"/>
              </font>
            </x14:dxf>
          </x14:cfRule>
          <xm:sqref>C17:C33</xm:sqref>
        </x14:conditionalFormatting>
        <x14:conditionalFormatting xmlns:xm="http://schemas.microsoft.com/office/excel/2006/main">
          <x14:cfRule type="containsText" priority="2835" operator="containsText" text="DB" id="{F181916E-2B25-4289-8D09-9F143E8F20FE}">
            <xm:f>NOT(ISERROR(SEARCH("DB",'TC1'!E16)))</xm:f>
            <x14:dxf>
              <font>
                <color rgb="FF006100"/>
              </font>
              <fill>
                <patternFill>
                  <bgColor rgb="FFC6EFCE"/>
                </patternFill>
              </fill>
            </x14:dxf>
          </x14:cfRule>
          <x14:cfRule type="containsText" priority="2836" operator="containsText" text="WEB SERVICE" id="{DC5021FE-2E47-43E3-8F9A-8FF3F8D36216}">
            <xm:f>NOT(ISERROR(SEARCH("WEB SERVICE",'TC1'!E16)))</xm:f>
            <x14:dxf>
              <font>
                <color rgb="FF9C0006"/>
              </font>
              <fill>
                <patternFill>
                  <bgColor rgb="FFFFC7CE"/>
                </patternFill>
              </fill>
            </x14:dxf>
          </x14:cfRule>
          <xm:sqref>E34:E43</xm:sqref>
        </x14:conditionalFormatting>
        <x14:conditionalFormatting xmlns:xm="http://schemas.microsoft.com/office/excel/2006/main">
          <x14:cfRule type="containsText" priority="2837" operator="containsText" text="DB" id="{F181916E-2B25-4289-8D09-9F143E8F20FE}">
            <xm:f>NOT(ISERROR(SEARCH("DB",'TC1'!#REF!)))</xm:f>
            <x14:dxf>
              <font>
                <color rgb="FF006100"/>
              </font>
              <fill>
                <patternFill>
                  <bgColor rgb="FFC6EFCE"/>
                </patternFill>
              </fill>
            </x14:dxf>
          </x14:cfRule>
          <x14:cfRule type="containsText" priority="2838" operator="containsText" text="WEB SERVICE" id="{DC5021FE-2E47-43E3-8F9A-8FF3F8D36216}">
            <xm:f>NOT(ISERROR(SEARCH("WEB SERVICE",'TC1'!#REF!)))</xm:f>
            <x14:dxf>
              <font>
                <color rgb="FF9C0006"/>
              </font>
              <fill>
                <patternFill>
                  <bgColor rgb="FFFFC7CE"/>
                </patternFill>
              </fill>
            </x14:dxf>
          </x14:cfRule>
          <xm:sqref>E17:E33</xm:sqref>
        </x14:conditionalFormatting>
        <x14:conditionalFormatting xmlns:xm="http://schemas.microsoft.com/office/excel/2006/main">
          <x14:cfRule type="expression" priority="5479" id="{E3C646FC-E55E-414D-81D7-17718C19D8E7}">
            <xm:f>'TC1'!$B9="HANGUP"</xm:f>
            <x14:dxf>
              <font>
                <b/>
                <i val="0"/>
              </font>
            </x14:dxf>
          </x14:cfRule>
          <x14:cfRule type="expression" priority="5480" id="{835419A4-642F-40F8-BEBB-6F1B1E2605A8}">
            <xm:f>'TC1'!$B9="Dial"</xm:f>
            <x14:dxf>
              <font>
                <b/>
                <i val="0"/>
                <color rgb="FFFF0000"/>
              </font>
            </x14:dxf>
          </x14:cfRule>
          <xm:sqref>C12:C15</xm:sqref>
        </x14:conditionalFormatting>
        <x14:conditionalFormatting xmlns:xm="http://schemas.microsoft.com/office/excel/2006/main">
          <x14:cfRule type="expression" priority="5481" id="{E3C646FC-E55E-414D-81D7-17718C19D8E7}">
            <xm:f>'TC1'!#REF!="HANGUP"</xm:f>
            <x14:dxf>
              <font>
                <b/>
                <i val="0"/>
              </font>
            </x14:dxf>
          </x14:cfRule>
          <x14:cfRule type="expression" priority="5482" id="{835419A4-642F-40F8-BEBB-6F1B1E2605A8}">
            <xm:f>'TC1'!#REF!="Dial"</xm:f>
            <x14:dxf>
              <font>
                <b/>
                <i val="0"/>
                <color rgb="FFFF0000"/>
              </font>
            </x14:dxf>
          </x14:cfRule>
          <xm:sqref>C9:C11</xm:sqref>
        </x14:conditionalFormatting>
        <x14:conditionalFormatting xmlns:xm="http://schemas.microsoft.com/office/excel/2006/main">
          <x14:cfRule type="expression" priority="5486" id="{8EF05FA7-B8ED-4D21-A22B-91534E7D0C72}">
            <xm:f>'TC1'!$B9="Speak"</xm:f>
            <x14:dxf>
              <font>
                <b/>
                <i val="0"/>
                <color rgb="FFFF0000"/>
              </font>
            </x14:dxf>
          </x14:cfRule>
          <xm:sqref>C12:C15</xm:sqref>
        </x14:conditionalFormatting>
        <x14:conditionalFormatting xmlns:xm="http://schemas.microsoft.com/office/excel/2006/main">
          <x14:cfRule type="expression" priority="5487" id="{8EF05FA7-B8ED-4D21-A22B-91534E7D0C72}">
            <xm:f>'TC1'!#REF!="Speak"</xm:f>
            <x14:dxf>
              <font>
                <b/>
                <i val="0"/>
                <color rgb="FFFF0000"/>
              </font>
            </x14:dxf>
          </x14:cfRule>
          <xm:sqref>C9:C11</xm:sqref>
        </x14:conditionalFormatting>
        <x14:conditionalFormatting xmlns:xm="http://schemas.microsoft.com/office/excel/2006/main">
          <x14:cfRule type="containsText" priority="5489" operator="containsText" text="DB" id="{F181916E-2B25-4289-8D09-9F143E8F20FE}">
            <xm:f>NOT(ISERROR(SEARCH("DB",'TC1'!#REF!)))</xm:f>
            <x14:dxf>
              <font>
                <color rgb="FF006100"/>
              </font>
              <fill>
                <patternFill>
                  <bgColor rgb="FFC6EFCE"/>
                </patternFill>
              </fill>
            </x14:dxf>
          </x14:cfRule>
          <x14:cfRule type="containsText" priority="5490" operator="containsText" text="WEB SERVICE" id="{DC5021FE-2E47-43E3-8F9A-8FF3F8D36216}">
            <xm:f>NOT(ISERROR(SEARCH("WEB SERVICE",'TC1'!#REF!)))</xm:f>
            <x14:dxf>
              <font>
                <color rgb="FF9C0006"/>
              </font>
              <fill>
                <patternFill>
                  <bgColor rgb="FFFFC7CE"/>
                </patternFill>
              </fill>
            </x14:dxf>
          </x14:cfRule>
          <xm:sqref>E9:E11</xm:sqref>
        </x14:conditionalFormatting>
        <x14:conditionalFormatting xmlns:xm="http://schemas.microsoft.com/office/excel/2006/main">
          <x14:cfRule type="containsText" priority="5491" operator="containsText" text="DB" id="{F181916E-2B25-4289-8D09-9F143E8F20FE}">
            <xm:f>NOT(ISERROR(SEARCH("DB",'TC1'!E9)))</xm:f>
            <x14:dxf>
              <font>
                <color rgb="FF006100"/>
              </font>
              <fill>
                <patternFill>
                  <bgColor rgb="FFC6EFCE"/>
                </patternFill>
              </fill>
            </x14:dxf>
          </x14:cfRule>
          <x14:cfRule type="containsText" priority="5492" operator="containsText" text="WEB SERVICE" id="{DC5021FE-2E47-43E3-8F9A-8FF3F8D36216}">
            <xm:f>NOT(ISERROR(SEARCH("WEB SERVICE",'TC1'!E9)))</xm:f>
            <x14:dxf>
              <font>
                <color rgb="FF9C0006"/>
              </font>
              <fill>
                <patternFill>
                  <bgColor rgb="FFFFC7CE"/>
                </patternFill>
              </fill>
            </x14:dxf>
          </x14:cfRule>
          <xm:sqref>E12:E15</xm:sqref>
        </x14:conditionalFormatting>
        <x14:conditionalFormatting xmlns:xm="http://schemas.microsoft.com/office/excel/2006/main">
          <x14:cfRule type="expression" priority="7745" id="{E3C646FC-E55E-414D-81D7-17718C19D8E7}">
            <xm:f>'TC1'!$B15="HANGUP"</xm:f>
            <x14:dxf>
              <font>
                <b/>
                <i val="0"/>
              </font>
            </x14:dxf>
          </x14:cfRule>
          <x14:cfRule type="expression" priority="7746" id="{835419A4-642F-40F8-BEBB-6F1B1E2605A8}">
            <xm:f>'TC1'!$B15="Dial"</xm:f>
            <x14:dxf>
              <font>
                <b/>
                <i val="0"/>
                <color rgb="FFFF0000"/>
              </font>
            </x14:dxf>
          </x14:cfRule>
          <xm:sqref>C16</xm:sqref>
        </x14:conditionalFormatting>
        <x14:conditionalFormatting xmlns:xm="http://schemas.microsoft.com/office/excel/2006/main">
          <x14:cfRule type="expression" priority="7748" id="{8EF05FA7-B8ED-4D21-A22B-91534E7D0C72}">
            <xm:f>'TC1'!$B15="Speak"</xm:f>
            <x14:dxf>
              <font>
                <b/>
                <i val="0"/>
                <color rgb="FFFF0000"/>
              </font>
            </x14:dxf>
          </x14:cfRule>
          <xm:sqref>C16</xm:sqref>
        </x14:conditionalFormatting>
        <x14:conditionalFormatting xmlns:xm="http://schemas.microsoft.com/office/excel/2006/main">
          <x14:cfRule type="containsText" priority="7751" operator="containsText" text="DB" id="{F181916E-2B25-4289-8D09-9F143E8F20FE}">
            <xm:f>NOT(ISERROR(SEARCH("DB",'TC1'!E15)))</xm:f>
            <x14:dxf>
              <font>
                <color rgb="FF006100"/>
              </font>
              <fill>
                <patternFill>
                  <bgColor rgb="FFC6EFCE"/>
                </patternFill>
              </fill>
            </x14:dxf>
          </x14:cfRule>
          <x14:cfRule type="containsText" priority="7752" operator="containsText" text="WEB SERVICE" id="{DC5021FE-2E47-43E3-8F9A-8FF3F8D36216}">
            <xm:f>NOT(ISERROR(SEARCH("WEB SERVICE",'TC1'!E15)))</xm:f>
            <x14:dxf>
              <font>
                <color rgb="FF9C0006"/>
              </font>
              <fill>
                <patternFill>
                  <bgColor rgb="FFFFC7CE"/>
                </patternFill>
              </fill>
            </x14:dxf>
          </x14:cfRule>
          <xm:sqref>E16</xm:sqref>
        </x14:conditionalFormatting>
        <x14:conditionalFormatting xmlns:xm="http://schemas.microsoft.com/office/excel/2006/main">
          <x14:cfRule type="containsText" priority="10394" operator="containsText" text="Hear" id="{1745A031-CD60-48BD-A0E0-4B6FD431918F}">
            <xm:f>NOT(ISERROR(SEARCH("Hear",'TC26'!#REF!)))</xm:f>
            <x14:dxf>
              <font>
                <color theme="9" tint="-0.24994659260841701"/>
              </font>
              <fill>
                <patternFill>
                  <bgColor theme="9" tint="0.59996337778862885"/>
                </patternFill>
              </fill>
            </x14:dxf>
          </x14:cfRule>
          <xm:sqref>B39</xm:sqref>
        </x14:conditionalFormatting>
      </x14:conditionalFormatting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4"/>
  <dimension ref="A1:E35"/>
  <sheetViews>
    <sheetView zoomScaleNormal="100" workbookViewId="0">
      <selection activeCell="D17" sqref="D17"/>
    </sheetView>
  </sheetViews>
  <sheetFormatPr defaultRowHeight="14.5" x14ac:dyDescent="0.35"/>
  <cols>
    <col min="1" max="1" width="14.453125" style="97" bestFit="1" customWidth="1"/>
    <col min="2" max="2" width="42.6328125" style="97" customWidth="1"/>
    <col min="3" max="3" width="106.1796875" style="98" customWidth="1"/>
    <col min="4" max="4" width="21.81640625" style="111" bestFit="1" customWidth="1"/>
    <col min="5" max="5" width="20.6328125" style="97" customWidth="1"/>
  </cols>
  <sheetData>
    <row r="1" spans="1:5" ht="18.5" x14ac:dyDescent="0.35">
      <c r="A1" s="192" t="s">
        <v>4</v>
      </c>
      <c r="B1" s="192"/>
      <c r="C1" s="105"/>
    </row>
    <row r="2" spans="1:5" x14ac:dyDescent="0.35">
      <c r="A2" s="106" t="s">
        <v>5</v>
      </c>
      <c r="B2" s="107" t="str">
        <f ca="1">MID(CELL("filename",A1),FIND("]",CELL("filename",A1))+1,LEN(CELL("filename",A1))-FIND("]",CELL("filename",A1)))</f>
        <v>TC12</v>
      </c>
    </row>
    <row r="3" spans="1:5" x14ac:dyDescent="0.35">
      <c r="A3" s="104" t="s">
        <v>19</v>
      </c>
      <c r="B3" s="112">
        <f ca="1">VLOOKUP(B2,Table1[#All],2,FALSE)</f>
        <v>0</v>
      </c>
    </row>
    <row r="4" spans="1:5" ht="29" x14ac:dyDescent="0.35">
      <c r="A4" s="113" t="s">
        <v>20</v>
      </c>
      <c r="B4" s="99" t="str">
        <f ca="1">VLOOKUP(B2,Table1[#All],4,FALSE)</f>
        <v>Last Pmt Declined, Make Payment - no</v>
      </c>
    </row>
    <row r="5" spans="1:5" x14ac:dyDescent="0.35">
      <c r="A5" s="104" t="s">
        <v>6</v>
      </c>
      <c r="B5" s="93" t="str">
        <f ca="1">VLOOKUP(B2,Table1[#All],3,FALSE)</f>
        <v>Recurring Declined - No Payment</v>
      </c>
    </row>
    <row r="7" spans="1:5" ht="15.5" x14ac:dyDescent="0.35">
      <c r="A7" s="100" t="s">
        <v>7</v>
      </c>
      <c r="B7" s="101" t="s">
        <v>8</v>
      </c>
      <c r="C7" s="102" t="s">
        <v>9</v>
      </c>
      <c r="D7" s="102" t="s">
        <v>14</v>
      </c>
      <c r="E7" s="103" t="s">
        <v>10</v>
      </c>
    </row>
    <row r="8" spans="1:5" x14ac:dyDescent="0.35">
      <c r="A8" s="118">
        <v>1</v>
      </c>
      <c r="B8" s="114" t="s">
        <v>114</v>
      </c>
      <c r="C8" s="127" t="s">
        <v>240</v>
      </c>
      <c r="D8" s="128"/>
      <c r="E8" s="125" t="s">
        <v>11</v>
      </c>
    </row>
    <row r="9" spans="1:5" x14ac:dyDescent="0.35">
      <c r="A9" s="118">
        <v>2</v>
      </c>
      <c r="B9" s="114" t="s">
        <v>115</v>
      </c>
      <c r="C9" s="109" t="str">
        <f>VLOOKUP(Table257552526910242533[[#This Row],[PEG]],Table1016[#All],2,FALSE)</f>
        <v>To get started, tell me your Account Number</v>
      </c>
      <c r="D9" s="141" t="s">
        <v>245</v>
      </c>
      <c r="E9" s="125" t="str">
        <f>VLOOKUP(Table257552526910242533[[#This Row],[PEG]],Table1016[#All],3,FALSE)</f>
        <v>Prompt</v>
      </c>
    </row>
    <row r="10" spans="1:5" x14ac:dyDescent="0.35">
      <c r="A10" s="118">
        <v>3</v>
      </c>
      <c r="B10" s="114" t="s">
        <v>124</v>
      </c>
      <c r="C10" s="109" t="s">
        <v>412</v>
      </c>
      <c r="D10" s="128"/>
      <c r="E10" s="125" t="e">
        <f>VLOOKUP(Table257552526910242533[[#This Row],[PEG]],Table1016[#All],3,FALSE)</f>
        <v>#N/A</v>
      </c>
    </row>
    <row r="11" spans="1:5" ht="174" x14ac:dyDescent="0.35">
      <c r="A11" s="118">
        <v>4</v>
      </c>
      <c r="B11" s="114" t="s">
        <v>12</v>
      </c>
      <c r="C11" s="109" t="str">
        <f>VLOOKUP(Table257552526910242533[[#This Row],[PEG]],Table1016[#All],2,FALSE)</f>
        <v>SAP HANA – SAP01_GetMember
inputs:
idnumber = iIdnumber	T
idtype 	= iIdtype
outputs:
~ Billing Reference
~ Enrollment Details
~ Billing Details
~ Last Payment
~ Recurring Payment Method
~ Stored Payment Method</v>
      </c>
      <c r="D11" s="144" t="s">
        <v>371</v>
      </c>
      <c r="E11" s="125" t="str">
        <f>VLOOKUP(Table257552526910242533[[#This Row],[PEG]],Table1016[#All],3,FALSE)</f>
        <v>DB</v>
      </c>
    </row>
    <row r="12" spans="1:5" x14ac:dyDescent="0.35">
      <c r="A12" s="118">
        <v>5</v>
      </c>
      <c r="B12" s="114" t="s">
        <v>115</v>
      </c>
      <c r="C12" s="109" t="str">
        <f>VLOOKUP(Table257552526910242533[[#This Row],[PEG]],Table1016[#All],2,FALSE)</f>
        <v>Thanks, I found your account!</v>
      </c>
      <c r="D12" s="141" t="s">
        <v>248</v>
      </c>
      <c r="E12" s="125" t="str">
        <f>VLOOKUP(Table257552526910242533[[#This Row],[PEG]],Table1016[#All],3,FALSE)</f>
        <v>Prompt</v>
      </c>
    </row>
    <row r="13" spans="1:5" ht="29" x14ac:dyDescent="0.35">
      <c r="A13" s="118">
        <v>6</v>
      </c>
      <c r="B13" s="114" t="s">
        <v>115</v>
      </c>
      <c r="C13" s="109" t="str">
        <f>VLOOKUP(Table257552526910242533[[#This Row],[PEG]],Table1016[#All],2,FALSE)</f>
        <v>You are already setup for recurring payments in the amount of &lt;SAP01_CurrentDue&gt; to be deducted on the last day of each month.</v>
      </c>
      <c r="D13" s="116" t="s">
        <v>266</v>
      </c>
      <c r="E13" s="125" t="str">
        <f>VLOOKUP(Table257552526910242533[[#This Row],[PEG]],Table1016[#All],3,FALSE)</f>
        <v>Prompt</v>
      </c>
    </row>
    <row r="14" spans="1:5" x14ac:dyDescent="0.35">
      <c r="A14" s="118">
        <v>7</v>
      </c>
      <c r="B14" s="114" t="s">
        <v>115</v>
      </c>
      <c r="C14" s="130" t="str">
        <f>VLOOKUP(Table257552526910242533[[#This Row],[PEG]],Table1016[#All],2,FALSE)</f>
        <v>The last payment of &lt;SAP01_ivrLastPaymentAmount&gt; was declined.</v>
      </c>
      <c r="D14" s="117" t="s">
        <v>267</v>
      </c>
      <c r="E14" s="125" t="str">
        <f>VLOOKUP(Table257552526910242533[[#This Row],[PEG]],Table1016[#All],3,FALSE)</f>
        <v>Prompt</v>
      </c>
    </row>
    <row r="15" spans="1:5" x14ac:dyDescent="0.35">
      <c r="A15" s="118">
        <v>8</v>
      </c>
      <c r="B15" s="114" t="s">
        <v>115</v>
      </c>
      <c r="C15" s="109" t="str">
        <f>VLOOKUP(Table257552526910242533[[#This Row],[PEG]],Table1016[#All],2,FALSE)</f>
        <v>Would you like to make a payment now?</v>
      </c>
      <c r="D15" s="117" t="s">
        <v>268</v>
      </c>
      <c r="E15" s="125" t="str">
        <f>VLOOKUP(Table257552526910242533[[#This Row],[PEG]],Table1016[#All],3,FALSE)</f>
        <v>Prompt</v>
      </c>
    </row>
    <row r="16" spans="1:5" x14ac:dyDescent="0.35">
      <c r="A16" s="118">
        <v>9</v>
      </c>
      <c r="B16" s="114" t="s">
        <v>115</v>
      </c>
      <c r="C16" s="127" t="s">
        <v>390</v>
      </c>
      <c r="D16" s="117"/>
      <c r="E16" s="125" t="e">
        <f>VLOOKUP(Table257552526910242533[[#This Row],[PEG]],Table1016[#All],3,FALSE)</f>
        <v>#N/A</v>
      </c>
    </row>
    <row r="17" spans="1:5" ht="29" x14ac:dyDescent="0.35">
      <c r="A17" s="118">
        <v>10</v>
      </c>
      <c r="B17" s="114" t="s">
        <v>115</v>
      </c>
      <c r="C17" s="109" t="str">
        <f>VLOOKUP(Table257552526910242533[[#This Row],[PEG]],Table1016[#All],2,FALSE)</f>
        <v>For future transactions you can also access your plan details, or manage your account online anytime at members.lacare.com.  Thank you for calling.</v>
      </c>
      <c r="D17" s="117" t="s">
        <v>362</v>
      </c>
      <c r="E17" s="125" t="str">
        <f>VLOOKUP(Table257552526910242533[[#This Row],[PEG]],Table1016[#All],3,FALSE)</f>
        <v>Prompt</v>
      </c>
    </row>
    <row r="18" spans="1:5" x14ac:dyDescent="0.35">
      <c r="A18" s="118">
        <v>11</v>
      </c>
      <c r="B18" s="114" t="s">
        <v>13</v>
      </c>
      <c r="C18" s="109" t="s">
        <v>13</v>
      </c>
      <c r="D18" s="117"/>
      <c r="E18" s="125" t="e">
        <f>VLOOKUP(Table257552526910242533[[#This Row],[PEG]],Table1016[#All],3,FALSE)</f>
        <v>#N/A</v>
      </c>
    </row>
    <row r="19" spans="1:5" x14ac:dyDescent="0.35">
      <c r="C19" s="26"/>
    </row>
    <row r="20" spans="1:5" x14ac:dyDescent="0.35">
      <c r="C20" s="26"/>
    </row>
    <row r="21" spans="1:5" x14ac:dyDescent="0.35">
      <c r="C21" s="26"/>
    </row>
    <row r="22" spans="1:5" x14ac:dyDescent="0.35">
      <c r="C22" s="26"/>
    </row>
    <row r="23" spans="1:5" x14ac:dyDescent="0.35">
      <c r="C23" s="26"/>
    </row>
    <row r="24" spans="1:5" x14ac:dyDescent="0.35">
      <c r="C24" s="26"/>
    </row>
    <row r="25" spans="1:5" x14ac:dyDescent="0.35">
      <c r="C25" s="26"/>
    </row>
    <row r="26" spans="1:5" x14ac:dyDescent="0.35">
      <c r="C26" s="26"/>
    </row>
    <row r="27" spans="1:5" x14ac:dyDescent="0.35">
      <c r="C27" s="26"/>
    </row>
    <row r="28" spans="1:5" x14ac:dyDescent="0.35">
      <c r="C28" s="26"/>
    </row>
    <row r="29" spans="1:5" x14ac:dyDescent="0.35">
      <c r="C29" s="26"/>
    </row>
    <row r="30" spans="1:5" x14ac:dyDescent="0.35">
      <c r="C30" s="26"/>
    </row>
    <row r="31" spans="1:5" x14ac:dyDescent="0.35">
      <c r="C31" s="26"/>
    </row>
    <row r="32" spans="1:5" x14ac:dyDescent="0.35">
      <c r="C32" s="26"/>
    </row>
    <row r="33" spans="3:3" x14ac:dyDescent="0.35">
      <c r="C33" s="27"/>
    </row>
    <row r="34" spans="3:3" x14ac:dyDescent="0.35">
      <c r="C34" s="27"/>
    </row>
    <row r="35" spans="3:3" x14ac:dyDescent="0.35">
      <c r="C35" s="27"/>
    </row>
  </sheetData>
  <mergeCells count="1">
    <mergeCell ref="A1:B1"/>
  </mergeCells>
  <conditionalFormatting sqref="C17:C9974 C9:C13">
    <cfRule type="expression" dxfId="5730" priority="34">
      <formula>$B9="Dial"</formula>
    </cfRule>
    <cfRule type="expression" dxfId="5729" priority="36">
      <formula>$B9="HANGUP"</formula>
    </cfRule>
  </conditionalFormatting>
  <conditionalFormatting sqref="C16">
    <cfRule type="expression" dxfId="5728" priority="3">
      <formula>$B16="Dial"</formula>
    </cfRule>
    <cfRule type="expression" dxfId="5727" priority="4">
      <formula>$B16="HANGUP"</formula>
    </cfRule>
  </conditionalFormatting>
  <conditionalFormatting sqref="B8:B18">
    <cfRule type="containsText" dxfId="5726" priority="7" operator="containsText" text="Hear">
      <formula>NOT(ISERROR(SEARCH("Hear",B8)))</formula>
    </cfRule>
  </conditionalFormatting>
  <conditionalFormatting sqref="C15">
    <cfRule type="expression" dxfId="5725" priority="8">
      <formula>$B15="Dial"</formula>
    </cfRule>
    <cfRule type="expression" dxfId="5724" priority="10">
      <formula>$B15="HANGUP"</formula>
    </cfRule>
  </conditionalFormatting>
  <conditionalFormatting sqref="C15 C17:C18 C9:C13">
    <cfRule type="expression" dxfId="5723" priority="9">
      <formula>$B9="Speak"</formula>
    </cfRule>
  </conditionalFormatting>
  <conditionalFormatting sqref="C14">
    <cfRule type="expression" dxfId="5722" priority="5">
      <formula>$B14="Dial"</formula>
    </cfRule>
    <cfRule type="expression" dxfId="5721" priority="6">
      <formula>$B14="HANGUP"</formula>
    </cfRule>
  </conditionalFormatting>
  <conditionalFormatting sqref="C8">
    <cfRule type="expression" dxfId="5720" priority="1">
      <formula>$B8="Dial"</formula>
    </cfRule>
    <cfRule type="expression" dxfId="5719" priority="2">
      <formula>$B8="HANGUP"</formula>
    </cfRule>
  </conditionalFormatting>
  <hyperlinks>
    <hyperlink ref="A1" location="'Test Case Overview'!A1" display="Return to Test Case Overview" xr:uid="{00000000-0004-0000-0C00-000000000000}"/>
  </hyperlinks>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containsText" priority="734" operator="containsText" text="WEB SERVICE" id="{9F01594D-B77C-4CC7-8970-A7480CEFD2FD}">
            <xm:f>NOT(ISERROR(SEARCH("WEB SERVICE",'TC1'!#REF!)))</xm:f>
            <x14:dxf>
              <font>
                <color rgb="FF9C0006"/>
              </font>
              <fill>
                <patternFill>
                  <bgColor rgb="FFFFC7CE"/>
                </patternFill>
              </fill>
            </x14:dxf>
          </x14:cfRule>
          <x14:cfRule type="containsText" priority="735" operator="containsText" text="DB" id="{BE054B1E-A3C9-44F6-B23D-FA63EA923DDF}">
            <xm:f>NOT(ISERROR(SEARCH("DB",'TC1'!#REF!)))</xm:f>
            <x14:dxf>
              <font>
                <color rgb="FF006100"/>
              </font>
              <fill>
                <patternFill>
                  <bgColor rgb="FFC6EFCE"/>
                </patternFill>
              </fill>
            </x14:dxf>
          </x14:cfRule>
          <xm:sqref>E14:E18</xm:sqref>
        </x14:conditionalFormatting>
        <x14:conditionalFormatting xmlns:xm="http://schemas.microsoft.com/office/excel/2006/main">
          <x14:cfRule type="containsText" priority="3597" operator="containsText" text="WEB SERVICE" id="{9F01594D-B77C-4CC7-8970-A7480CEFD2FD}">
            <xm:f>NOT(ISERROR(SEARCH("WEB SERVICE",'TC1'!E9)))</xm:f>
            <x14:dxf>
              <font>
                <color rgb="FF9C0006"/>
              </font>
              <fill>
                <patternFill>
                  <bgColor rgb="FFFFC7CE"/>
                </patternFill>
              </fill>
            </x14:dxf>
          </x14:cfRule>
          <x14:cfRule type="containsText" priority="3598" operator="containsText" text="DB" id="{BE054B1E-A3C9-44F6-B23D-FA63EA923DDF}">
            <xm:f>NOT(ISERROR(SEARCH("DB",'TC1'!E9)))</xm:f>
            <x14:dxf>
              <font>
                <color rgb="FF006100"/>
              </font>
              <fill>
                <patternFill>
                  <bgColor rgb="FFC6EFCE"/>
                </patternFill>
              </fill>
            </x14:dxf>
          </x14:cfRule>
          <xm:sqref>E9:E12</xm:sqref>
        </x14:conditionalFormatting>
        <x14:conditionalFormatting xmlns:xm="http://schemas.microsoft.com/office/excel/2006/main">
          <x14:cfRule type="containsText" priority="6169" operator="containsText" text="WEB SERVICE" id="{9F01594D-B77C-4CC7-8970-A7480CEFD2FD}">
            <xm:f>NOT(ISERROR(SEARCH("WEB SERVICE",'TC1'!E15)))</xm:f>
            <x14:dxf>
              <font>
                <color rgb="FF9C0006"/>
              </font>
              <fill>
                <patternFill>
                  <bgColor rgb="FFFFC7CE"/>
                </patternFill>
              </fill>
            </x14:dxf>
          </x14:cfRule>
          <x14:cfRule type="containsText" priority="6170" operator="containsText" text="DB" id="{BE054B1E-A3C9-44F6-B23D-FA63EA923DDF}">
            <xm:f>NOT(ISERROR(SEARCH("DB",'TC1'!E15)))</xm:f>
            <x14:dxf>
              <font>
                <color rgb="FF006100"/>
              </font>
              <fill>
                <patternFill>
                  <bgColor rgb="FFC6EFCE"/>
                </patternFill>
              </fill>
            </x14:dxf>
          </x14:cfRule>
          <xm:sqref>E13</xm:sqref>
        </x14:conditionalFormatting>
      </x14:conditionalFormattings>
    </ext>
  </extLst>
</worksheet>
</file>

<file path=xl/worksheets/sheet1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100-000000000000}">
  <sheetPr codeName="Sheet131"/>
  <dimension ref="A1:E44"/>
  <sheetViews>
    <sheetView zoomScaleNormal="100" workbookViewId="0">
      <selection sqref="A1:E44"/>
    </sheetView>
  </sheetViews>
  <sheetFormatPr defaultRowHeight="14.5" x14ac:dyDescent="0.35"/>
  <cols>
    <col min="1" max="1" width="14.453125" bestFit="1" customWidth="1"/>
    <col min="2" max="2" width="42.6328125" customWidth="1"/>
    <col min="3" max="3" width="106.1796875" customWidth="1"/>
    <col min="4" max="4" width="21.81640625" bestFit="1" customWidth="1"/>
    <col min="5" max="5" width="20.6328125" customWidth="1"/>
  </cols>
  <sheetData>
    <row r="1" spans="1:5" ht="18.5" x14ac:dyDescent="0.35">
      <c r="A1" s="192" t="s">
        <v>4</v>
      </c>
      <c r="B1" s="192"/>
      <c r="C1" s="105"/>
      <c r="D1" s="111"/>
      <c r="E1" s="97"/>
    </row>
    <row r="2" spans="1:5" x14ac:dyDescent="0.35">
      <c r="A2" s="106" t="s">
        <v>5</v>
      </c>
      <c r="B2" s="107" t="str">
        <f ca="1">MID(CELL("filename",A1),FIND("]",CELL("filename",A1))+1,LEN(CELL("filename",A1))-FIND("]",CELL("filename",A1)))</f>
        <v>TC129</v>
      </c>
      <c r="C2" s="98"/>
      <c r="D2" s="111"/>
      <c r="E2" s="97"/>
    </row>
    <row r="3" spans="1:5" x14ac:dyDescent="0.35">
      <c r="A3" s="104" t="s">
        <v>19</v>
      </c>
      <c r="B3" s="112" t="e">
        <f ca="1">VLOOKUP(B2,Table53[#All],2,FALSE)</f>
        <v>#N/A</v>
      </c>
      <c r="C3" s="98"/>
      <c r="D3" s="111"/>
      <c r="E3" s="97"/>
    </row>
    <row r="4" spans="1:5" ht="29" x14ac:dyDescent="0.35">
      <c r="A4" s="113" t="s">
        <v>20</v>
      </c>
      <c r="B4" s="99" t="e">
        <f ca="1">VLOOKUP(B2,Table53[#All],4,FALSE)</f>
        <v>#N/A</v>
      </c>
      <c r="C4" s="98"/>
      <c r="D4" s="111"/>
      <c r="E4" s="97"/>
    </row>
    <row r="5" spans="1:5" x14ac:dyDescent="0.35">
      <c r="A5" s="104" t="s">
        <v>6</v>
      </c>
      <c r="B5" s="77" t="e">
        <f ca="1">VLOOKUP(B2,Table53[#All],3,FALSE)</f>
        <v>#N/A</v>
      </c>
      <c r="C5" s="98"/>
      <c r="D5" s="111"/>
      <c r="E5" s="97"/>
    </row>
    <row r="6" spans="1:5" x14ac:dyDescent="0.35">
      <c r="A6" s="97"/>
      <c r="B6" s="97"/>
      <c r="C6" s="98"/>
      <c r="D6" s="111"/>
      <c r="E6" s="97"/>
    </row>
    <row r="7" spans="1:5" ht="15.5" x14ac:dyDescent="0.35">
      <c r="A7" s="100" t="s">
        <v>7</v>
      </c>
      <c r="B7" s="101" t="s">
        <v>8</v>
      </c>
      <c r="C7" s="102" t="s">
        <v>9</v>
      </c>
      <c r="D7" s="102" t="s">
        <v>14</v>
      </c>
      <c r="E7" s="103" t="s">
        <v>10</v>
      </c>
    </row>
    <row r="8" spans="1:5" x14ac:dyDescent="0.35">
      <c r="A8" s="118">
        <v>1</v>
      </c>
      <c r="B8" s="114" t="s">
        <v>114</v>
      </c>
      <c r="C8" s="109" t="s">
        <v>125</v>
      </c>
      <c r="D8" s="128"/>
      <c r="E8" s="125" t="s">
        <v>11</v>
      </c>
    </row>
    <row r="9" spans="1:5" x14ac:dyDescent="0.35">
      <c r="A9" s="118">
        <v>2</v>
      </c>
      <c r="B9" s="114" t="s">
        <v>12</v>
      </c>
      <c r="C9" s="109" t="e">
        <f>VLOOKUP(Table257519913140106110151155166[[#This Row],[PEG]],Table1016[#All],2,FALSE)</f>
        <v>#N/A</v>
      </c>
      <c r="D9" s="128"/>
      <c r="E9" s="125" t="e">
        <f>VLOOKUP(Table257519913140106110151155166[[#This Row],[PEG]],Table1016[#All],3,FALSE)</f>
        <v>#N/A</v>
      </c>
    </row>
    <row r="10" spans="1:5" x14ac:dyDescent="0.35">
      <c r="A10" s="118">
        <v>3</v>
      </c>
      <c r="B10" s="114" t="s">
        <v>115</v>
      </c>
      <c r="C10" s="109" t="e">
        <f>VLOOKUP(Table257519913140106110151155166[[#This Row],[PEG]],Table1016[#All],2,FALSE)</f>
        <v>#N/A</v>
      </c>
      <c r="D10" s="128"/>
      <c r="E10" s="125" t="e">
        <f>VLOOKUP(Table257519913140106110151155166[[#This Row],[PEG]],Table1016[#All],3,FALSE)</f>
        <v>#N/A</v>
      </c>
    </row>
    <row r="11" spans="1:5" x14ac:dyDescent="0.35">
      <c r="A11" s="118">
        <v>4</v>
      </c>
      <c r="B11" s="114" t="s">
        <v>115</v>
      </c>
      <c r="C11" s="109" t="e">
        <f>VLOOKUP(Table257519913140106110151155166[[#This Row],[PEG]],Table1016[#All],2,FALSE)</f>
        <v>#N/A</v>
      </c>
      <c r="D11" s="128"/>
      <c r="E11" s="125" t="e">
        <f>VLOOKUP(Table257519913140106110151155166[[#This Row],[PEG]],Table1016[#All],3,FALSE)</f>
        <v>#N/A</v>
      </c>
    </row>
    <row r="12" spans="1:5" x14ac:dyDescent="0.35">
      <c r="A12" s="118">
        <v>5</v>
      </c>
      <c r="B12" s="114" t="s">
        <v>114</v>
      </c>
      <c r="C12" s="109" t="e">
        <f>VLOOKUP(Table257519913140106110151155166[[#This Row],[PEG]],Table1016[#All],2,FALSE)</f>
        <v>#N/A</v>
      </c>
      <c r="D12" s="128"/>
      <c r="E12" s="125" t="e">
        <f>VLOOKUP(Table257519913140106110151155166[[#This Row],[PEG]],Table1016[#All],3,FALSE)</f>
        <v>#N/A</v>
      </c>
    </row>
    <row r="13" spans="1:5" x14ac:dyDescent="0.35">
      <c r="A13" s="118">
        <v>6</v>
      </c>
      <c r="B13" s="114" t="s">
        <v>115</v>
      </c>
      <c r="C13" s="109" t="e">
        <f>VLOOKUP(Table257519913140106110151155166[[#This Row],[PEG]],Table1016[#All],2,FALSE)</f>
        <v>#N/A</v>
      </c>
      <c r="D13" s="128"/>
      <c r="E13" s="125" t="e">
        <f>VLOOKUP(Table257519913140106110151155166[[#This Row],[PEG]],Table1016[#All],3,FALSE)</f>
        <v>#N/A</v>
      </c>
    </row>
    <row r="14" spans="1:5" x14ac:dyDescent="0.35">
      <c r="A14" s="118">
        <v>7</v>
      </c>
      <c r="B14" s="114" t="s">
        <v>114</v>
      </c>
      <c r="C14" s="109" t="e">
        <f>VLOOKUP(Table257519913140106110151155166[[#This Row],[PEG]],Table1016[#All],2,FALSE)</f>
        <v>#N/A</v>
      </c>
      <c r="D14" s="128"/>
      <c r="E14" s="125" t="e">
        <f>VLOOKUP(Table257519913140106110151155166[[#This Row],[PEG]],Table1016[#All],3,FALSE)</f>
        <v>#N/A</v>
      </c>
    </row>
    <row r="15" spans="1:5" x14ac:dyDescent="0.35">
      <c r="A15" s="118">
        <v>8</v>
      </c>
      <c r="B15" s="114" t="s">
        <v>115</v>
      </c>
      <c r="C15" s="109" t="e">
        <f>VLOOKUP(Table257519913140106110151155166[[#This Row],[PEG]],Table1016[#All],2,FALSE)</f>
        <v>#N/A</v>
      </c>
      <c r="D15" s="116"/>
      <c r="E15" s="125" t="e">
        <f>VLOOKUP(Table257519913140106110151155166[[#This Row],[PEG]],Table1016[#All],3,FALSE)</f>
        <v>#N/A</v>
      </c>
    </row>
    <row r="16" spans="1:5" x14ac:dyDescent="0.35">
      <c r="A16" s="118">
        <v>9</v>
      </c>
      <c r="B16" s="114" t="s">
        <v>12</v>
      </c>
      <c r="C16" s="109" t="e">
        <f>VLOOKUP(Table257519913140106110151155166[[#This Row],[PEG]],Table1016[#All],2,FALSE)</f>
        <v>#N/A</v>
      </c>
      <c r="D16" s="116"/>
      <c r="E16" s="125" t="e">
        <f>VLOOKUP(Table257519913140106110151155166[[#This Row],[PEG]],Table1016[#All],3,FALSE)</f>
        <v>#N/A</v>
      </c>
    </row>
    <row r="17" spans="1:5" x14ac:dyDescent="0.35">
      <c r="A17" s="118">
        <v>10</v>
      </c>
      <c r="B17" s="114" t="s">
        <v>12</v>
      </c>
      <c r="C17" s="109" t="e">
        <f>VLOOKUP(Table257519913140106110151155166[[#This Row],[PEG]],Table1016[#All],2,FALSE)</f>
        <v>#N/A</v>
      </c>
      <c r="D17" s="117"/>
      <c r="E17" s="125" t="e">
        <f>VLOOKUP(Table257519913140106110151155166[[#This Row],[PEG]],Table1016[#All],3,FALSE)</f>
        <v>#N/A</v>
      </c>
    </row>
    <row r="18" spans="1:5" x14ac:dyDescent="0.35">
      <c r="A18" s="118">
        <v>11</v>
      </c>
      <c r="B18" s="114" t="s">
        <v>115</v>
      </c>
      <c r="C18" s="109" t="e">
        <f>VLOOKUP(Table257519913140106110151155166[[#This Row],[PEG]],Table1016[#All],2,FALSE)</f>
        <v>#N/A</v>
      </c>
      <c r="D18" s="117"/>
      <c r="E18" s="125" t="e">
        <f>VLOOKUP(Table257519913140106110151155166[[#This Row],[PEG]],Table1016[#All],3,FALSE)</f>
        <v>#N/A</v>
      </c>
    </row>
    <row r="19" spans="1:5" x14ac:dyDescent="0.35">
      <c r="A19" s="118">
        <v>12</v>
      </c>
      <c r="B19" s="114" t="s">
        <v>115</v>
      </c>
      <c r="C19" s="109" t="e">
        <f>VLOOKUP(Table257519913140106110151155166[[#This Row],[PEG]],Table1016[#All],2,FALSE)</f>
        <v>#N/A</v>
      </c>
      <c r="D19" s="117"/>
      <c r="E19" s="125" t="e">
        <f>VLOOKUP(Table257519913140106110151155166[[#This Row],[PEG]],Table1016[#All],3,FALSE)</f>
        <v>#N/A</v>
      </c>
    </row>
    <row r="20" spans="1:5" x14ac:dyDescent="0.35">
      <c r="A20" s="118">
        <v>13</v>
      </c>
      <c r="B20" s="114" t="s">
        <v>114</v>
      </c>
      <c r="C20" s="109" t="e">
        <f>VLOOKUP(Table257519913140106110151155166[[#This Row],[PEG]],Table1016[#All],2,FALSE)</f>
        <v>#N/A</v>
      </c>
      <c r="D20" s="117"/>
      <c r="E20" s="125" t="e">
        <f>VLOOKUP(Table257519913140106110151155166[[#This Row],[PEG]],Table1016[#All],3,FALSE)</f>
        <v>#N/A</v>
      </c>
    </row>
    <row r="21" spans="1:5" x14ac:dyDescent="0.35">
      <c r="A21" s="118">
        <v>14</v>
      </c>
      <c r="B21" s="114" t="s">
        <v>12</v>
      </c>
      <c r="C21" s="109" t="e">
        <f>VLOOKUP(Table257519913140106110151155166[[#This Row],[PEG]],Table1016[#All],2,FALSE)</f>
        <v>#N/A</v>
      </c>
      <c r="D21" s="117"/>
      <c r="E21" s="125" t="e">
        <f>VLOOKUP(Table257519913140106110151155166[[#This Row],[PEG]],Table1016[#All],3,FALSE)</f>
        <v>#N/A</v>
      </c>
    </row>
    <row r="22" spans="1:5" x14ac:dyDescent="0.35">
      <c r="A22" s="118">
        <v>15</v>
      </c>
      <c r="B22" s="114" t="s">
        <v>12</v>
      </c>
      <c r="C22" s="109" t="e">
        <f>VLOOKUP(Table257519913140106110151155166[[#This Row],[PEG]],Table1016[#All],2,FALSE)</f>
        <v>#N/A</v>
      </c>
      <c r="D22" s="117"/>
      <c r="E22" s="125" t="e">
        <f>VLOOKUP(Table257519913140106110151155166[[#This Row],[PEG]],Table1016[#All],3,FALSE)</f>
        <v>#N/A</v>
      </c>
    </row>
    <row r="23" spans="1:5" x14ac:dyDescent="0.35">
      <c r="A23" s="118">
        <v>16</v>
      </c>
      <c r="B23" s="114" t="s">
        <v>115</v>
      </c>
      <c r="C23" s="109" t="e">
        <f>VLOOKUP(Table257519913140106110151155166[[#This Row],[PEG]],Table1016[#All],2,FALSE)</f>
        <v>#N/A</v>
      </c>
      <c r="D23" s="117"/>
      <c r="E23" s="125" t="e">
        <f>VLOOKUP(Table257519913140106110151155166[[#This Row],[PEG]],Table1016[#All],3,FALSE)</f>
        <v>#N/A</v>
      </c>
    </row>
    <row r="24" spans="1:5" x14ac:dyDescent="0.35">
      <c r="A24" s="118">
        <v>17</v>
      </c>
      <c r="B24" s="114" t="s">
        <v>114</v>
      </c>
      <c r="C24" s="109" t="e">
        <f>VLOOKUP(Table257519913140106110151155166[[#This Row],[PEG]],Table1016[#All],2,FALSE)</f>
        <v>#N/A</v>
      </c>
      <c r="D24" s="117"/>
      <c r="E24" s="125" t="e">
        <f>VLOOKUP(Table257519913140106110151155166[[#This Row],[PEG]],Table1016[#All],3,FALSE)</f>
        <v>#N/A</v>
      </c>
    </row>
    <row r="25" spans="1:5" x14ac:dyDescent="0.35">
      <c r="A25" s="118">
        <v>18</v>
      </c>
      <c r="B25" s="114" t="s">
        <v>12</v>
      </c>
      <c r="C25" s="109" t="e">
        <f>VLOOKUP(Table257519913140106110151155166[[#This Row],[PEG]],Table1016[#All],2,FALSE)</f>
        <v>#N/A</v>
      </c>
      <c r="D25" s="117"/>
      <c r="E25" s="125" t="e">
        <f>VLOOKUP(Table257519913140106110151155166[[#This Row],[PEG]],Table1016[#All],3,FALSE)</f>
        <v>#N/A</v>
      </c>
    </row>
    <row r="26" spans="1:5" x14ac:dyDescent="0.35">
      <c r="A26" s="118">
        <v>19</v>
      </c>
      <c r="B26" s="114" t="s">
        <v>12</v>
      </c>
      <c r="C26" s="109" t="e">
        <f>VLOOKUP(Table257519913140106110151155166[[#This Row],[PEG]],Table1016[#All],2,FALSE)</f>
        <v>#N/A</v>
      </c>
      <c r="D26" s="117"/>
      <c r="E26" s="125" t="e">
        <f>VLOOKUP(Table257519913140106110151155166[[#This Row],[PEG]],Table1016[#All],3,FALSE)</f>
        <v>#N/A</v>
      </c>
    </row>
    <row r="27" spans="1:5" x14ac:dyDescent="0.35">
      <c r="A27" s="118">
        <v>20</v>
      </c>
      <c r="B27" s="114" t="s">
        <v>115</v>
      </c>
      <c r="C27" s="109" t="e">
        <f>VLOOKUP(Table257519913140106110151155166[[#This Row],[PEG]],Table1016[#All],2,FALSE)</f>
        <v>#N/A</v>
      </c>
      <c r="D27" s="117"/>
      <c r="E27" s="125" t="e">
        <f>VLOOKUP(Table257519913140106110151155166[[#This Row],[PEG]],Table1016[#All],3,FALSE)</f>
        <v>#N/A</v>
      </c>
    </row>
    <row r="28" spans="1:5" x14ac:dyDescent="0.35">
      <c r="A28" s="118">
        <v>21</v>
      </c>
      <c r="B28" s="114" t="s">
        <v>114</v>
      </c>
      <c r="C28" s="109" t="e">
        <f>VLOOKUP(Table257519913140106110151155166[[#This Row],[PEG]],Table1016[#All],2,FALSE)</f>
        <v>#N/A</v>
      </c>
      <c r="D28" s="117"/>
      <c r="E28" s="125" t="e">
        <f>VLOOKUP(Table257519913140106110151155166[[#This Row],[PEG]],Table1016[#All],3,FALSE)</f>
        <v>#N/A</v>
      </c>
    </row>
    <row r="29" spans="1:5" x14ac:dyDescent="0.35">
      <c r="A29" s="118">
        <v>22</v>
      </c>
      <c r="B29" s="114" t="s">
        <v>12</v>
      </c>
      <c r="C29" s="109" t="e">
        <f>VLOOKUP(Table257519913140106110151155166[[#This Row],[PEG]],Table1016[#All],2,FALSE)</f>
        <v>#N/A</v>
      </c>
      <c r="D29" s="117"/>
      <c r="E29" s="125" t="e">
        <f>VLOOKUP(Table257519913140106110151155166[[#This Row],[PEG]],Table1016[#All],3,FALSE)</f>
        <v>#N/A</v>
      </c>
    </row>
    <row r="30" spans="1:5" x14ac:dyDescent="0.35">
      <c r="A30" s="118">
        <v>23</v>
      </c>
      <c r="B30" s="114" t="s">
        <v>12</v>
      </c>
      <c r="C30" s="109" t="e">
        <f>VLOOKUP(Table257519913140106110151155166[[#This Row],[PEG]],Table1016[#All],2,FALSE)</f>
        <v>#N/A</v>
      </c>
      <c r="D30" s="117"/>
      <c r="E30" s="125" t="e">
        <f>VLOOKUP(Table257519913140106110151155166[[#This Row],[PEG]],Table1016[#All],3,FALSE)</f>
        <v>#N/A</v>
      </c>
    </row>
    <row r="31" spans="1:5" x14ac:dyDescent="0.35">
      <c r="A31" s="118">
        <v>24</v>
      </c>
      <c r="B31" s="114" t="s">
        <v>115</v>
      </c>
      <c r="C31" s="109" t="e">
        <f>VLOOKUP(Table257519913140106110151155166[[#This Row],[PEG]],Table1016[#All],2,FALSE)</f>
        <v>#N/A</v>
      </c>
      <c r="D31" s="117"/>
      <c r="E31" s="125" t="e">
        <f>VLOOKUP(Table257519913140106110151155166[[#This Row],[PEG]],Table1016[#All],3,FALSE)</f>
        <v>#N/A</v>
      </c>
    </row>
    <row r="32" spans="1:5" x14ac:dyDescent="0.35">
      <c r="A32" s="118">
        <v>25</v>
      </c>
      <c r="B32" s="114" t="s">
        <v>115</v>
      </c>
      <c r="C32" s="109" t="e">
        <f>VLOOKUP(Table257519913140106110151155166[[#This Row],[PEG]],Table1016[#All],2,FALSE)</f>
        <v>#N/A</v>
      </c>
      <c r="D32" s="117"/>
      <c r="E32" s="125" t="e">
        <f>VLOOKUP(Table257519913140106110151155166[[#This Row],[PEG]],Table1016[#All],3,FALSE)</f>
        <v>#N/A</v>
      </c>
    </row>
    <row r="33" spans="1:5" x14ac:dyDescent="0.35">
      <c r="A33" s="118">
        <v>26</v>
      </c>
      <c r="B33" s="114" t="s">
        <v>124</v>
      </c>
      <c r="C33" s="109" t="e">
        <f>VLOOKUP(Table257519913140106110151155166[[#This Row],[PEG]],Table1016[#All],2,FALSE)</f>
        <v>#N/A</v>
      </c>
      <c r="D33" s="117"/>
      <c r="E33" s="125" t="e">
        <f>VLOOKUP(Table257519913140106110151155166[[#This Row],[PEG]],Table1016[#All],3,FALSE)</f>
        <v>#N/A</v>
      </c>
    </row>
    <row r="34" spans="1:5" x14ac:dyDescent="0.35">
      <c r="A34" s="118">
        <v>27</v>
      </c>
      <c r="B34" s="114" t="s">
        <v>115</v>
      </c>
      <c r="C34" s="109" t="e">
        <f>VLOOKUP(Table257519913140106110151155166[[#This Row],[PEG]],Table1016[#All],2,FALSE)</f>
        <v>#N/A</v>
      </c>
      <c r="D34" s="117"/>
      <c r="E34" s="125" t="e">
        <f>VLOOKUP(Table257519913140106110151155166[[#This Row],[PEG]],Table1016[#All],3,FALSE)</f>
        <v>#N/A</v>
      </c>
    </row>
    <row r="35" spans="1:5" x14ac:dyDescent="0.35">
      <c r="A35" s="118">
        <v>28</v>
      </c>
      <c r="B35" s="114" t="s">
        <v>124</v>
      </c>
      <c r="C35" s="109" t="e">
        <f>VLOOKUP(Table257519913140106110151155166[[#This Row],[PEG]],Table1016[#All],2,FALSE)</f>
        <v>#N/A</v>
      </c>
      <c r="D35" s="117"/>
      <c r="E35" s="125" t="e">
        <f>VLOOKUP(Table257519913140106110151155166[[#This Row],[PEG]],Table1016[#All],3,FALSE)</f>
        <v>#N/A</v>
      </c>
    </row>
    <row r="36" spans="1:5" x14ac:dyDescent="0.35">
      <c r="A36" s="118">
        <v>29</v>
      </c>
      <c r="B36" s="114" t="s">
        <v>115</v>
      </c>
      <c r="C36" s="109" t="e">
        <f>VLOOKUP(Table257519913140106110151155166[[#This Row],[PEG]],Table1016[#All],2,FALSE)</f>
        <v>#N/A</v>
      </c>
      <c r="D36" s="117"/>
      <c r="E36" s="125" t="e">
        <f>VLOOKUP(Table257519913140106110151155166[[#This Row],[PEG]],Table1016[#All],3,FALSE)</f>
        <v>#N/A</v>
      </c>
    </row>
    <row r="37" spans="1:5" x14ac:dyDescent="0.35">
      <c r="A37" s="118">
        <v>30</v>
      </c>
      <c r="B37" s="114" t="s">
        <v>12</v>
      </c>
      <c r="C37" s="109" t="e">
        <f>VLOOKUP(Table257519913140106110151155166[[#This Row],[PEG]],Table1016[#All],2,FALSE)</f>
        <v>#N/A</v>
      </c>
      <c r="D37" s="117"/>
      <c r="E37" s="125" t="e">
        <f>VLOOKUP(Table257519913140106110151155166[[#This Row],[PEG]],Table1016[#All],3,FALSE)</f>
        <v>#N/A</v>
      </c>
    </row>
    <row r="38" spans="1:5" x14ac:dyDescent="0.35">
      <c r="A38" s="118">
        <v>31</v>
      </c>
      <c r="B38" s="114" t="s">
        <v>12</v>
      </c>
      <c r="C38" s="109" t="e">
        <f>VLOOKUP(Table257519913140106110151155166[[#This Row],[PEG]],Table1016[#All],2,FALSE)</f>
        <v>#N/A</v>
      </c>
      <c r="D38" s="117"/>
      <c r="E38" s="125" t="e">
        <f>VLOOKUP(Table257519913140106110151155166[[#This Row],[PEG]],Table1016[#All],3,FALSE)</f>
        <v>#N/A</v>
      </c>
    </row>
    <row r="39" spans="1:5" x14ac:dyDescent="0.35">
      <c r="A39" s="118">
        <v>32</v>
      </c>
      <c r="B39" s="114" t="s">
        <v>12</v>
      </c>
      <c r="C39" s="109" t="e">
        <f>VLOOKUP(Table257519913140106110151155166[[#This Row],[PEG]],Table1016[#All],2,FALSE)</f>
        <v>#N/A</v>
      </c>
      <c r="D39" s="117"/>
      <c r="E39" s="125" t="e">
        <f>VLOOKUP(Table257519913140106110151155166[[#This Row],[PEG]],Table1016[#All],3,FALSE)</f>
        <v>#N/A</v>
      </c>
    </row>
    <row r="40" spans="1:5" x14ac:dyDescent="0.35">
      <c r="A40" s="118">
        <v>33</v>
      </c>
      <c r="B40" s="114" t="s">
        <v>12</v>
      </c>
      <c r="C40" s="109" t="e">
        <f>VLOOKUP(Table257519913140106110151155166[[#This Row],[PEG]],Table1016[#All],2,FALSE)</f>
        <v>#N/A</v>
      </c>
      <c r="D40" s="117"/>
      <c r="E40" s="125" t="e">
        <f>VLOOKUP(Table257519913140106110151155166[[#This Row],[PEG]],Table1016[#All],3,FALSE)</f>
        <v>#N/A</v>
      </c>
    </row>
    <row r="41" spans="1:5" x14ac:dyDescent="0.35">
      <c r="A41" s="118">
        <v>34</v>
      </c>
      <c r="B41" s="114" t="s">
        <v>115</v>
      </c>
      <c r="C41" s="109" t="e">
        <f>VLOOKUP(Table257519913140106110151155166[[#This Row],[PEG]],Table1016[#All],2,FALSE)</f>
        <v>#N/A</v>
      </c>
      <c r="D41" s="117"/>
      <c r="E41" s="125" t="e">
        <f>VLOOKUP(Table257519913140106110151155166[[#This Row],[PEG]],Table1016[#All],3,FALSE)</f>
        <v>#N/A</v>
      </c>
    </row>
    <row r="42" spans="1:5" x14ac:dyDescent="0.35">
      <c r="A42" s="118">
        <v>35</v>
      </c>
      <c r="B42" s="114" t="s">
        <v>12</v>
      </c>
      <c r="C42" s="109" t="e">
        <f>VLOOKUP(Table257519913140106110151155166[[#This Row],[PEG]],Table1016[#All],2,FALSE)</f>
        <v>#N/A</v>
      </c>
      <c r="D42" s="115"/>
      <c r="E42" s="125" t="e">
        <f>VLOOKUP(Table257519913140106110151155166[[#This Row],[PEG]],Table1016[#All],3,FALSE)</f>
        <v>#N/A</v>
      </c>
    </row>
    <row r="43" spans="1:5" x14ac:dyDescent="0.35">
      <c r="A43" s="118">
        <v>36</v>
      </c>
      <c r="B43" s="114" t="s">
        <v>115</v>
      </c>
      <c r="C43" s="109" t="e">
        <f>VLOOKUP(Table257519913140106110151155166[[#This Row],[PEG]],Table1016[#All],2,FALSE)</f>
        <v>#N/A</v>
      </c>
      <c r="D43" s="115"/>
      <c r="E43" s="125" t="e">
        <f>VLOOKUP(Table257519913140106110151155166[[#This Row],[PEG]],Table1016[#All],3,FALSE)</f>
        <v>#N/A</v>
      </c>
    </row>
    <row r="44" spans="1:5" x14ac:dyDescent="0.35">
      <c r="A44" s="118">
        <v>37</v>
      </c>
      <c r="B44" s="114" t="s">
        <v>13</v>
      </c>
      <c r="C44" s="18" t="s">
        <v>13</v>
      </c>
      <c r="D44" s="115"/>
      <c r="E44" s="32"/>
    </row>
  </sheetData>
  <mergeCells count="1">
    <mergeCell ref="A1:B1"/>
  </mergeCells>
  <conditionalFormatting sqref="B8:B18">
    <cfRule type="containsText" dxfId="1637" priority="1" operator="containsText" text="Hear">
      <formula>NOT(ISERROR(SEARCH("Hear",B8)))</formula>
    </cfRule>
  </conditionalFormatting>
  <conditionalFormatting sqref="B30">
    <cfRule type="containsText" dxfId="1636" priority="4" operator="containsText" text="Hear">
      <formula>NOT(ISERROR(SEARCH("Hear",B30)))</formula>
    </cfRule>
  </conditionalFormatting>
  <conditionalFormatting sqref="B43:B44">
    <cfRule type="containsText" dxfId="1635" priority="8" operator="containsText" text="Hear">
      <formula>NOT(ISERROR(SEARCH("Hear",B43)))</formula>
    </cfRule>
  </conditionalFormatting>
  <conditionalFormatting sqref="E44">
    <cfRule type="containsText" dxfId="1634" priority="6" operator="containsText" text="WEB SERVICE">
      <formula>NOT(ISERROR(SEARCH("WEB SERVICE",E44)))</formula>
    </cfRule>
    <cfRule type="containsText" dxfId="1633" priority="7" operator="containsText" text="DB">
      <formula>NOT(ISERROR(SEARCH("DB",E44)))</formula>
    </cfRule>
  </conditionalFormatting>
  <conditionalFormatting sqref="C44">
    <cfRule type="expression" dxfId="1632" priority="9">
      <formula>$B44="HANGUP"</formula>
    </cfRule>
    <cfRule type="expression" dxfId="1631" priority="9">
      <formula>$B44="Dial"</formula>
    </cfRule>
  </conditionalFormatting>
  <conditionalFormatting sqref="C44">
    <cfRule type="expression" dxfId="1630" priority="3">
      <formula>$B44="Speak"</formula>
    </cfRule>
  </conditionalFormatting>
  <conditionalFormatting sqref="B36:B38 B40:B41">
    <cfRule type="containsText" dxfId="1629" priority="10" operator="containsText" text="Hear">
      <formula>NOT(ISERROR(SEARCH("Hear",B36)))</formula>
    </cfRule>
  </conditionalFormatting>
  <conditionalFormatting sqref="B19:B29 B31:B35 B42">
    <cfRule type="containsText" dxfId="1628" priority="5" operator="containsText" text="Hear">
      <formula>NOT(ISERROR(SEARCH("Hear",B19)))</formula>
    </cfRule>
  </conditionalFormatting>
  <hyperlinks>
    <hyperlink ref="A1" location="'Test Case Overview'!A1" display="Return to Test Case Overview" xr:uid="{C4432170-383A-4157-8029-A0458F8AEBA2}"/>
  </hyperlinks>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expression" priority="2" id="{B8591DC1-411C-4432-B56C-A055BB35B64B}">
            <xm:f>'TC1'!$B8="HANGUP"</xm:f>
            <x14:dxf>
              <font>
                <b/>
                <i val="0"/>
              </font>
            </x14:dxf>
          </x14:cfRule>
          <x14:cfRule type="expression" priority="11" id="{5E080A24-3753-4661-A21E-D8A1BACD56B0}">
            <xm:f>'TC1'!$B8="Dial"</xm:f>
            <x14:dxf>
              <font>
                <b/>
                <i val="0"/>
                <color rgb="FFFF0000"/>
              </font>
            </x14:dxf>
          </x14:cfRule>
          <xm:sqref>C8</xm:sqref>
        </x14:conditionalFormatting>
        <x14:conditionalFormatting xmlns:xm="http://schemas.microsoft.com/office/excel/2006/main">
          <x14:cfRule type="expression" priority="12" id="{0C93B64F-0679-4F7A-B35A-E1F01B746CAC}">
            <xm:f>'TC1'!$B8="Speak"</xm:f>
            <x14:dxf>
              <font>
                <b/>
                <i val="0"/>
                <color rgb="FFFF0000"/>
              </font>
            </x14:dxf>
          </x14:cfRule>
          <xm:sqref>C8</xm:sqref>
        </x14:conditionalFormatting>
        <x14:conditionalFormatting xmlns:xm="http://schemas.microsoft.com/office/excel/2006/main">
          <x14:cfRule type="containsText" priority="15" operator="containsText" text="Hear" id="{AB731288-1C95-41A2-806C-290BA41942A5}">
            <xm:f>NOT(ISERROR(SEARCH("Hear",'TC3'!B34)))</xm:f>
            <x14:dxf>
              <font>
                <color theme="9" tint="-0.24994659260841701"/>
              </font>
              <fill>
                <patternFill>
                  <bgColor theme="9" tint="0.59996337778862885"/>
                </patternFill>
              </fill>
            </x14:dxf>
          </x14:cfRule>
          <xm:sqref>B41</xm:sqref>
        </x14:conditionalFormatting>
        <x14:conditionalFormatting xmlns:xm="http://schemas.microsoft.com/office/excel/2006/main">
          <x14:cfRule type="expression" priority="2843" id="{B8591DC1-411C-4432-B56C-A055BB35B64B}">
            <xm:f>'TC1'!$B16="HANGUP"</xm:f>
            <x14:dxf>
              <font>
                <b/>
                <i val="0"/>
              </font>
            </x14:dxf>
          </x14:cfRule>
          <x14:cfRule type="expression" priority="2844" id="{5E080A24-3753-4661-A21E-D8A1BACD56B0}">
            <xm:f>'TC1'!$B16="Dial"</xm:f>
            <x14:dxf>
              <font>
                <b/>
                <i val="0"/>
                <color rgb="FFFF0000"/>
              </font>
            </x14:dxf>
          </x14:cfRule>
          <xm:sqref>C34:C43</xm:sqref>
        </x14:conditionalFormatting>
        <x14:conditionalFormatting xmlns:xm="http://schemas.microsoft.com/office/excel/2006/main">
          <x14:cfRule type="expression" priority="2845" id="{B8591DC1-411C-4432-B56C-A055BB35B64B}">
            <xm:f>'TC1'!#REF!="HANGUP"</xm:f>
            <x14:dxf>
              <font>
                <b/>
                <i val="0"/>
              </font>
            </x14:dxf>
          </x14:cfRule>
          <x14:cfRule type="expression" priority="2846" id="{5E080A24-3753-4661-A21E-D8A1BACD56B0}">
            <xm:f>'TC1'!#REF!="Dial"</xm:f>
            <x14:dxf>
              <font>
                <b/>
                <i val="0"/>
                <color rgb="FFFF0000"/>
              </font>
            </x14:dxf>
          </x14:cfRule>
          <xm:sqref>C17:C33</xm:sqref>
        </x14:conditionalFormatting>
        <x14:conditionalFormatting xmlns:xm="http://schemas.microsoft.com/office/excel/2006/main">
          <x14:cfRule type="expression" priority="2850" id="{0C93B64F-0679-4F7A-B35A-E1F01B746CAC}">
            <xm:f>'TC1'!$B16="Speak"</xm:f>
            <x14:dxf>
              <font>
                <b/>
                <i val="0"/>
                <color rgb="FFFF0000"/>
              </font>
            </x14:dxf>
          </x14:cfRule>
          <xm:sqref>C34:C43</xm:sqref>
        </x14:conditionalFormatting>
        <x14:conditionalFormatting xmlns:xm="http://schemas.microsoft.com/office/excel/2006/main">
          <x14:cfRule type="expression" priority="2851" id="{0C93B64F-0679-4F7A-B35A-E1F01B746CAC}">
            <xm:f>'TC1'!#REF!="Speak"</xm:f>
            <x14:dxf>
              <font>
                <b/>
                <i val="0"/>
                <color rgb="FFFF0000"/>
              </font>
            </x14:dxf>
          </x14:cfRule>
          <xm:sqref>C17:C33</xm:sqref>
        </x14:conditionalFormatting>
        <x14:conditionalFormatting xmlns:xm="http://schemas.microsoft.com/office/excel/2006/main">
          <x14:cfRule type="containsText" priority="2855" operator="containsText" text="DB" id="{31A29EAD-512B-43F0-813D-E0695F9C21BB}">
            <xm:f>NOT(ISERROR(SEARCH("DB",'TC1'!E16)))</xm:f>
            <x14:dxf>
              <font>
                <color rgb="FF006100"/>
              </font>
              <fill>
                <patternFill>
                  <bgColor rgb="FFC6EFCE"/>
                </patternFill>
              </fill>
            </x14:dxf>
          </x14:cfRule>
          <x14:cfRule type="containsText" priority="2856" operator="containsText" text="WEB SERVICE" id="{FC699CCD-F7C8-4567-A716-A9E26AEB2B3B}">
            <xm:f>NOT(ISERROR(SEARCH("WEB SERVICE",'TC1'!E16)))</xm:f>
            <x14:dxf>
              <font>
                <color rgb="FF9C0006"/>
              </font>
              <fill>
                <patternFill>
                  <bgColor rgb="FFFFC7CE"/>
                </patternFill>
              </fill>
            </x14:dxf>
          </x14:cfRule>
          <xm:sqref>E34:E43</xm:sqref>
        </x14:conditionalFormatting>
        <x14:conditionalFormatting xmlns:xm="http://schemas.microsoft.com/office/excel/2006/main">
          <x14:cfRule type="containsText" priority="2857" operator="containsText" text="DB" id="{31A29EAD-512B-43F0-813D-E0695F9C21BB}">
            <xm:f>NOT(ISERROR(SEARCH("DB",'TC1'!#REF!)))</xm:f>
            <x14:dxf>
              <font>
                <color rgb="FF006100"/>
              </font>
              <fill>
                <patternFill>
                  <bgColor rgb="FFC6EFCE"/>
                </patternFill>
              </fill>
            </x14:dxf>
          </x14:cfRule>
          <x14:cfRule type="containsText" priority="2858" operator="containsText" text="WEB SERVICE" id="{FC699CCD-F7C8-4567-A716-A9E26AEB2B3B}">
            <xm:f>NOT(ISERROR(SEARCH("WEB SERVICE",'TC1'!#REF!)))</xm:f>
            <x14:dxf>
              <font>
                <color rgb="FF9C0006"/>
              </font>
              <fill>
                <patternFill>
                  <bgColor rgb="FFFFC7CE"/>
                </patternFill>
              </fill>
            </x14:dxf>
          </x14:cfRule>
          <xm:sqref>E17:E33</xm:sqref>
        </x14:conditionalFormatting>
        <x14:conditionalFormatting xmlns:xm="http://schemas.microsoft.com/office/excel/2006/main">
          <x14:cfRule type="expression" priority="5497" id="{B8591DC1-411C-4432-B56C-A055BB35B64B}">
            <xm:f>'TC1'!$B9="HANGUP"</xm:f>
            <x14:dxf>
              <font>
                <b/>
                <i val="0"/>
              </font>
            </x14:dxf>
          </x14:cfRule>
          <x14:cfRule type="expression" priority="5498" id="{5E080A24-3753-4661-A21E-D8A1BACD56B0}">
            <xm:f>'TC1'!$B9="Dial"</xm:f>
            <x14:dxf>
              <font>
                <b/>
                <i val="0"/>
                <color rgb="FFFF0000"/>
              </font>
            </x14:dxf>
          </x14:cfRule>
          <xm:sqref>C12:C15</xm:sqref>
        </x14:conditionalFormatting>
        <x14:conditionalFormatting xmlns:xm="http://schemas.microsoft.com/office/excel/2006/main">
          <x14:cfRule type="expression" priority="5499" id="{B8591DC1-411C-4432-B56C-A055BB35B64B}">
            <xm:f>'TC1'!#REF!="HANGUP"</xm:f>
            <x14:dxf>
              <font>
                <b/>
                <i val="0"/>
              </font>
            </x14:dxf>
          </x14:cfRule>
          <x14:cfRule type="expression" priority="5500" id="{5E080A24-3753-4661-A21E-D8A1BACD56B0}">
            <xm:f>'TC1'!#REF!="Dial"</xm:f>
            <x14:dxf>
              <font>
                <b/>
                <i val="0"/>
                <color rgb="FFFF0000"/>
              </font>
            </x14:dxf>
          </x14:cfRule>
          <xm:sqref>C9:C11</xm:sqref>
        </x14:conditionalFormatting>
        <x14:conditionalFormatting xmlns:xm="http://schemas.microsoft.com/office/excel/2006/main">
          <x14:cfRule type="expression" priority="5504" id="{0C93B64F-0679-4F7A-B35A-E1F01B746CAC}">
            <xm:f>'TC1'!$B9="Speak"</xm:f>
            <x14:dxf>
              <font>
                <b/>
                <i val="0"/>
                <color rgb="FFFF0000"/>
              </font>
            </x14:dxf>
          </x14:cfRule>
          <xm:sqref>C12:C15</xm:sqref>
        </x14:conditionalFormatting>
        <x14:conditionalFormatting xmlns:xm="http://schemas.microsoft.com/office/excel/2006/main">
          <x14:cfRule type="expression" priority="5505" id="{0C93B64F-0679-4F7A-B35A-E1F01B746CAC}">
            <xm:f>'TC1'!#REF!="Speak"</xm:f>
            <x14:dxf>
              <font>
                <b/>
                <i val="0"/>
                <color rgb="FFFF0000"/>
              </font>
            </x14:dxf>
          </x14:cfRule>
          <xm:sqref>C9:C11</xm:sqref>
        </x14:conditionalFormatting>
        <x14:conditionalFormatting xmlns:xm="http://schemas.microsoft.com/office/excel/2006/main">
          <x14:cfRule type="containsText" priority="5507" operator="containsText" text="DB" id="{31A29EAD-512B-43F0-813D-E0695F9C21BB}">
            <xm:f>NOT(ISERROR(SEARCH("DB",'TC1'!#REF!)))</xm:f>
            <x14:dxf>
              <font>
                <color rgb="FF006100"/>
              </font>
              <fill>
                <patternFill>
                  <bgColor rgb="FFC6EFCE"/>
                </patternFill>
              </fill>
            </x14:dxf>
          </x14:cfRule>
          <x14:cfRule type="containsText" priority="5508" operator="containsText" text="WEB SERVICE" id="{FC699CCD-F7C8-4567-A716-A9E26AEB2B3B}">
            <xm:f>NOT(ISERROR(SEARCH("WEB SERVICE",'TC1'!#REF!)))</xm:f>
            <x14:dxf>
              <font>
                <color rgb="FF9C0006"/>
              </font>
              <fill>
                <patternFill>
                  <bgColor rgb="FFFFC7CE"/>
                </patternFill>
              </fill>
            </x14:dxf>
          </x14:cfRule>
          <xm:sqref>E9:E11</xm:sqref>
        </x14:conditionalFormatting>
        <x14:conditionalFormatting xmlns:xm="http://schemas.microsoft.com/office/excel/2006/main">
          <x14:cfRule type="containsText" priority="5509" operator="containsText" text="DB" id="{31A29EAD-512B-43F0-813D-E0695F9C21BB}">
            <xm:f>NOT(ISERROR(SEARCH("DB",'TC1'!E9)))</xm:f>
            <x14:dxf>
              <font>
                <color rgb="FF006100"/>
              </font>
              <fill>
                <patternFill>
                  <bgColor rgb="FFC6EFCE"/>
                </patternFill>
              </fill>
            </x14:dxf>
          </x14:cfRule>
          <x14:cfRule type="containsText" priority="5510" operator="containsText" text="WEB SERVICE" id="{FC699CCD-F7C8-4567-A716-A9E26AEB2B3B}">
            <xm:f>NOT(ISERROR(SEARCH("WEB SERVICE",'TC1'!E9)))</xm:f>
            <x14:dxf>
              <font>
                <color rgb="FF9C0006"/>
              </font>
              <fill>
                <patternFill>
                  <bgColor rgb="FFFFC7CE"/>
                </patternFill>
              </fill>
            </x14:dxf>
          </x14:cfRule>
          <xm:sqref>E12:E15</xm:sqref>
        </x14:conditionalFormatting>
        <x14:conditionalFormatting xmlns:xm="http://schemas.microsoft.com/office/excel/2006/main">
          <x14:cfRule type="expression" priority="7760" id="{B8591DC1-411C-4432-B56C-A055BB35B64B}">
            <xm:f>'TC1'!$B15="HANGUP"</xm:f>
            <x14:dxf>
              <font>
                <b/>
                <i val="0"/>
              </font>
            </x14:dxf>
          </x14:cfRule>
          <x14:cfRule type="expression" priority="7761" id="{5E080A24-3753-4661-A21E-D8A1BACD56B0}">
            <xm:f>'TC1'!$B15="Dial"</xm:f>
            <x14:dxf>
              <font>
                <b/>
                <i val="0"/>
                <color rgb="FFFF0000"/>
              </font>
            </x14:dxf>
          </x14:cfRule>
          <xm:sqref>C16</xm:sqref>
        </x14:conditionalFormatting>
        <x14:conditionalFormatting xmlns:xm="http://schemas.microsoft.com/office/excel/2006/main">
          <x14:cfRule type="expression" priority="7763" id="{0C93B64F-0679-4F7A-B35A-E1F01B746CAC}">
            <xm:f>'TC1'!$B15="Speak"</xm:f>
            <x14:dxf>
              <font>
                <b/>
                <i val="0"/>
                <color rgb="FFFF0000"/>
              </font>
            </x14:dxf>
          </x14:cfRule>
          <xm:sqref>C16</xm:sqref>
        </x14:conditionalFormatting>
        <x14:conditionalFormatting xmlns:xm="http://schemas.microsoft.com/office/excel/2006/main">
          <x14:cfRule type="containsText" priority="7766" operator="containsText" text="DB" id="{31A29EAD-512B-43F0-813D-E0695F9C21BB}">
            <xm:f>NOT(ISERROR(SEARCH("DB",'TC1'!E15)))</xm:f>
            <x14:dxf>
              <font>
                <color rgb="FF006100"/>
              </font>
              <fill>
                <patternFill>
                  <bgColor rgb="FFC6EFCE"/>
                </patternFill>
              </fill>
            </x14:dxf>
          </x14:cfRule>
          <x14:cfRule type="containsText" priority="7767" operator="containsText" text="WEB SERVICE" id="{FC699CCD-F7C8-4567-A716-A9E26AEB2B3B}">
            <xm:f>NOT(ISERROR(SEARCH("WEB SERVICE",'TC1'!E15)))</xm:f>
            <x14:dxf>
              <font>
                <color rgb="FF9C0006"/>
              </font>
              <fill>
                <patternFill>
                  <bgColor rgb="FFFFC7CE"/>
                </patternFill>
              </fill>
            </x14:dxf>
          </x14:cfRule>
          <xm:sqref>E16</xm:sqref>
        </x14:conditionalFormatting>
        <x14:conditionalFormatting xmlns:xm="http://schemas.microsoft.com/office/excel/2006/main">
          <x14:cfRule type="containsText" priority="10414" operator="containsText" text="Hear" id="{4981CF9D-A599-4BB2-8DF4-9F58F15BB75E}">
            <xm:f>NOT(ISERROR(SEARCH("Hear",'TC26'!#REF!)))</xm:f>
            <x14:dxf>
              <font>
                <color theme="9" tint="-0.24994659260841701"/>
              </font>
              <fill>
                <patternFill>
                  <bgColor theme="9" tint="0.59996337778862885"/>
                </patternFill>
              </fill>
            </x14:dxf>
          </x14:cfRule>
          <xm:sqref>B39</xm:sqref>
        </x14:conditionalFormatting>
      </x14:conditionalFormattings>
    </ext>
  </extLst>
</worksheet>
</file>

<file path=xl/worksheets/sheet1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200-000000000000}">
  <sheetPr codeName="Sheet132"/>
  <dimension ref="A1:E44"/>
  <sheetViews>
    <sheetView zoomScaleNormal="100" workbookViewId="0">
      <selection sqref="A1:E44"/>
    </sheetView>
  </sheetViews>
  <sheetFormatPr defaultRowHeight="14.5" x14ac:dyDescent="0.35"/>
  <cols>
    <col min="1" max="1" width="14.453125" bestFit="1" customWidth="1"/>
    <col min="2" max="2" width="42.6328125" customWidth="1"/>
    <col min="3" max="3" width="106.1796875" customWidth="1"/>
    <col min="4" max="4" width="21.81640625" bestFit="1" customWidth="1"/>
    <col min="5" max="5" width="20.6328125" customWidth="1"/>
  </cols>
  <sheetData>
    <row r="1" spans="1:5" ht="18.5" x14ac:dyDescent="0.35">
      <c r="A1" s="192" t="s">
        <v>4</v>
      </c>
      <c r="B1" s="192"/>
      <c r="C1" s="105"/>
      <c r="D1" s="111"/>
      <c r="E1" s="97"/>
    </row>
    <row r="2" spans="1:5" x14ac:dyDescent="0.35">
      <c r="A2" s="106" t="s">
        <v>5</v>
      </c>
      <c r="B2" s="107" t="str">
        <f ca="1">MID(CELL("filename",A1),FIND("]",CELL("filename",A1))+1,LEN(CELL("filename",A1))-FIND("]",CELL("filename",A1)))</f>
        <v>TC130</v>
      </c>
      <c r="C2" s="98"/>
      <c r="D2" s="111"/>
      <c r="E2" s="97"/>
    </row>
    <row r="3" spans="1:5" x14ac:dyDescent="0.35">
      <c r="A3" s="104" t="s">
        <v>19</v>
      </c>
      <c r="B3" s="112" t="e">
        <f ca="1">VLOOKUP(B2,Table53[#All],2,FALSE)</f>
        <v>#N/A</v>
      </c>
      <c r="C3" s="98"/>
      <c r="D3" s="111"/>
      <c r="E3" s="97"/>
    </row>
    <row r="4" spans="1:5" ht="29" x14ac:dyDescent="0.35">
      <c r="A4" s="113" t="s">
        <v>20</v>
      </c>
      <c r="B4" s="99" t="e">
        <f ca="1">VLOOKUP(B2,Table53[#All],4,FALSE)</f>
        <v>#N/A</v>
      </c>
      <c r="C4" s="98"/>
      <c r="D4" s="111"/>
      <c r="E4" s="97"/>
    </row>
    <row r="5" spans="1:5" x14ac:dyDescent="0.35">
      <c r="A5" s="104" t="s">
        <v>6</v>
      </c>
      <c r="B5" s="77" t="e">
        <f ca="1">VLOOKUP(B2,Table53[#All],3,FALSE)</f>
        <v>#N/A</v>
      </c>
      <c r="C5" s="98"/>
      <c r="D5" s="111"/>
      <c r="E5" s="97"/>
    </row>
    <row r="6" spans="1:5" x14ac:dyDescent="0.35">
      <c r="A6" s="97"/>
      <c r="B6" s="97"/>
      <c r="C6" s="98"/>
      <c r="D6" s="111"/>
      <c r="E6" s="97"/>
    </row>
    <row r="7" spans="1:5" ht="15.5" x14ac:dyDescent="0.35">
      <c r="A7" s="100" t="s">
        <v>7</v>
      </c>
      <c r="B7" s="101" t="s">
        <v>8</v>
      </c>
      <c r="C7" s="102" t="s">
        <v>9</v>
      </c>
      <c r="D7" s="102" t="s">
        <v>14</v>
      </c>
      <c r="E7" s="103" t="s">
        <v>10</v>
      </c>
    </row>
    <row r="8" spans="1:5" x14ac:dyDescent="0.35">
      <c r="A8" s="118">
        <v>1</v>
      </c>
      <c r="B8" s="114" t="s">
        <v>114</v>
      </c>
      <c r="C8" s="109" t="s">
        <v>125</v>
      </c>
      <c r="D8" s="128"/>
      <c r="E8" s="125" t="s">
        <v>11</v>
      </c>
    </row>
    <row r="9" spans="1:5" x14ac:dyDescent="0.35">
      <c r="A9" s="118">
        <v>2</v>
      </c>
      <c r="B9" s="114" t="s">
        <v>12</v>
      </c>
      <c r="C9" s="109" t="e">
        <f>VLOOKUP(Table257519913140106110151155168[[#This Row],[PEG]],Table1016[#All],2,FALSE)</f>
        <v>#N/A</v>
      </c>
      <c r="D9" s="128"/>
      <c r="E9" s="125" t="e">
        <f>VLOOKUP(Table257519913140106110151155168[[#This Row],[PEG]],Table1016[#All],3,FALSE)</f>
        <v>#N/A</v>
      </c>
    </row>
    <row r="10" spans="1:5" x14ac:dyDescent="0.35">
      <c r="A10" s="118">
        <v>3</v>
      </c>
      <c r="B10" s="114" t="s">
        <v>115</v>
      </c>
      <c r="C10" s="109" t="e">
        <f>VLOOKUP(Table257519913140106110151155168[[#This Row],[PEG]],Table1016[#All],2,FALSE)</f>
        <v>#N/A</v>
      </c>
      <c r="D10" s="128"/>
      <c r="E10" s="125" t="e">
        <f>VLOOKUP(Table257519913140106110151155168[[#This Row],[PEG]],Table1016[#All],3,FALSE)</f>
        <v>#N/A</v>
      </c>
    </row>
    <row r="11" spans="1:5" x14ac:dyDescent="0.35">
      <c r="A11" s="118">
        <v>4</v>
      </c>
      <c r="B11" s="114" t="s">
        <v>115</v>
      </c>
      <c r="C11" s="109" t="e">
        <f>VLOOKUP(Table257519913140106110151155168[[#This Row],[PEG]],Table1016[#All],2,FALSE)</f>
        <v>#N/A</v>
      </c>
      <c r="D11" s="128"/>
      <c r="E11" s="125" t="e">
        <f>VLOOKUP(Table257519913140106110151155168[[#This Row],[PEG]],Table1016[#All],3,FALSE)</f>
        <v>#N/A</v>
      </c>
    </row>
    <row r="12" spans="1:5" x14ac:dyDescent="0.35">
      <c r="A12" s="118">
        <v>5</v>
      </c>
      <c r="B12" s="114" t="s">
        <v>114</v>
      </c>
      <c r="C12" s="109" t="e">
        <f>VLOOKUP(Table257519913140106110151155168[[#This Row],[PEG]],Table1016[#All],2,FALSE)</f>
        <v>#N/A</v>
      </c>
      <c r="D12" s="128"/>
      <c r="E12" s="125" t="e">
        <f>VLOOKUP(Table257519913140106110151155168[[#This Row],[PEG]],Table1016[#All],3,FALSE)</f>
        <v>#N/A</v>
      </c>
    </row>
    <row r="13" spans="1:5" x14ac:dyDescent="0.35">
      <c r="A13" s="118">
        <v>6</v>
      </c>
      <c r="B13" s="114" t="s">
        <v>115</v>
      </c>
      <c r="C13" s="109" t="e">
        <f>VLOOKUP(Table257519913140106110151155168[[#This Row],[PEG]],Table1016[#All],2,FALSE)</f>
        <v>#N/A</v>
      </c>
      <c r="D13" s="128"/>
      <c r="E13" s="125" t="e">
        <f>VLOOKUP(Table257519913140106110151155168[[#This Row],[PEG]],Table1016[#All],3,FALSE)</f>
        <v>#N/A</v>
      </c>
    </row>
    <row r="14" spans="1:5" x14ac:dyDescent="0.35">
      <c r="A14" s="118">
        <v>7</v>
      </c>
      <c r="B14" s="114" t="s">
        <v>114</v>
      </c>
      <c r="C14" s="109" t="e">
        <f>VLOOKUP(Table257519913140106110151155168[[#This Row],[PEG]],Table1016[#All],2,FALSE)</f>
        <v>#N/A</v>
      </c>
      <c r="D14" s="128"/>
      <c r="E14" s="125" t="e">
        <f>VLOOKUP(Table257519913140106110151155168[[#This Row],[PEG]],Table1016[#All],3,FALSE)</f>
        <v>#N/A</v>
      </c>
    </row>
    <row r="15" spans="1:5" x14ac:dyDescent="0.35">
      <c r="A15" s="118">
        <v>8</v>
      </c>
      <c r="B15" s="114" t="s">
        <v>115</v>
      </c>
      <c r="C15" s="109" t="e">
        <f>VLOOKUP(Table257519913140106110151155168[[#This Row],[PEG]],Table1016[#All],2,FALSE)</f>
        <v>#N/A</v>
      </c>
      <c r="D15" s="116"/>
      <c r="E15" s="125" t="e">
        <f>VLOOKUP(Table257519913140106110151155168[[#This Row],[PEG]],Table1016[#All],3,FALSE)</f>
        <v>#N/A</v>
      </c>
    </row>
    <row r="16" spans="1:5" x14ac:dyDescent="0.35">
      <c r="A16" s="118">
        <v>9</v>
      </c>
      <c r="B16" s="114" t="s">
        <v>12</v>
      </c>
      <c r="C16" s="109" t="e">
        <f>VLOOKUP(Table257519913140106110151155168[[#This Row],[PEG]],Table1016[#All],2,FALSE)</f>
        <v>#N/A</v>
      </c>
      <c r="D16" s="116"/>
      <c r="E16" s="125" t="e">
        <f>VLOOKUP(Table257519913140106110151155168[[#This Row],[PEG]],Table1016[#All],3,FALSE)</f>
        <v>#N/A</v>
      </c>
    </row>
    <row r="17" spans="1:5" x14ac:dyDescent="0.35">
      <c r="A17" s="118">
        <v>10</v>
      </c>
      <c r="B17" s="114" t="s">
        <v>12</v>
      </c>
      <c r="C17" s="109" t="e">
        <f>VLOOKUP(Table257519913140106110151155168[[#This Row],[PEG]],Table1016[#All],2,FALSE)</f>
        <v>#N/A</v>
      </c>
      <c r="D17" s="117"/>
      <c r="E17" s="125" t="e">
        <f>VLOOKUP(Table257519913140106110151155168[[#This Row],[PEG]],Table1016[#All],3,FALSE)</f>
        <v>#N/A</v>
      </c>
    </row>
    <row r="18" spans="1:5" x14ac:dyDescent="0.35">
      <c r="A18" s="118">
        <v>11</v>
      </c>
      <c r="B18" s="114" t="s">
        <v>115</v>
      </c>
      <c r="C18" s="109" t="e">
        <f>VLOOKUP(Table257519913140106110151155168[[#This Row],[PEG]],Table1016[#All],2,FALSE)</f>
        <v>#N/A</v>
      </c>
      <c r="D18" s="117"/>
      <c r="E18" s="125" t="e">
        <f>VLOOKUP(Table257519913140106110151155168[[#This Row],[PEG]],Table1016[#All],3,FALSE)</f>
        <v>#N/A</v>
      </c>
    </row>
    <row r="19" spans="1:5" x14ac:dyDescent="0.35">
      <c r="A19" s="118">
        <v>12</v>
      </c>
      <c r="B19" s="114" t="s">
        <v>115</v>
      </c>
      <c r="C19" s="109" t="e">
        <f>VLOOKUP(Table257519913140106110151155168[[#This Row],[PEG]],Table1016[#All],2,FALSE)</f>
        <v>#N/A</v>
      </c>
      <c r="D19" s="117"/>
      <c r="E19" s="125" t="e">
        <f>VLOOKUP(Table257519913140106110151155168[[#This Row],[PEG]],Table1016[#All],3,FALSE)</f>
        <v>#N/A</v>
      </c>
    </row>
    <row r="20" spans="1:5" x14ac:dyDescent="0.35">
      <c r="A20" s="118">
        <v>13</v>
      </c>
      <c r="B20" s="114" t="s">
        <v>114</v>
      </c>
      <c r="C20" s="109" t="e">
        <f>VLOOKUP(Table257519913140106110151155168[[#This Row],[PEG]],Table1016[#All],2,FALSE)</f>
        <v>#N/A</v>
      </c>
      <c r="D20" s="117"/>
      <c r="E20" s="125" t="e">
        <f>VLOOKUP(Table257519913140106110151155168[[#This Row],[PEG]],Table1016[#All],3,FALSE)</f>
        <v>#N/A</v>
      </c>
    </row>
    <row r="21" spans="1:5" x14ac:dyDescent="0.35">
      <c r="A21" s="118">
        <v>14</v>
      </c>
      <c r="B21" s="114" t="s">
        <v>12</v>
      </c>
      <c r="C21" s="109" t="e">
        <f>VLOOKUP(Table257519913140106110151155168[[#This Row],[PEG]],Table1016[#All],2,FALSE)</f>
        <v>#N/A</v>
      </c>
      <c r="D21" s="117"/>
      <c r="E21" s="125" t="e">
        <f>VLOOKUP(Table257519913140106110151155168[[#This Row],[PEG]],Table1016[#All],3,FALSE)</f>
        <v>#N/A</v>
      </c>
    </row>
    <row r="22" spans="1:5" x14ac:dyDescent="0.35">
      <c r="A22" s="118">
        <v>15</v>
      </c>
      <c r="B22" s="114" t="s">
        <v>12</v>
      </c>
      <c r="C22" s="109" t="e">
        <f>VLOOKUP(Table257519913140106110151155168[[#This Row],[PEG]],Table1016[#All],2,FALSE)</f>
        <v>#N/A</v>
      </c>
      <c r="D22" s="117"/>
      <c r="E22" s="125" t="e">
        <f>VLOOKUP(Table257519913140106110151155168[[#This Row],[PEG]],Table1016[#All],3,FALSE)</f>
        <v>#N/A</v>
      </c>
    </row>
    <row r="23" spans="1:5" x14ac:dyDescent="0.35">
      <c r="A23" s="118">
        <v>16</v>
      </c>
      <c r="B23" s="114" t="s">
        <v>115</v>
      </c>
      <c r="C23" s="109" t="e">
        <f>VLOOKUP(Table257519913140106110151155168[[#This Row],[PEG]],Table1016[#All],2,FALSE)</f>
        <v>#N/A</v>
      </c>
      <c r="D23" s="117"/>
      <c r="E23" s="125" t="e">
        <f>VLOOKUP(Table257519913140106110151155168[[#This Row],[PEG]],Table1016[#All],3,FALSE)</f>
        <v>#N/A</v>
      </c>
    </row>
    <row r="24" spans="1:5" x14ac:dyDescent="0.35">
      <c r="A24" s="118">
        <v>17</v>
      </c>
      <c r="B24" s="114" t="s">
        <v>114</v>
      </c>
      <c r="C24" s="109" t="e">
        <f>VLOOKUP(Table257519913140106110151155168[[#This Row],[PEG]],Table1016[#All],2,FALSE)</f>
        <v>#N/A</v>
      </c>
      <c r="D24" s="117"/>
      <c r="E24" s="125" t="e">
        <f>VLOOKUP(Table257519913140106110151155168[[#This Row],[PEG]],Table1016[#All],3,FALSE)</f>
        <v>#N/A</v>
      </c>
    </row>
    <row r="25" spans="1:5" x14ac:dyDescent="0.35">
      <c r="A25" s="118">
        <v>18</v>
      </c>
      <c r="B25" s="114" t="s">
        <v>12</v>
      </c>
      <c r="C25" s="109" t="e">
        <f>VLOOKUP(Table257519913140106110151155168[[#This Row],[PEG]],Table1016[#All],2,FALSE)</f>
        <v>#N/A</v>
      </c>
      <c r="D25" s="117"/>
      <c r="E25" s="125" t="e">
        <f>VLOOKUP(Table257519913140106110151155168[[#This Row],[PEG]],Table1016[#All],3,FALSE)</f>
        <v>#N/A</v>
      </c>
    </row>
    <row r="26" spans="1:5" x14ac:dyDescent="0.35">
      <c r="A26" s="118">
        <v>19</v>
      </c>
      <c r="B26" s="114" t="s">
        <v>12</v>
      </c>
      <c r="C26" s="109" t="e">
        <f>VLOOKUP(Table257519913140106110151155168[[#This Row],[PEG]],Table1016[#All],2,FALSE)</f>
        <v>#N/A</v>
      </c>
      <c r="D26" s="117"/>
      <c r="E26" s="125" t="e">
        <f>VLOOKUP(Table257519913140106110151155168[[#This Row],[PEG]],Table1016[#All],3,FALSE)</f>
        <v>#N/A</v>
      </c>
    </row>
    <row r="27" spans="1:5" x14ac:dyDescent="0.35">
      <c r="A27" s="118">
        <v>20</v>
      </c>
      <c r="B27" s="114" t="s">
        <v>115</v>
      </c>
      <c r="C27" s="109" t="e">
        <f>VLOOKUP(Table257519913140106110151155168[[#This Row],[PEG]],Table1016[#All],2,FALSE)</f>
        <v>#N/A</v>
      </c>
      <c r="D27" s="117"/>
      <c r="E27" s="125" t="e">
        <f>VLOOKUP(Table257519913140106110151155168[[#This Row],[PEG]],Table1016[#All],3,FALSE)</f>
        <v>#N/A</v>
      </c>
    </row>
    <row r="28" spans="1:5" x14ac:dyDescent="0.35">
      <c r="A28" s="118">
        <v>21</v>
      </c>
      <c r="B28" s="114" t="s">
        <v>114</v>
      </c>
      <c r="C28" s="109" t="e">
        <f>VLOOKUP(Table257519913140106110151155168[[#This Row],[PEG]],Table1016[#All],2,FALSE)</f>
        <v>#N/A</v>
      </c>
      <c r="D28" s="117"/>
      <c r="E28" s="125" t="e">
        <f>VLOOKUP(Table257519913140106110151155168[[#This Row],[PEG]],Table1016[#All],3,FALSE)</f>
        <v>#N/A</v>
      </c>
    </row>
    <row r="29" spans="1:5" x14ac:dyDescent="0.35">
      <c r="A29" s="118">
        <v>22</v>
      </c>
      <c r="B29" s="114" t="s">
        <v>12</v>
      </c>
      <c r="C29" s="109" t="e">
        <f>VLOOKUP(Table257519913140106110151155168[[#This Row],[PEG]],Table1016[#All],2,FALSE)</f>
        <v>#N/A</v>
      </c>
      <c r="D29" s="117"/>
      <c r="E29" s="125" t="e">
        <f>VLOOKUP(Table257519913140106110151155168[[#This Row],[PEG]],Table1016[#All],3,FALSE)</f>
        <v>#N/A</v>
      </c>
    </row>
    <row r="30" spans="1:5" x14ac:dyDescent="0.35">
      <c r="A30" s="118">
        <v>23</v>
      </c>
      <c r="B30" s="114" t="s">
        <v>12</v>
      </c>
      <c r="C30" s="109" t="e">
        <f>VLOOKUP(Table257519913140106110151155168[[#This Row],[PEG]],Table1016[#All],2,FALSE)</f>
        <v>#N/A</v>
      </c>
      <c r="D30" s="117"/>
      <c r="E30" s="125" t="e">
        <f>VLOOKUP(Table257519913140106110151155168[[#This Row],[PEG]],Table1016[#All],3,FALSE)</f>
        <v>#N/A</v>
      </c>
    </row>
    <row r="31" spans="1:5" x14ac:dyDescent="0.35">
      <c r="A31" s="118">
        <v>24</v>
      </c>
      <c r="B31" s="114" t="s">
        <v>115</v>
      </c>
      <c r="C31" s="109" t="e">
        <f>VLOOKUP(Table257519913140106110151155168[[#This Row],[PEG]],Table1016[#All],2,FALSE)</f>
        <v>#N/A</v>
      </c>
      <c r="D31" s="117"/>
      <c r="E31" s="125" t="e">
        <f>VLOOKUP(Table257519913140106110151155168[[#This Row],[PEG]],Table1016[#All],3,FALSE)</f>
        <v>#N/A</v>
      </c>
    </row>
    <row r="32" spans="1:5" x14ac:dyDescent="0.35">
      <c r="A32" s="118">
        <v>25</v>
      </c>
      <c r="B32" s="114" t="s">
        <v>115</v>
      </c>
      <c r="C32" s="109" t="e">
        <f>VLOOKUP(Table257519913140106110151155168[[#This Row],[PEG]],Table1016[#All],2,FALSE)</f>
        <v>#N/A</v>
      </c>
      <c r="D32" s="117"/>
      <c r="E32" s="125" t="e">
        <f>VLOOKUP(Table257519913140106110151155168[[#This Row],[PEG]],Table1016[#All],3,FALSE)</f>
        <v>#N/A</v>
      </c>
    </row>
    <row r="33" spans="1:5" x14ac:dyDescent="0.35">
      <c r="A33" s="118">
        <v>26</v>
      </c>
      <c r="B33" s="114" t="s">
        <v>124</v>
      </c>
      <c r="C33" s="109" t="e">
        <f>VLOOKUP(Table257519913140106110151155168[[#This Row],[PEG]],Table1016[#All],2,FALSE)</f>
        <v>#N/A</v>
      </c>
      <c r="D33" s="117"/>
      <c r="E33" s="125" t="e">
        <f>VLOOKUP(Table257519913140106110151155168[[#This Row],[PEG]],Table1016[#All],3,FALSE)</f>
        <v>#N/A</v>
      </c>
    </row>
    <row r="34" spans="1:5" x14ac:dyDescent="0.35">
      <c r="A34" s="118">
        <v>27</v>
      </c>
      <c r="B34" s="114" t="s">
        <v>115</v>
      </c>
      <c r="C34" s="109" t="e">
        <f>VLOOKUP(Table257519913140106110151155168[[#This Row],[PEG]],Table1016[#All],2,FALSE)</f>
        <v>#N/A</v>
      </c>
      <c r="D34" s="117"/>
      <c r="E34" s="125" t="e">
        <f>VLOOKUP(Table257519913140106110151155168[[#This Row],[PEG]],Table1016[#All],3,FALSE)</f>
        <v>#N/A</v>
      </c>
    </row>
    <row r="35" spans="1:5" x14ac:dyDescent="0.35">
      <c r="A35" s="118">
        <v>28</v>
      </c>
      <c r="B35" s="114" t="s">
        <v>124</v>
      </c>
      <c r="C35" s="109" t="e">
        <f>VLOOKUP(Table257519913140106110151155168[[#This Row],[PEG]],Table1016[#All],2,FALSE)</f>
        <v>#N/A</v>
      </c>
      <c r="D35" s="117"/>
      <c r="E35" s="125" t="e">
        <f>VLOOKUP(Table257519913140106110151155168[[#This Row],[PEG]],Table1016[#All],3,FALSE)</f>
        <v>#N/A</v>
      </c>
    </row>
    <row r="36" spans="1:5" x14ac:dyDescent="0.35">
      <c r="A36" s="118">
        <v>29</v>
      </c>
      <c r="B36" s="114" t="s">
        <v>115</v>
      </c>
      <c r="C36" s="109" t="e">
        <f>VLOOKUP(Table257519913140106110151155168[[#This Row],[PEG]],Table1016[#All],2,FALSE)</f>
        <v>#N/A</v>
      </c>
      <c r="D36" s="117"/>
      <c r="E36" s="125" t="e">
        <f>VLOOKUP(Table257519913140106110151155168[[#This Row],[PEG]],Table1016[#All],3,FALSE)</f>
        <v>#N/A</v>
      </c>
    </row>
    <row r="37" spans="1:5" x14ac:dyDescent="0.35">
      <c r="A37" s="118">
        <v>30</v>
      </c>
      <c r="B37" s="114" t="s">
        <v>12</v>
      </c>
      <c r="C37" s="109" t="e">
        <f>VLOOKUP(Table257519913140106110151155168[[#This Row],[PEG]],Table1016[#All],2,FALSE)</f>
        <v>#N/A</v>
      </c>
      <c r="D37" s="117"/>
      <c r="E37" s="125" t="e">
        <f>VLOOKUP(Table257519913140106110151155168[[#This Row],[PEG]],Table1016[#All],3,FALSE)</f>
        <v>#N/A</v>
      </c>
    </row>
    <row r="38" spans="1:5" x14ac:dyDescent="0.35">
      <c r="A38" s="118">
        <v>31</v>
      </c>
      <c r="B38" s="114" t="s">
        <v>12</v>
      </c>
      <c r="C38" s="109" t="e">
        <f>VLOOKUP(Table257519913140106110151155168[[#This Row],[PEG]],Table1016[#All],2,FALSE)</f>
        <v>#N/A</v>
      </c>
      <c r="D38" s="117"/>
      <c r="E38" s="125" t="e">
        <f>VLOOKUP(Table257519913140106110151155168[[#This Row],[PEG]],Table1016[#All],3,FALSE)</f>
        <v>#N/A</v>
      </c>
    </row>
    <row r="39" spans="1:5" x14ac:dyDescent="0.35">
      <c r="A39" s="118">
        <v>32</v>
      </c>
      <c r="B39" s="114" t="s">
        <v>12</v>
      </c>
      <c r="C39" s="109" t="e">
        <f>VLOOKUP(Table257519913140106110151155168[[#This Row],[PEG]],Table1016[#All],2,FALSE)</f>
        <v>#N/A</v>
      </c>
      <c r="D39" s="117"/>
      <c r="E39" s="125" t="e">
        <f>VLOOKUP(Table257519913140106110151155168[[#This Row],[PEG]],Table1016[#All],3,FALSE)</f>
        <v>#N/A</v>
      </c>
    </row>
    <row r="40" spans="1:5" x14ac:dyDescent="0.35">
      <c r="A40" s="118">
        <v>33</v>
      </c>
      <c r="B40" s="114" t="s">
        <v>12</v>
      </c>
      <c r="C40" s="109" t="e">
        <f>VLOOKUP(Table257519913140106110151155168[[#This Row],[PEG]],Table1016[#All],2,FALSE)</f>
        <v>#N/A</v>
      </c>
      <c r="D40" s="117"/>
      <c r="E40" s="125" t="e">
        <f>VLOOKUP(Table257519913140106110151155168[[#This Row],[PEG]],Table1016[#All],3,FALSE)</f>
        <v>#N/A</v>
      </c>
    </row>
    <row r="41" spans="1:5" x14ac:dyDescent="0.35">
      <c r="A41" s="118">
        <v>34</v>
      </c>
      <c r="B41" s="114" t="s">
        <v>115</v>
      </c>
      <c r="C41" s="109" t="e">
        <f>VLOOKUP(Table257519913140106110151155168[[#This Row],[PEG]],Table1016[#All],2,FALSE)</f>
        <v>#N/A</v>
      </c>
      <c r="D41" s="117"/>
      <c r="E41" s="125" t="e">
        <f>VLOOKUP(Table257519913140106110151155168[[#This Row],[PEG]],Table1016[#All],3,FALSE)</f>
        <v>#N/A</v>
      </c>
    </row>
    <row r="42" spans="1:5" x14ac:dyDescent="0.35">
      <c r="A42" s="118">
        <v>35</v>
      </c>
      <c r="B42" s="114" t="s">
        <v>12</v>
      </c>
      <c r="C42" s="109" t="e">
        <f>VLOOKUP(Table257519913140106110151155168[[#This Row],[PEG]],Table1016[#All],2,FALSE)</f>
        <v>#N/A</v>
      </c>
      <c r="D42" s="115"/>
      <c r="E42" s="125" t="e">
        <f>VLOOKUP(Table257519913140106110151155168[[#This Row],[PEG]],Table1016[#All],3,FALSE)</f>
        <v>#N/A</v>
      </c>
    </row>
    <row r="43" spans="1:5" x14ac:dyDescent="0.35">
      <c r="A43" s="118">
        <v>36</v>
      </c>
      <c r="B43" s="114" t="s">
        <v>115</v>
      </c>
      <c r="C43" s="109" t="e">
        <f>VLOOKUP(Table257519913140106110151155168[[#This Row],[PEG]],Table1016[#All],2,FALSE)</f>
        <v>#N/A</v>
      </c>
      <c r="D43" s="115"/>
      <c r="E43" s="125" t="e">
        <f>VLOOKUP(Table257519913140106110151155168[[#This Row],[PEG]],Table1016[#All],3,FALSE)</f>
        <v>#N/A</v>
      </c>
    </row>
    <row r="44" spans="1:5" x14ac:dyDescent="0.35">
      <c r="A44" s="118">
        <v>37</v>
      </c>
      <c r="B44" s="114" t="s">
        <v>13</v>
      </c>
      <c r="C44" s="18" t="s">
        <v>13</v>
      </c>
      <c r="D44" s="115"/>
      <c r="E44" s="32"/>
    </row>
  </sheetData>
  <mergeCells count="1">
    <mergeCell ref="A1:B1"/>
  </mergeCells>
  <conditionalFormatting sqref="B8:B18">
    <cfRule type="containsText" dxfId="1597" priority="1" operator="containsText" text="Hear">
      <formula>NOT(ISERROR(SEARCH("Hear",B8)))</formula>
    </cfRule>
  </conditionalFormatting>
  <conditionalFormatting sqref="B30">
    <cfRule type="containsText" dxfId="1596" priority="4" operator="containsText" text="Hear">
      <formula>NOT(ISERROR(SEARCH("Hear",B30)))</formula>
    </cfRule>
  </conditionalFormatting>
  <conditionalFormatting sqref="B43:B44">
    <cfRule type="containsText" dxfId="1595" priority="8" operator="containsText" text="Hear">
      <formula>NOT(ISERROR(SEARCH("Hear",B43)))</formula>
    </cfRule>
  </conditionalFormatting>
  <conditionalFormatting sqref="E44">
    <cfRule type="containsText" dxfId="1594" priority="6" operator="containsText" text="WEB SERVICE">
      <formula>NOT(ISERROR(SEARCH("WEB SERVICE",E44)))</formula>
    </cfRule>
    <cfRule type="containsText" dxfId="1593" priority="7" operator="containsText" text="DB">
      <formula>NOT(ISERROR(SEARCH("DB",E44)))</formula>
    </cfRule>
  </conditionalFormatting>
  <conditionalFormatting sqref="C44">
    <cfRule type="expression" dxfId="1592" priority="9">
      <formula>$B44="HANGUP"</formula>
    </cfRule>
    <cfRule type="expression" dxfId="1591" priority="9">
      <formula>$B44="Dial"</formula>
    </cfRule>
  </conditionalFormatting>
  <conditionalFormatting sqref="C44">
    <cfRule type="expression" dxfId="1590" priority="3">
      <formula>$B44="Speak"</formula>
    </cfRule>
  </conditionalFormatting>
  <conditionalFormatting sqref="B36:B38 B40:B41">
    <cfRule type="containsText" dxfId="1589" priority="10" operator="containsText" text="Hear">
      <formula>NOT(ISERROR(SEARCH("Hear",B36)))</formula>
    </cfRule>
  </conditionalFormatting>
  <conditionalFormatting sqref="B19:B29 B31:B35 B42">
    <cfRule type="containsText" dxfId="1588" priority="5" operator="containsText" text="Hear">
      <formula>NOT(ISERROR(SEARCH("Hear",B19)))</formula>
    </cfRule>
  </conditionalFormatting>
  <hyperlinks>
    <hyperlink ref="A1" location="'Test Case Overview'!A1" display="Return to Test Case Overview" xr:uid="{3652DDEC-842B-446A-935B-72C802D5D7D9}"/>
  </hyperlinks>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expression" priority="2" id="{A6D59E06-744D-4524-8D94-26D482F9F0E3}">
            <xm:f>'TC1'!$B8="HANGUP"</xm:f>
            <x14:dxf>
              <font>
                <b/>
                <i val="0"/>
              </font>
            </x14:dxf>
          </x14:cfRule>
          <x14:cfRule type="expression" priority="11" id="{5EFBFA74-F2BC-4C1E-84E1-ABD1EEC35C3E}">
            <xm:f>'TC1'!$B8="Dial"</xm:f>
            <x14:dxf>
              <font>
                <b/>
                <i val="0"/>
                <color rgb="FFFF0000"/>
              </font>
            </x14:dxf>
          </x14:cfRule>
          <xm:sqref>C8</xm:sqref>
        </x14:conditionalFormatting>
        <x14:conditionalFormatting xmlns:xm="http://schemas.microsoft.com/office/excel/2006/main">
          <x14:cfRule type="expression" priority="12" id="{CBDC9051-9D51-476B-8772-6E75FC568577}">
            <xm:f>'TC1'!$B8="Speak"</xm:f>
            <x14:dxf>
              <font>
                <b/>
                <i val="0"/>
                <color rgb="FFFF0000"/>
              </font>
            </x14:dxf>
          </x14:cfRule>
          <xm:sqref>C8</xm:sqref>
        </x14:conditionalFormatting>
        <x14:conditionalFormatting xmlns:xm="http://schemas.microsoft.com/office/excel/2006/main">
          <x14:cfRule type="containsText" priority="15" operator="containsText" text="Hear" id="{09C77113-037E-4E6D-BC26-F5C2914ECD43}">
            <xm:f>NOT(ISERROR(SEARCH("Hear",'TC3'!B34)))</xm:f>
            <x14:dxf>
              <font>
                <color theme="9" tint="-0.24994659260841701"/>
              </font>
              <fill>
                <patternFill>
                  <bgColor theme="9" tint="0.59996337778862885"/>
                </patternFill>
              </fill>
            </x14:dxf>
          </x14:cfRule>
          <xm:sqref>B41</xm:sqref>
        </x14:conditionalFormatting>
        <x14:conditionalFormatting xmlns:xm="http://schemas.microsoft.com/office/excel/2006/main">
          <x14:cfRule type="expression" priority="2863" id="{A6D59E06-744D-4524-8D94-26D482F9F0E3}">
            <xm:f>'TC1'!$B16="HANGUP"</xm:f>
            <x14:dxf>
              <font>
                <b/>
                <i val="0"/>
              </font>
            </x14:dxf>
          </x14:cfRule>
          <x14:cfRule type="expression" priority="2864" id="{5EFBFA74-F2BC-4C1E-84E1-ABD1EEC35C3E}">
            <xm:f>'TC1'!$B16="Dial"</xm:f>
            <x14:dxf>
              <font>
                <b/>
                <i val="0"/>
                <color rgb="FFFF0000"/>
              </font>
            </x14:dxf>
          </x14:cfRule>
          <xm:sqref>C34:C43</xm:sqref>
        </x14:conditionalFormatting>
        <x14:conditionalFormatting xmlns:xm="http://schemas.microsoft.com/office/excel/2006/main">
          <x14:cfRule type="expression" priority="2865" id="{A6D59E06-744D-4524-8D94-26D482F9F0E3}">
            <xm:f>'TC1'!#REF!="HANGUP"</xm:f>
            <x14:dxf>
              <font>
                <b/>
                <i val="0"/>
              </font>
            </x14:dxf>
          </x14:cfRule>
          <x14:cfRule type="expression" priority="2866" id="{5EFBFA74-F2BC-4C1E-84E1-ABD1EEC35C3E}">
            <xm:f>'TC1'!#REF!="Dial"</xm:f>
            <x14:dxf>
              <font>
                <b/>
                <i val="0"/>
                <color rgb="FFFF0000"/>
              </font>
            </x14:dxf>
          </x14:cfRule>
          <xm:sqref>C17:C33</xm:sqref>
        </x14:conditionalFormatting>
        <x14:conditionalFormatting xmlns:xm="http://schemas.microsoft.com/office/excel/2006/main">
          <x14:cfRule type="expression" priority="2870" id="{CBDC9051-9D51-476B-8772-6E75FC568577}">
            <xm:f>'TC1'!$B16="Speak"</xm:f>
            <x14:dxf>
              <font>
                <b/>
                <i val="0"/>
                <color rgb="FFFF0000"/>
              </font>
            </x14:dxf>
          </x14:cfRule>
          <xm:sqref>C34:C43</xm:sqref>
        </x14:conditionalFormatting>
        <x14:conditionalFormatting xmlns:xm="http://schemas.microsoft.com/office/excel/2006/main">
          <x14:cfRule type="expression" priority="2871" id="{CBDC9051-9D51-476B-8772-6E75FC568577}">
            <xm:f>'TC1'!#REF!="Speak"</xm:f>
            <x14:dxf>
              <font>
                <b/>
                <i val="0"/>
                <color rgb="FFFF0000"/>
              </font>
            </x14:dxf>
          </x14:cfRule>
          <xm:sqref>C17:C33</xm:sqref>
        </x14:conditionalFormatting>
        <x14:conditionalFormatting xmlns:xm="http://schemas.microsoft.com/office/excel/2006/main">
          <x14:cfRule type="containsText" priority="2875" operator="containsText" text="DB" id="{34D5D391-E95E-41B0-81C6-E4D8F0014923}">
            <xm:f>NOT(ISERROR(SEARCH("DB",'TC1'!E16)))</xm:f>
            <x14:dxf>
              <font>
                <color rgb="FF006100"/>
              </font>
              <fill>
                <patternFill>
                  <bgColor rgb="FFC6EFCE"/>
                </patternFill>
              </fill>
            </x14:dxf>
          </x14:cfRule>
          <x14:cfRule type="containsText" priority="2876" operator="containsText" text="WEB SERVICE" id="{D21DA779-0858-4343-9FAF-CCC7B5C4BD49}">
            <xm:f>NOT(ISERROR(SEARCH("WEB SERVICE",'TC1'!E16)))</xm:f>
            <x14:dxf>
              <font>
                <color rgb="FF9C0006"/>
              </font>
              <fill>
                <patternFill>
                  <bgColor rgb="FFFFC7CE"/>
                </patternFill>
              </fill>
            </x14:dxf>
          </x14:cfRule>
          <xm:sqref>E34:E43</xm:sqref>
        </x14:conditionalFormatting>
        <x14:conditionalFormatting xmlns:xm="http://schemas.microsoft.com/office/excel/2006/main">
          <x14:cfRule type="containsText" priority="2877" operator="containsText" text="DB" id="{34D5D391-E95E-41B0-81C6-E4D8F0014923}">
            <xm:f>NOT(ISERROR(SEARCH("DB",'TC1'!#REF!)))</xm:f>
            <x14:dxf>
              <font>
                <color rgb="FF006100"/>
              </font>
              <fill>
                <patternFill>
                  <bgColor rgb="FFC6EFCE"/>
                </patternFill>
              </fill>
            </x14:dxf>
          </x14:cfRule>
          <x14:cfRule type="containsText" priority="2878" operator="containsText" text="WEB SERVICE" id="{D21DA779-0858-4343-9FAF-CCC7B5C4BD49}">
            <xm:f>NOT(ISERROR(SEARCH("WEB SERVICE",'TC1'!#REF!)))</xm:f>
            <x14:dxf>
              <font>
                <color rgb="FF9C0006"/>
              </font>
              <fill>
                <patternFill>
                  <bgColor rgb="FFFFC7CE"/>
                </patternFill>
              </fill>
            </x14:dxf>
          </x14:cfRule>
          <xm:sqref>E17:E33</xm:sqref>
        </x14:conditionalFormatting>
        <x14:conditionalFormatting xmlns:xm="http://schemas.microsoft.com/office/excel/2006/main">
          <x14:cfRule type="expression" priority="5515" id="{A6D59E06-744D-4524-8D94-26D482F9F0E3}">
            <xm:f>'TC1'!$B9="HANGUP"</xm:f>
            <x14:dxf>
              <font>
                <b/>
                <i val="0"/>
              </font>
            </x14:dxf>
          </x14:cfRule>
          <x14:cfRule type="expression" priority="5516" id="{5EFBFA74-F2BC-4C1E-84E1-ABD1EEC35C3E}">
            <xm:f>'TC1'!$B9="Dial"</xm:f>
            <x14:dxf>
              <font>
                <b/>
                <i val="0"/>
                <color rgb="FFFF0000"/>
              </font>
            </x14:dxf>
          </x14:cfRule>
          <xm:sqref>C12:C15</xm:sqref>
        </x14:conditionalFormatting>
        <x14:conditionalFormatting xmlns:xm="http://schemas.microsoft.com/office/excel/2006/main">
          <x14:cfRule type="expression" priority="5517" id="{A6D59E06-744D-4524-8D94-26D482F9F0E3}">
            <xm:f>'TC1'!#REF!="HANGUP"</xm:f>
            <x14:dxf>
              <font>
                <b/>
                <i val="0"/>
              </font>
            </x14:dxf>
          </x14:cfRule>
          <x14:cfRule type="expression" priority="5518" id="{5EFBFA74-F2BC-4C1E-84E1-ABD1EEC35C3E}">
            <xm:f>'TC1'!#REF!="Dial"</xm:f>
            <x14:dxf>
              <font>
                <b/>
                <i val="0"/>
                <color rgb="FFFF0000"/>
              </font>
            </x14:dxf>
          </x14:cfRule>
          <xm:sqref>C9:C11</xm:sqref>
        </x14:conditionalFormatting>
        <x14:conditionalFormatting xmlns:xm="http://schemas.microsoft.com/office/excel/2006/main">
          <x14:cfRule type="expression" priority="5522" id="{CBDC9051-9D51-476B-8772-6E75FC568577}">
            <xm:f>'TC1'!$B9="Speak"</xm:f>
            <x14:dxf>
              <font>
                <b/>
                <i val="0"/>
                <color rgb="FFFF0000"/>
              </font>
            </x14:dxf>
          </x14:cfRule>
          <xm:sqref>C12:C15</xm:sqref>
        </x14:conditionalFormatting>
        <x14:conditionalFormatting xmlns:xm="http://schemas.microsoft.com/office/excel/2006/main">
          <x14:cfRule type="expression" priority="5523" id="{CBDC9051-9D51-476B-8772-6E75FC568577}">
            <xm:f>'TC1'!#REF!="Speak"</xm:f>
            <x14:dxf>
              <font>
                <b/>
                <i val="0"/>
                <color rgb="FFFF0000"/>
              </font>
            </x14:dxf>
          </x14:cfRule>
          <xm:sqref>C9:C11</xm:sqref>
        </x14:conditionalFormatting>
        <x14:conditionalFormatting xmlns:xm="http://schemas.microsoft.com/office/excel/2006/main">
          <x14:cfRule type="containsText" priority="5525" operator="containsText" text="DB" id="{34D5D391-E95E-41B0-81C6-E4D8F0014923}">
            <xm:f>NOT(ISERROR(SEARCH("DB",'TC1'!#REF!)))</xm:f>
            <x14:dxf>
              <font>
                <color rgb="FF006100"/>
              </font>
              <fill>
                <patternFill>
                  <bgColor rgb="FFC6EFCE"/>
                </patternFill>
              </fill>
            </x14:dxf>
          </x14:cfRule>
          <x14:cfRule type="containsText" priority="5526" operator="containsText" text="WEB SERVICE" id="{D21DA779-0858-4343-9FAF-CCC7B5C4BD49}">
            <xm:f>NOT(ISERROR(SEARCH("WEB SERVICE",'TC1'!#REF!)))</xm:f>
            <x14:dxf>
              <font>
                <color rgb="FF9C0006"/>
              </font>
              <fill>
                <patternFill>
                  <bgColor rgb="FFFFC7CE"/>
                </patternFill>
              </fill>
            </x14:dxf>
          </x14:cfRule>
          <xm:sqref>E9:E11</xm:sqref>
        </x14:conditionalFormatting>
        <x14:conditionalFormatting xmlns:xm="http://schemas.microsoft.com/office/excel/2006/main">
          <x14:cfRule type="containsText" priority="5527" operator="containsText" text="DB" id="{34D5D391-E95E-41B0-81C6-E4D8F0014923}">
            <xm:f>NOT(ISERROR(SEARCH("DB",'TC1'!E9)))</xm:f>
            <x14:dxf>
              <font>
                <color rgb="FF006100"/>
              </font>
              <fill>
                <patternFill>
                  <bgColor rgb="FFC6EFCE"/>
                </patternFill>
              </fill>
            </x14:dxf>
          </x14:cfRule>
          <x14:cfRule type="containsText" priority="5528" operator="containsText" text="WEB SERVICE" id="{D21DA779-0858-4343-9FAF-CCC7B5C4BD49}">
            <xm:f>NOT(ISERROR(SEARCH("WEB SERVICE",'TC1'!E9)))</xm:f>
            <x14:dxf>
              <font>
                <color rgb="FF9C0006"/>
              </font>
              <fill>
                <patternFill>
                  <bgColor rgb="FFFFC7CE"/>
                </patternFill>
              </fill>
            </x14:dxf>
          </x14:cfRule>
          <xm:sqref>E12:E15</xm:sqref>
        </x14:conditionalFormatting>
        <x14:conditionalFormatting xmlns:xm="http://schemas.microsoft.com/office/excel/2006/main">
          <x14:cfRule type="expression" priority="7775" id="{A6D59E06-744D-4524-8D94-26D482F9F0E3}">
            <xm:f>'TC1'!$B15="HANGUP"</xm:f>
            <x14:dxf>
              <font>
                <b/>
                <i val="0"/>
              </font>
            </x14:dxf>
          </x14:cfRule>
          <x14:cfRule type="expression" priority="7776" id="{5EFBFA74-F2BC-4C1E-84E1-ABD1EEC35C3E}">
            <xm:f>'TC1'!$B15="Dial"</xm:f>
            <x14:dxf>
              <font>
                <b/>
                <i val="0"/>
                <color rgb="FFFF0000"/>
              </font>
            </x14:dxf>
          </x14:cfRule>
          <xm:sqref>C16</xm:sqref>
        </x14:conditionalFormatting>
        <x14:conditionalFormatting xmlns:xm="http://schemas.microsoft.com/office/excel/2006/main">
          <x14:cfRule type="expression" priority="7778" id="{CBDC9051-9D51-476B-8772-6E75FC568577}">
            <xm:f>'TC1'!$B15="Speak"</xm:f>
            <x14:dxf>
              <font>
                <b/>
                <i val="0"/>
                <color rgb="FFFF0000"/>
              </font>
            </x14:dxf>
          </x14:cfRule>
          <xm:sqref>C16</xm:sqref>
        </x14:conditionalFormatting>
        <x14:conditionalFormatting xmlns:xm="http://schemas.microsoft.com/office/excel/2006/main">
          <x14:cfRule type="containsText" priority="7781" operator="containsText" text="DB" id="{34D5D391-E95E-41B0-81C6-E4D8F0014923}">
            <xm:f>NOT(ISERROR(SEARCH("DB",'TC1'!E15)))</xm:f>
            <x14:dxf>
              <font>
                <color rgb="FF006100"/>
              </font>
              <fill>
                <patternFill>
                  <bgColor rgb="FFC6EFCE"/>
                </patternFill>
              </fill>
            </x14:dxf>
          </x14:cfRule>
          <x14:cfRule type="containsText" priority="7782" operator="containsText" text="WEB SERVICE" id="{D21DA779-0858-4343-9FAF-CCC7B5C4BD49}">
            <xm:f>NOT(ISERROR(SEARCH("WEB SERVICE",'TC1'!E15)))</xm:f>
            <x14:dxf>
              <font>
                <color rgb="FF9C0006"/>
              </font>
              <fill>
                <patternFill>
                  <bgColor rgb="FFFFC7CE"/>
                </patternFill>
              </fill>
            </x14:dxf>
          </x14:cfRule>
          <xm:sqref>E16</xm:sqref>
        </x14:conditionalFormatting>
        <x14:conditionalFormatting xmlns:xm="http://schemas.microsoft.com/office/excel/2006/main">
          <x14:cfRule type="containsText" priority="10434" operator="containsText" text="Hear" id="{9E47425B-531D-4AB3-8D64-E56FC6E1EDBB}">
            <xm:f>NOT(ISERROR(SEARCH("Hear",'TC26'!#REF!)))</xm:f>
            <x14:dxf>
              <font>
                <color theme="9" tint="-0.24994659260841701"/>
              </font>
              <fill>
                <patternFill>
                  <bgColor theme="9" tint="0.59996337778862885"/>
                </patternFill>
              </fill>
            </x14:dxf>
          </x14:cfRule>
          <xm:sqref>B39</xm:sqref>
        </x14:conditionalFormatting>
      </x14:conditionalFormattings>
    </ext>
  </extLst>
</worksheet>
</file>

<file path=xl/worksheets/sheet1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300-000000000000}">
  <sheetPr codeName="Sheet133"/>
  <dimension ref="A1:E44"/>
  <sheetViews>
    <sheetView zoomScaleNormal="100" workbookViewId="0">
      <selection sqref="A1:E44"/>
    </sheetView>
  </sheetViews>
  <sheetFormatPr defaultRowHeight="14.5" x14ac:dyDescent="0.35"/>
  <cols>
    <col min="1" max="1" width="14.453125" bestFit="1" customWidth="1"/>
    <col min="2" max="2" width="42.6328125" customWidth="1"/>
    <col min="3" max="3" width="106.1796875" customWidth="1"/>
    <col min="4" max="4" width="21.81640625" bestFit="1" customWidth="1"/>
    <col min="5" max="5" width="20.6328125" customWidth="1"/>
  </cols>
  <sheetData>
    <row r="1" spans="1:5" ht="18.5" x14ac:dyDescent="0.35">
      <c r="A1" s="192" t="s">
        <v>4</v>
      </c>
      <c r="B1" s="192"/>
      <c r="C1" s="105"/>
      <c r="D1" s="111"/>
      <c r="E1" s="97"/>
    </row>
    <row r="2" spans="1:5" x14ac:dyDescent="0.35">
      <c r="A2" s="106" t="s">
        <v>5</v>
      </c>
      <c r="B2" s="107" t="str">
        <f ca="1">MID(CELL("filename",A1),FIND("]",CELL("filename",A1))+1,LEN(CELL("filename",A1))-FIND("]",CELL("filename",A1)))</f>
        <v>TC131</v>
      </c>
      <c r="C2" s="98"/>
      <c r="D2" s="111"/>
      <c r="E2" s="97"/>
    </row>
    <row r="3" spans="1:5" x14ac:dyDescent="0.35">
      <c r="A3" s="104" t="s">
        <v>19</v>
      </c>
      <c r="B3" s="112" t="e">
        <f ca="1">VLOOKUP(B2,Table53[#All],2,FALSE)</f>
        <v>#N/A</v>
      </c>
      <c r="C3" s="98"/>
      <c r="D3" s="111"/>
      <c r="E3" s="97"/>
    </row>
    <row r="4" spans="1:5" ht="29" x14ac:dyDescent="0.35">
      <c r="A4" s="113" t="s">
        <v>20</v>
      </c>
      <c r="B4" s="99" t="e">
        <f ca="1">VLOOKUP(B2,Table53[#All],4,FALSE)</f>
        <v>#N/A</v>
      </c>
      <c r="C4" s="98"/>
      <c r="D4" s="111"/>
      <c r="E4" s="97"/>
    </row>
    <row r="5" spans="1:5" x14ac:dyDescent="0.35">
      <c r="A5" s="104" t="s">
        <v>6</v>
      </c>
      <c r="B5" s="77" t="e">
        <f ca="1">VLOOKUP(B2,Table53[#All],3,FALSE)</f>
        <v>#N/A</v>
      </c>
      <c r="C5" s="98"/>
      <c r="D5" s="111"/>
      <c r="E5" s="97"/>
    </row>
    <row r="6" spans="1:5" x14ac:dyDescent="0.35">
      <c r="A6" s="97"/>
      <c r="B6" s="97"/>
      <c r="C6" s="98"/>
      <c r="D6" s="111"/>
      <c r="E6" s="97"/>
    </row>
    <row r="7" spans="1:5" ht="15.5" x14ac:dyDescent="0.35">
      <c r="A7" s="100" t="s">
        <v>7</v>
      </c>
      <c r="B7" s="101" t="s">
        <v>8</v>
      </c>
      <c r="C7" s="102" t="s">
        <v>9</v>
      </c>
      <c r="D7" s="102" t="s">
        <v>14</v>
      </c>
      <c r="E7" s="103" t="s">
        <v>10</v>
      </c>
    </row>
    <row r="8" spans="1:5" x14ac:dyDescent="0.35">
      <c r="A8" s="118">
        <v>1</v>
      </c>
      <c r="B8" s="114" t="s">
        <v>114</v>
      </c>
      <c r="C8" s="109" t="s">
        <v>125</v>
      </c>
      <c r="D8" s="128"/>
      <c r="E8" s="125" t="s">
        <v>11</v>
      </c>
    </row>
    <row r="9" spans="1:5" x14ac:dyDescent="0.35">
      <c r="A9" s="118">
        <v>2</v>
      </c>
      <c r="B9" s="114" t="s">
        <v>12</v>
      </c>
      <c r="C9" s="109" t="e">
        <f>VLOOKUP(Table257519913140106110151155170[[#This Row],[PEG]],Table1016[#All],2,FALSE)</f>
        <v>#N/A</v>
      </c>
      <c r="D9" s="128"/>
      <c r="E9" s="125" t="e">
        <f>VLOOKUP(Table257519913140106110151155170[[#This Row],[PEG]],Table1016[#All],3,FALSE)</f>
        <v>#N/A</v>
      </c>
    </row>
    <row r="10" spans="1:5" x14ac:dyDescent="0.35">
      <c r="A10" s="118">
        <v>3</v>
      </c>
      <c r="B10" s="114" t="s">
        <v>115</v>
      </c>
      <c r="C10" s="109" t="e">
        <f>VLOOKUP(Table257519913140106110151155170[[#This Row],[PEG]],Table1016[#All],2,FALSE)</f>
        <v>#N/A</v>
      </c>
      <c r="D10" s="128"/>
      <c r="E10" s="125" t="e">
        <f>VLOOKUP(Table257519913140106110151155170[[#This Row],[PEG]],Table1016[#All],3,FALSE)</f>
        <v>#N/A</v>
      </c>
    </row>
    <row r="11" spans="1:5" x14ac:dyDescent="0.35">
      <c r="A11" s="118">
        <v>4</v>
      </c>
      <c r="B11" s="114" t="s">
        <v>115</v>
      </c>
      <c r="C11" s="109" t="e">
        <f>VLOOKUP(Table257519913140106110151155170[[#This Row],[PEG]],Table1016[#All],2,FALSE)</f>
        <v>#N/A</v>
      </c>
      <c r="D11" s="128"/>
      <c r="E11" s="125" t="e">
        <f>VLOOKUP(Table257519913140106110151155170[[#This Row],[PEG]],Table1016[#All],3,FALSE)</f>
        <v>#N/A</v>
      </c>
    </row>
    <row r="12" spans="1:5" x14ac:dyDescent="0.35">
      <c r="A12" s="118">
        <v>5</v>
      </c>
      <c r="B12" s="114" t="s">
        <v>114</v>
      </c>
      <c r="C12" s="109" t="e">
        <f>VLOOKUP(Table257519913140106110151155170[[#This Row],[PEG]],Table1016[#All],2,FALSE)</f>
        <v>#N/A</v>
      </c>
      <c r="D12" s="128"/>
      <c r="E12" s="125" t="e">
        <f>VLOOKUP(Table257519913140106110151155170[[#This Row],[PEG]],Table1016[#All],3,FALSE)</f>
        <v>#N/A</v>
      </c>
    </row>
    <row r="13" spans="1:5" x14ac:dyDescent="0.35">
      <c r="A13" s="118">
        <v>6</v>
      </c>
      <c r="B13" s="114" t="s">
        <v>115</v>
      </c>
      <c r="C13" s="109" t="e">
        <f>VLOOKUP(Table257519913140106110151155170[[#This Row],[PEG]],Table1016[#All],2,FALSE)</f>
        <v>#N/A</v>
      </c>
      <c r="D13" s="128"/>
      <c r="E13" s="125" t="e">
        <f>VLOOKUP(Table257519913140106110151155170[[#This Row],[PEG]],Table1016[#All],3,FALSE)</f>
        <v>#N/A</v>
      </c>
    </row>
    <row r="14" spans="1:5" x14ac:dyDescent="0.35">
      <c r="A14" s="118">
        <v>7</v>
      </c>
      <c r="B14" s="114" t="s">
        <v>114</v>
      </c>
      <c r="C14" s="109" t="e">
        <f>VLOOKUP(Table257519913140106110151155170[[#This Row],[PEG]],Table1016[#All],2,FALSE)</f>
        <v>#N/A</v>
      </c>
      <c r="D14" s="128"/>
      <c r="E14" s="125" t="e">
        <f>VLOOKUP(Table257519913140106110151155170[[#This Row],[PEG]],Table1016[#All],3,FALSE)</f>
        <v>#N/A</v>
      </c>
    </row>
    <row r="15" spans="1:5" x14ac:dyDescent="0.35">
      <c r="A15" s="118">
        <v>8</v>
      </c>
      <c r="B15" s="114" t="s">
        <v>115</v>
      </c>
      <c r="C15" s="109" t="e">
        <f>VLOOKUP(Table257519913140106110151155170[[#This Row],[PEG]],Table1016[#All],2,FALSE)</f>
        <v>#N/A</v>
      </c>
      <c r="D15" s="116"/>
      <c r="E15" s="125" t="e">
        <f>VLOOKUP(Table257519913140106110151155170[[#This Row],[PEG]],Table1016[#All],3,FALSE)</f>
        <v>#N/A</v>
      </c>
    </row>
    <row r="16" spans="1:5" x14ac:dyDescent="0.35">
      <c r="A16" s="118">
        <v>9</v>
      </c>
      <c r="B16" s="114" t="s">
        <v>12</v>
      </c>
      <c r="C16" s="109" t="e">
        <f>VLOOKUP(Table257519913140106110151155170[[#This Row],[PEG]],Table1016[#All],2,FALSE)</f>
        <v>#N/A</v>
      </c>
      <c r="D16" s="116"/>
      <c r="E16" s="125" t="e">
        <f>VLOOKUP(Table257519913140106110151155170[[#This Row],[PEG]],Table1016[#All],3,FALSE)</f>
        <v>#N/A</v>
      </c>
    </row>
    <row r="17" spans="1:5" x14ac:dyDescent="0.35">
      <c r="A17" s="118">
        <v>10</v>
      </c>
      <c r="B17" s="114" t="s">
        <v>12</v>
      </c>
      <c r="C17" s="109" t="e">
        <f>VLOOKUP(Table257519913140106110151155170[[#This Row],[PEG]],Table1016[#All],2,FALSE)</f>
        <v>#N/A</v>
      </c>
      <c r="D17" s="117"/>
      <c r="E17" s="125" t="e">
        <f>VLOOKUP(Table257519913140106110151155170[[#This Row],[PEG]],Table1016[#All],3,FALSE)</f>
        <v>#N/A</v>
      </c>
    </row>
    <row r="18" spans="1:5" x14ac:dyDescent="0.35">
      <c r="A18" s="118">
        <v>11</v>
      </c>
      <c r="B18" s="114" t="s">
        <v>115</v>
      </c>
      <c r="C18" s="109" t="e">
        <f>VLOOKUP(Table257519913140106110151155170[[#This Row],[PEG]],Table1016[#All],2,FALSE)</f>
        <v>#N/A</v>
      </c>
      <c r="D18" s="117"/>
      <c r="E18" s="125" t="e">
        <f>VLOOKUP(Table257519913140106110151155170[[#This Row],[PEG]],Table1016[#All],3,FALSE)</f>
        <v>#N/A</v>
      </c>
    </row>
    <row r="19" spans="1:5" x14ac:dyDescent="0.35">
      <c r="A19" s="118">
        <v>12</v>
      </c>
      <c r="B19" s="114" t="s">
        <v>115</v>
      </c>
      <c r="C19" s="109" t="e">
        <f>VLOOKUP(Table257519913140106110151155170[[#This Row],[PEG]],Table1016[#All],2,FALSE)</f>
        <v>#N/A</v>
      </c>
      <c r="D19" s="117"/>
      <c r="E19" s="125" t="e">
        <f>VLOOKUP(Table257519913140106110151155170[[#This Row],[PEG]],Table1016[#All],3,FALSE)</f>
        <v>#N/A</v>
      </c>
    </row>
    <row r="20" spans="1:5" x14ac:dyDescent="0.35">
      <c r="A20" s="118">
        <v>13</v>
      </c>
      <c r="B20" s="114" t="s">
        <v>114</v>
      </c>
      <c r="C20" s="109" t="e">
        <f>VLOOKUP(Table257519913140106110151155170[[#This Row],[PEG]],Table1016[#All],2,FALSE)</f>
        <v>#N/A</v>
      </c>
      <c r="D20" s="117"/>
      <c r="E20" s="125" t="e">
        <f>VLOOKUP(Table257519913140106110151155170[[#This Row],[PEG]],Table1016[#All],3,FALSE)</f>
        <v>#N/A</v>
      </c>
    </row>
    <row r="21" spans="1:5" x14ac:dyDescent="0.35">
      <c r="A21" s="118">
        <v>14</v>
      </c>
      <c r="B21" s="114" t="s">
        <v>12</v>
      </c>
      <c r="C21" s="109" t="e">
        <f>VLOOKUP(Table257519913140106110151155170[[#This Row],[PEG]],Table1016[#All],2,FALSE)</f>
        <v>#N/A</v>
      </c>
      <c r="D21" s="117"/>
      <c r="E21" s="125" t="e">
        <f>VLOOKUP(Table257519913140106110151155170[[#This Row],[PEG]],Table1016[#All],3,FALSE)</f>
        <v>#N/A</v>
      </c>
    </row>
    <row r="22" spans="1:5" x14ac:dyDescent="0.35">
      <c r="A22" s="118">
        <v>15</v>
      </c>
      <c r="B22" s="114" t="s">
        <v>12</v>
      </c>
      <c r="C22" s="109" t="e">
        <f>VLOOKUP(Table257519913140106110151155170[[#This Row],[PEG]],Table1016[#All],2,FALSE)</f>
        <v>#N/A</v>
      </c>
      <c r="D22" s="117"/>
      <c r="E22" s="125" t="e">
        <f>VLOOKUP(Table257519913140106110151155170[[#This Row],[PEG]],Table1016[#All],3,FALSE)</f>
        <v>#N/A</v>
      </c>
    </row>
    <row r="23" spans="1:5" x14ac:dyDescent="0.35">
      <c r="A23" s="118">
        <v>16</v>
      </c>
      <c r="B23" s="114" t="s">
        <v>115</v>
      </c>
      <c r="C23" s="109" t="e">
        <f>VLOOKUP(Table257519913140106110151155170[[#This Row],[PEG]],Table1016[#All],2,FALSE)</f>
        <v>#N/A</v>
      </c>
      <c r="D23" s="117"/>
      <c r="E23" s="125" t="e">
        <f>VLOOKUP(Table257519913140106110151155170[[#This Row],[PEG]],Table1016[#All],3,FALSE)</f>
        <v>#N/A</v>
      </c>
    </row>
    <row r="24" spans="1:5" x14ac:dyDescent="0.35">
      <c r="A24" s="118">
        <v>17</v>
      </c>
      <c r="B24" s="114" t="s">
        <v>114</v>
      </c>
      <c r="C24" s="109" t="e">
        <f>VLOOKUP(Table257519913140106110151155170[[#This Row],[PEG]],Table1016[#All],2,FALSE)</f>
        <v>#N/A</v>
      </c>
      <c r="D24" s="117"/>
      <c r="E24" s="125" t="e">
        <f>VLOOKUP(Table257519913140106110151155170[[#This Row],[PEG]],Table1016[#All],3,FALSE)</f>
        <v>#N/A</v>
      </c>
    </row>
    <row r="25" spans="1:5" x14ac:dyDescent="0.35">
      <c r="A25" s="118">
        <v>18</v>
      </c>
      <c r="B25" s="114" t="s">
        <v>12</v>
      </c>
      <c r="C25" s="109" t="e">
        <f>VLOOKUP(Table257519913140106110151155170[[#This Row],[PEG]],Table1016[#All],2,FALSE)</f>
        <v>#N/A</v>
      </c>
      <c r="D25" s="117"/>
      <c r="E25" s="125" t="e">
        <f>VLOOKUP(Table257519913140106110151155170[[#This Row],[PEG]],Table1016[#All],3,FALSE)</f>
        <v>#N/A</v>
      </c>
    </row>
    <row r="26" spans="1:5" x14ac:dyDescent="0.35">
      <c r="A26" s="118">
        <v>19</v>
      </c>
      <c r="B26" s="114" t="s">
        <v>12</v>
      </c>
      <c r="C26" s="109" t="e">
        <f>VLOOKUP(Table257519913140106110151155170[[#This Row],[PEG]],Table1016[#All],2,FALSE)</f>
        <v>#N/A</v>
      </c>
      <c r="D26" s="117"/>
      <c r="E26" s="125" t="e">
        <f>VLOOKUP(Table257519913140106110151155170[[#This Row],[PEG]],Table1016[#All],3,FALSE)</f>
        <v>#N/A</v>
      </c>
    </row>
    <row r="27" spans="1:5" x14ac:dyDescent="0.35">
      <c r="A27" s="118">
        <v>20</v>
      </c>
      <c r="B27" s="114" t="s">
        <v>115</v>
      </c>
      <c r="C27" s="109" t="e">
        <f>VLOOKUP(Table257519913140106110151155170[[#This Row],[PEG]],Table1016[#All],2,FALSE)</f>
        <v>#N/A</v>
      </c>
      <c r="D27" s="117"/>
      <c r="E27" s="125" t="e">
        <f>VLOOKUP(Table257519913140106110151155170[[#This Row],[PEG]],Table1016[#All],3,FALSE)</f>
        <v>#N/A</v>
      </c>
    </row>
    <row r="28" spans="1:5" x14ac:dyDescent="0.35">
      <c r="A28" s="118">
        <v>21</v>
      </c>
      <c r="B28" s="114" t="s">
        <v>114</v>
      </c>
      <c r="C28" s="109" t="e">
        <f>VLOOKUP(Table257519913140106110151155170[[#This Row],[PEG]],Table1016[#All],2,FALSE)</f>
        <v>#N/A</v>
      </c>
      <c r="D28" s="117"/>
      <c r="E28" s="125" t="e">
        <f>VLOOKUP(Table257519913140106110151155170[[#This Row],[PEG]],Table1016[#All],3,FALSE)</f>
        <v>#N/A</v>
      </c>
    </row>
    <row r="29" spans="1:5" x14ac:dyDescent="0.35">
      <c r="A29" s="118">
        <v>22</v>
      </c>
      <c r="B29" s="114" t="s">
        <v>12</v>
      </c>
      <c r="C29" s="109" t="e">
        <f>VLOOKUP(Table257519913140106110151155170[[#This Row],[PEG]],Table1016[#All],2,FALSE)</f>
        <v>#N/A</v>
      </c>
      <c r="D29" s="117"/>
      <c r="E29" s="125" t="e">
        <f>VLOOKUP(Table257519913140106110151155170[[#This Row],[PEG]],Table1016[#All],3,FALSE)</f>
        <v>#N/A</v>
      </c>
    </row>
    <row r="30" spans="1:5" x14ac:dyDescent="0.35">
      <c r="A30" s="118">
        <v>23</v>
      </c>
      <c r="B30" s="114" t="s">
        <v>12</v>
      </c>
      <c r="C30" s="109" t="e">
        <f>VLOOKUP(Table257519913140106110151155170[[#This Row],[PEG]],Table1016[#All],2,FALSE)</f>
        <v>#N/A</v>
      </c>
      <c r="D30" s="117"/>
      <c r="E30" s="125" t="e">
        <f>VLOOKUP(Table257519913140106110151155170[[#This Row],[PEG]],Table1016[#All],3,FALSE)</f>
        <v>#N/A</v>
      </c>
    </row>
    <row r="31" spans="1:5" x14ac:dyDescent="0.35">
      <c r="A31" s="118">
        <v>24</v>
      </c>
      <c r="B31" s="114" t="s">
        <v>115</v>
      </c>
      <c r="C31" s="109" t="e">
        <f>VLOOKUP(Table257519913140106110151155170[[#This Row],[PEG]],Table1016[#All],2,FALSE)</f>
        <v>#N/A</v>
      </c>
      <c r="D31" s="117"/>
      <c r="E31" s="125" t="e">
        <f>VLOOKUP(Table257519913140106110151155170[[#This Row],[PEG]],Table1016[#All],3,FALSE)</f>
        <v>#N/A</v>
      </c>
    </row>
    <row r="32" spans="1:5" x14ac:dyDescent="0.35">
      <c r="A32" s="118">
        <v>25</v>
      </c>
      <c r="B32" s="114" t="s">
        <v>115</v>
      </c>
      <c r="C32" s="109" t="e">
        <f>VLOOKUP(Table257519913140106110151155170[[#This Row],[PEG]],Table1016[#All],2,FALSE)</f>
        <v>#N/A</v>
      </c>
      <c r="D32" s="117"/>
      <c r="E32" s="125" t="e">
        <f>VLOOKUP(Table257519913140106110151155170[[#This Row],[PEG]],Table1016[#All],3,FALSE)</f>
        <v>#N/A</v>
      </c>
    </row>
    <row r="33" spans="1:5" x14ac:dyDescent="0.35">
      <c r="A33" s="118">
        <v>26</v>
      </c>
      <c r="B33" s="114" t="s">
        <v>124</v>
      </c>
      <c r="C33" s="109" t="e">
        <f>VLOOKUP(Table257519913140106110151155170[[#This Row],[PEG]],Table1016[#All],2,FALSE)</f>
        <v>#N/A</v>
      </c>
      <c r="D33" s="117"/>
      <c r="E33" s="125" t="e">
        <f>VLOOKUP(Table257519913140106110151155170[[#This Row],[PEG]],Table1016[#All],3,FALSE)</f>
        <v>#N/A</v>
      </c>
    </row>
    <row r="34" spans="1:5" x14ac:dyDescent="0.35">
      <c r="A34" s="118">
        <v>27</v>
      </c>
      <c r="B34" s="114" t="s">
        <v>115</v>
      </c>
      <c r="C34" s="109" t="e">
        <f>VLOOKUP(Table257519913140106110151155170[[#This Row],[PEG]],Table1016[#All],2,FALSE)</f>
        <v>#N/A</v>
      </c>
      <c r="D34" s="117"/>
      <c r="E34" s="125" t="e">
        <f>VLOOKUP(Table257519913140106110151155170[[#This Row],[PEG]],Table1016[#All],3,FALSE)</f>
        <v>#N/A</v>
      </c>
    </row>
    <row r="35" spans="1:5" x14ac:dyDescent="0.35">
      <c r="A35" s="118">
        <v>28</v>
      </c>
      <c r="B35" s="114" t="s">
        <v>124</v>
      </c>
      <c r="C35" s="109" t="e">
        <f>VLOOKUP(Table257519913140106110151155170[[#This Row],[PEG]],Table1016[#All],2,FALSE)</f>
        <v>#N/A</v>
      </c>
      <c r="D35" s="117"/>
      <c r="E35" s="125" t="e">
        <f>VLOOKUP(Table257519913140106110151155170[[#This Row],[PEG]],Table1016[#All],3,FALSE)</f>
        <v>#N/A</v>
      </c>
    </row>
    <row r="36" spans="1:5" x14ac:dyDescent="0.35">
      <c r="A36" s="118">
        <v>29</v>
      </c>
      <c r="B36" s="114" t="s">
        <v>115</v>
      </c>
      <c r="C36" s="109" t="e">
        <f>VLOOKUP(Table257519913140106110151155170[[#This Row],[PEG]],Table1016[#All],2,FALSE)</f>
        <v>#N/A</v>
      </c>
      <c r="D36" s="117"/>
      <c r="E36" s="125" t="e">
        <f>VLOOKUP(Table257519913140106110151155170[[#This Row],[PEG]],Table1016[#All],3,FALSE)</f>
        <v>#N/A</v>
      </c>
    </row>
    <row r="37" spans="1:5" x14ac:dyDescent="0.35">
      <c r="A37" s="118">
        <v>30</v>
      </c>
      <c r="B37" s="114" t="s">
        <v>12</v>
      </c>
      <c r="C37" s="109" t="e">
        <f>VLOOKUP(Table257519913140106110151155170[[#This Row],[PEG]],Table1016[#All],2,FALSE)</f>
        <v>#N/A</v>
      </c>
      <c r="D37" s="117"/>
      <c r="E37" s="125" t="e">
        <f>VLOOKUP(Table257519913140106110151155170[[#This Row],[PEG]],Table1016[#All],3,FALSE)</f>
        <v>#N/A</v>
      </c>
    </row>
    <row r="38" spans="1:5" x14ac:dyDescent="0.35">
      <c r="A38" s="118">
        <v>31</v>
      </c>
      <c r="B38" s="114" t="s">
        <v>12</v>
      </c>
      <c r="C38" s="109" t="e">
        <f>VLOOKUP(Table257519913140106110151155170[[#This Row],[PEG]],Table1016[#All],2,FALSE)</f>
        <v>#N/A</v>
      </c>
      <c r="D38" s="117"/>
      <c r="E38" s="125" t="e">
        <f>VLOOKUP(Table257519913140106110151155170[[#This Row],[PEG]],Table1016[#All],3,FALSE)</f>
        <v>#N/A</v>
      </c>
    </row>
    <row r="39" spans="1:5" x14ac:dyDescent="0.35">
      <c r="A39" s="118">
        <v>32</v>
      </c>
      <c r="B39" s="114" t="s">
        <v>12</v>
      </c>
      <c r="C39" s="109" t="e">
        <f>VLOOKUP(Table257519913140106110151155170[[#This Row],[PEG]],Table1016[#All],2,FALSE)</f>
        <v>#N/A</v>
      </c>
      <c r="D39" s="117"/>
      <c r="E39" s="125" t="e">
        <f>VLOOKUP(Table257519913140106110151155170[[#This Row],[PEG]],Table1016[#All],3,FALSE)</f>
        <v>#N/A</v>
      </c>
    </row>
    <row r="40" spans="1:5" x14ac:dyDescent="0.35">
      <c r="A40" s="118">
        <v>33</v>
      </c>
      <c r="B40" s="114" t="s">
        <v>12</v>
      </c>
      <c r="C40" s="109" t="e">
        <f>VLOOKUP(Table257519913140106110151155170[[#This Row],[PEG]],Table1016[#All],2,FALSE)</f>
        <v>#N/A</v>
      </c>
      <c r="D40" s="117"/>
      <c r="E40" s="125" t="e">
        <f>VLOOKUP(Table257519913140106110151155170[[#This Row],[PEG]],Table1016[#All],3,FALSE)</f>
        <v>#N/A</v>
      </c>
    </row>
    <row r="41" spans="1:5" x14ac:dyDescent="0.35">
      <c r="A41" s="118">
        <v>34</v>
      </c>
      <c r="B41" s="114" t="s">
        <v>115</v>
      </c>
      <c r="C41" s="109" t="e">
        <f>VLOOKUP(Table257519913140106110151155170[[#This Row],[PEG]],Table1016[#All],2,FALSE)</f>
        <v>#N/A</v>
      </c>
      <c r="D41" s="117"/>
      <c r="E41" s="125" t="e">
        <f>VLOOKUP(Table257519913140106110151155170[[#This Row],[PEG]],Table1016[#All],3,FALSE)</f>
        <v>#N/A</v>
      </c>
    </row>
    <row r="42" spans="1:5" x14ac:dyDescent="0.35">
      <c r="A42" s="118">
        <v>35</v>
      </c>
      <c r="B42" s="114" t="s">
        <v>12</v>
      </c>
      <c r="C42" s="109" t="e">
        <f>VLOOKUP(Table257519913140106110151155170[[#This Row],[PEG]],Table1016[#All],2,FALSE)</f>
        <v>#N/A</v>
      </c>
      <c r="D42" s="115"/>
      <c r="E42" s="125" t="e">
        <f>VLOOKUP(Table257519913140106110151155170[[#This Row],[PEG]],Table1016[#All],3,FALSE)</f>
        <v>#N/A</v>
      </c>
    </row>
    <row r="43" spans="1:5" x14ac:dyDescent="0.35">
      <c r="A43" s="118">
        <v>36</v>
      </c>
      <c r="B43" s="114" t="s">
        <v>115</v>
      </c>
      <c r="C43" s="109" t="e">
        <f>VLOOKUP(Table257519913140106110151155170[[#This Row],[PEG]],Table1016[#All],2,FALSE)</f>
        <v>#N/A</v>
      </c>
      <c r="D43" s="115"/>
      <c r="E43" s="125" t="e">
        <f>VLOOKUP(Table257519913140106110151155170[[#This Row],[PEG]],Table1016[#All],3,FALSE)</f>
        <v>#N/A</v>
      </c>
    </row>
    <row r="44" spans="1:5" x14ac:dyDescent="0.35">
      <c r="A44" s="118">
        <v>37</v>
      </c>
      <c r="B44" s="114" t="s">
        <v>13</v>
      </c>
      <c r="C44" s="18" t="s">
        <v>13</v>
      </c>
      <c r="D44" s="115"/>
      <c r="E44" s="32"/>
    </row>
  </sheetData>
  <mergeCells count="1">
    <mergeCell ref="A1:B1"/>
  </mergeCells>
  <conditionalFormatting sqref="B8:B18">
    <cfRule type="containsText" dxfId="1557" priority="1" operator="containsText" text="Hear">
      <formula>NOT(ISERROR(SEARCH("Hear",B8)))</formula>
    </cfRule>
  </conditionalFormatting>
  <conditionalFormatting sqref="B30">
    <cfRule type="containsText" dxfId="1556" priority="4" operator="containsText" text="Hear">
      <formula>NOT(ISERROR(SEARCH("Hear",B30)))</formula>
    </cfRule>
  </conditionalFormatting>
  <conditionalFormatting sqref="B43:B44">
    <cfRule type="containsText" dxfId="1555" priority="8" operator="containsText" text="Hear">
      <formula>NOT(ISERROR(SEARCH("Hear",B43)))</formula>
    </cfRule>
  </conditionalFormatting>
  <conditionalFormatting sqref="E44">
    <cfRule type="containsText" dxfId="1554" priority="6" operator="containsText" text="WEB SERVICE">
      <formula>NOT(ISERROR(SEARCH("WEB SERVICE",E44)))</formula>
    </cfRule>
    <cfRule type="containsText" dxfId="1553" priority="7" operator="containsText" text="DB">
      <formula>NOT(ISERROR(SEARCH("DB",E44)))</formula>
    </cfRule>
  </conditionalFormatting>
  <conditionalFormatting sqref="C44">
    <cfRule type="expression" dxfId="1552" priority="9">
      <formula>$B44="HANGUP"</formula>
    </cfRule>
    <cfRule type="expression" dxfId="1551" priority="9">
      <formula>$B44="Dial"</formula>
    </cfRule>
  </conditionalFormatting>
  <conditionalFormatting sqref="C44">
    <cfRule type="expression" dxfId="1550" priority="3">
      <formula>$B44="Speak"</formula>
    </cfRule>
  </conditionalFormatting>
  <conditionalFormatting sqref="B36:B38 B40:B41">
    <cfRule type="containsText" dxfId="1549" priority="10" operator="containsText" text="Hear">
      <formula>NOT(ISERROR(SEARCH("Hear",B36)))</formula>
    </cfRule>
  </conditionalFormatting>
  <conditionalFormatting sqref="B19:B29 B31:B35 B42">
    <cfRule type="containsText" dxfId="1548" priority="5" operator="containsText" text="Hear">
      <formula>NOT(ISERROR(SEARCH("Hear",B19)))</formula>
    </cfRule>
  </conditionalFormatting>
  <hyperlinks>
    <hyperlink ref="A1" location="'Test Case Overview'!A1" display="Return to Test Case Overview" xr:uid="{C7CF7C31-3DCF-400F-AA17-CBF1890A09EA}"/>
  </hyperlinks>
  <pageMargins left="0.7" right="0.7" top="0.75" bottom="0.75" header="0.3" footer="0.3"/>
  <pageSetup orientation="portrait" verticalDpi="0" r:id="rId1"/>
  <tableParts count="1">
    <tablePart r:id="rId2"/>
  </tableParts>
  <extLst>
    <ext xmlns:x14="http://schemas.microsoft.com/office/spreadsheetml/2009/9/main" uri="{78C0D931-6437-407d-A8EE-F0AAD7539E65}">
      <x14:conditionalFormattings>
        <x14:conditionalFormatting xmlns:xm="http://schemas.microsoft.com/office/excel/2006/main">
          <x14:cfRule type="expression" priority="2" id="{15C7E39B-B1B9-4234-B953-BDC038E62D68}">
            <xm:f>'TC1'!$B8="HANGUP"</xm:f>
            <x14:dxf>
              <font>
                <b/>
                <i val="0"/>
              </font>
            </x14:dxf>
          </x14:cfRule>
          <x14:cfRule type="expression" priority="11" id="{CF3F4BB7-9A4D-46FA-A4E7-47CE2A7FB822}">
            <xm:f>'TC1'!$B8="Dial"</xm:f>
            <x14:dxf>
              <font>
                <b/>
                <i val="0"/>
                <color rgb="FFFF0000"/>
              </font>
            </x14:dxf>
          </x14:cfRule>
          <xm:sqref>C8</xm:sqref>
        </x14:conditionalFormatting>
        <x14:conditionalFormatting xmlns:xm="http://schemas.microsoft.com/office/excel/2006/main">
          <x14:cfRule type="expression" priority="12" id="{31EB1E27-A0C3-4258-AF8C-76EBF711D3E9}">
            <xm:f>'TC1'!$B8="Speak"</xm:f>
            <x14:dxf>
              <font>
                <b/>
                <i val="0"/>
                <color rgb="FFFF0000"/>
              </font>
            </x14:dxf>
          </x14:cfRule>
          <xm:sqref>C8</xm:sqref>
        </x14:conditionalFormatting>
        <x14:conditionalFormatting xmlns:xm="http://schemas.microsoft.com/office/excel/2006/main">
          <x14:cfRule type="containsText" priority="15" operator="containsText" text="Hear" id="{C75B2B5C-ED36-4881-8FEB-048897039BBA}">
            <xm:f>NOT(ISERROR(SEARCH("Hear",'TC3'!B34)))</xm:f>
            <x14:dxf>
              <font>
                <color theme="9" tint="-0.24994659260841701"/>
              </font>
              <fill>
                <patternFill>
                  <bgColor theme="9" tint="0.59996337778862885"/>
                </patternFill>
              </fill>
            </x14:dxf>
          </x14:cfRule>
          <xm:sqref>B41</xm:sqref>
        </x14:conditionalFormatting>
        <x14:conditionalFormatting xmlns:xm="http://schemas.microsoft.com/office/excel/2006/main">
          <x14:cfRule type="expression" priority="2883" id="{15C7E39B-B1B9-4234-B953-BDC038E62D68}">
            <xm:f>'TC1'!$B16="HANGUP"</xm:f>
            <x14:dxf>
              <font>
                <b/>
                <i val="0"/>
              </font>
            </x14:dxf>
          </x14:cfRule>
          <x14:cfRule type="expression" priority="2884" id="{CF3F4BB7-9A4D-46FA-A4E7-47CE2A7FB822}">
            <xm:f>'TC1'!$B16="Dial"</xm:f>
            <x14:dxf>
              <font>
                <b/>
                <i val="0"/>
                <color rgb="FFFF0000"/>
              </font>
            </x14:dxf>
          </x14:cfRule>
          <xm:sqref>C34:C43</xm:sqref>
        </x14:conditionalFormatting>
        <x14:conditionalFormatting xmlns:xm="http://schemas.microsoft.com/office/excel/2006/main">
          <x14:cfRule type="expression" priority="2885" id="{15C7E39B-B1B9-4234-B953-BDC038E62D68}">
            <xm:f>'TC1'!#REF!="HANGUP"</xm:f>
            <x14:dxf>
              <font>
                <b/>
                <i val="0"/>
              </font>
            </x14:dxf>
          </x14:cfRule>
          <x14:cfRule type="expression" priority="2886" id="{CF3F4BB7-9A4D-46FA-A4E7-47CE2A7FB822}">
            <xm:f>'TC1'!#REF!="Dial"</xm:f>
            <x14:dxf>
              <font>
                <b/>
                <i val="0"/>
                <color rgb="FFFF0000"/>
              </font>
            </x14:dxf>
          </x14:cfRule>
          <xm:sqref>C17:C33</xm:sqref>
        </x14:conditionalFormatting>
        <x14:conditionalFormatting xmlns:xm="http://schemas.microsoft.com/office/excel/2006/main">
          <x14:cfRule type="expression" priority="2890" id="{31EB1E27-A0C3-4258-AF8C-76EBF711D3E9}">
            <xm:f>'TC1'!$B16="Speak"</xm:f>
            <x14:dxf>
              <font>
                <b/>
                <i val="0"/>
                <color rgb="FFFF0000"/>
              </font>
            </x14:dxf>
          </x14:cfRule>
          <xm:sqref>C34:C43</xm:sqref>
        </x14:conditionalFormatting>
        <x14:conditionalFormatting xmlns:xm="http://schemas.microsoft.com/office/excel/2006/main">
          <x14:cfRule type="expression" priority="2891" id="{31EB1E27-A0C3-4258-AF8C-76EBF711D3E9}">
            <xm:f>'TC1'!#REF!="Speak"</xm:f>
            <x14:dxf>
              <font>
                <b/>
                <i val="0"/>
                <color rgb="FFFF0000"/>
              </font>
            </x14:dxf>
          </x14:cfRule>
          <xm:sqref>C17:C33</xm:sqref>
        </x14:conditionalFormatting>
        <x14:conditionalFormatting xmlns:xm="http://schemas.microsoft.com/office/excel/2006/main">
          <x14:cfRule type="containsText" priority="2895" operator="containsText" text="DB" id="{678702C0-871A-4534-AC6E-32A13E434507}">
            <xm:f>NOT(ISERROR(SEARCH("DB",'TC1'!E16)))</xm:f>
            <x14:dxf>
              <font>
                <color rgb="FF006100"/>
              </font>
              <fill>
                <patternFill>
                  <bgColor rgb="FFC6EFCE"/>
                </patternFill>
              </fill>
            </x14:dxf>
          </x14:cfRule>
          <x14:cfRule type="containsText" priority="2896" operator="containsText" text="WEB SERVICE" id="{68626959-F622-4C45-9F90-3FB7E712AD07}">
            <xm:f>NOT(ISERROR(SEARCH("WEB SERVICE",'TC1'!E16)))</xm:f>
            <x14:dxf>
              <font>
                <color rgb="FF9C0006"/>
              </font>
              <fill>
                <patternFill>
                  <bgColor rgb="FFFFC7CE"/>
                </patternFill>
              </fill>
            </x14:dxf>
          </x14:cfRule>
          <xm:sqref>E34:E43</xm:sqref>
        </x14:conditionalFormatting>
        <x14:conditionalFormatting xmlns:xm="http://schemas.microsoft.com/office/excel/2006/main">
          <x14:cfRule type="containsText" priority="2897" operator="containsText" text="DB" id="{678702C0-871A-4534-AC6E-32A13E434507}">
            <xm:f>NOT(ISERROR(SEARCH("DB",'TC1'!#REF!)))</xm:f>
            <x14:dxf>
              <font>
                <color rgb="FF006100"/>
              </font>
              <fill>
                <patternFill>
                  <bgColor rgb="FFC6EFCE"/>
                </patternFill>
              </fill>
            </x14:dxf>
          </x14:cfRule>
          <x14:cfRule type="containsText" priority="2898" operator="containsText" text="WEB SERVICE" id="{68626959-F622-4C45-9F90-3FB7E712AD07}">
            <xm:f>NOT(ISERROR(SEARCH("WEB SERVICE",'TC1'!#REF!)))</xm:f>
            <x14:dxf>
              <font>
                <color rgb="FF9C0006"/>
              </font>
              <fill>
                <patternFill>
                  <bgColor rgb="FFFFC7CE"/>
                </patternFill>
              </fill>
            </x14:dxf>
          </x14:cfRule>
          <xm:sqref>E17:E33</xm:sqref>
        </x14:conditionalFormatting>
        <x14:conditionalFormatting xmlns:xm="http://schemas.microsoft.com/office/excel/2006/main">
          <x14:cfRule type="expression" priority="5533" id="{15C7E39B-B1B9-4234-B953-BDC038E62D68}">
            <xm:f>'TC1'!$B9="HANGUP"</xm:f>
            <x14:dxf>
              <font>
                <b/>
                <i val="0"/>
              </font>
            </x14:dxf>
          </x14:cfRule>
          <x14:cfRule type="expression" priority="5534" id="{CF3F4BB7-9A4D-46FA-A4E7-47CE2A7FB822}">
            <xm:f>'TC1'!$B9="Dial"</xm:f>
            <x14:dxf>
              <font>
                <b/>
                <i val="0"/>
                <color rgb="FFFF0000"/>
              </font>
            </x14:dxf>
          </x14:cfRule>
          <xm:sqref>C12:C15</xm:sqref>
        </x14:conditionalFormatting>
        <x14:conditionalFormatting xmlns:xm="http://schemas.microsoft.com/office/excel/2006/main">
          <x14:cfRule type="expression" priority="5535" id="{15C7E39B-B1B9-4234-B953-BDC038E62D68}">
            <xm:f>'TC1'!#REF!="HANGUP"</xm:f>
            <x14:dxf>
              <font>
                <b/>
                <i val="0"/>
              </font>
            </x14:dxf>
          </x14:cfRule>
          <x14:cfRule type="expression" priority="5536" id="{CF3F4BB7-9A4D-46FA-A4E7-47CE2A7FB822}">
            <xm:f>'TC1'!#REF!="Dial"</xm:f>
            <x14:dxf>
              <font>
                <b/>
                <i val="0"/>
                <color rgb="FFFF0000"/>
              </font>
            </x14:dxf>
          </x14:cfRule>
          <xm:sqref>C9:C11</xm:sqref>
        </x14:conditionalFormatting>
        <x14:conditionalFormatting xmlns:xm="http://schemas.microsoft.com/office/excel/2006/main">
          <x14:cfRule type="expression" priority="5540" id="{31EB1E27-A0C3-4258-AF8C-76EBF711D3E9}">
            <xm:f>'TC1'!$B9="Speak"</xm:f>
            <x14:dxf>
              <font>
                <b/>
                <i val="0"/>
                <color rgb="FFFF0000"/>
              </font>
            </x14:dxf>
          </x14:cfRule>
          <xm:sqref>C12:C15</xm:sqref>
        </x14:conditionalFormatting>
        <x14:conditionalFormatting xmlns:xm="http://schemas.microsoft.com/office/excel/2006/main">
          <x14:cfRule type="expression" priority="5541" id="{31EB1E27-A0C3-4258-AF8C-76EBF711D3E9}">
            <xm:f>'TC1'!#REF!="Speak"</xm:f>
            <x14:dxf>
              <font>
                <b/>
                <i val="0"/>
                <color rgb="FFFF0000"/>
              </font>
            </x14:dxf>
          </x14:cfRule>
          <xm:sqref>C9:C11</xm:sqref>
        </x14:conditionalFormatting>
        <x14:conditionalFormatting xmlns:xm="http://schemas.microsoft.com/office/excel/2006/main">
          <x14:cfRule type="containsText" priority="5543" operator="containsText" text="DB" id="{678702C0-871A-4534-AC6E-32A13E434507}">
            <xm:f>NOT(ISERROR(SEARCH("DB",'TC1'!#REF!)))</xm:f>
            <x14:dxf>
              <font>
                <color rgb="FF006100"/>
              </font>
              <fill>
                <patternFill>
                  <bgColor rgb="FFC6EFCE"/>
                </patternFill>
              </fill>
            </x14:dxf>
          </x14:cfRule>
          <x14:cfRule type="containsText" priority="5544" operator="containsText" text="WEB SERVICE" id="{68626959-F622-4C45-9F90-3FB7E712AD07}">
            <xm:f>NOT(ISERROR(SEARCH("WEB SERVICE",'TC1'!#REF!)))</xm:f>
            <x14:dxf>
              <font>
                <color rgb="FF9C0006"/>
              </font>
              <fill>
                <patternFill>
                  <bgColor rgb="FFFFC7CE"/>
                </patternFill>
              </fill>
            </x14:dxf>
          </x14:cfRule>
          <xm:sqref>E9:E11</xm:sqref>
        </x14:conditionalFormatting>
        <x14:conditionalFormatting xmlns:xm="http://schemas.microsoft.com/office/excel/2006/main">
          <x14:cfRule type="containsText" priority="5545" operator="containsText" text="DB" id="{678702C0-871A-4534-AC6E-32A13E434507}">
            <xm:f>NOT(ISERROR(SEARCH("DB",'TC1'!E9)))</xm:f>
            <x14:dxf>
              <font>
                <color rgb="FF006100"/>
              </font>
              <fill>
                <patternFill>
                  <bgColor rgb="FFC6EFCE"/>
                </patternFill>
              </fill>
            </x14:dxf>
          </x14:cfRule>
          <x14:cfRule type="containsText" priority="5546" operator="containsText" text="WEB SERVICE" id="{68626959-F622-4C45-9F90-3FB7E712AD07}">
            <xm:f>NOT(ISERROR(SEARCH("WEB SERVICE",'TC1'!E9)))</xm:f>
            <x14:dxf>
              <font>
                <color rgb="FF9C0006"/>
              </font>
              <fill>
                <patternFill>
                  <bgColor rgb="FFFFC7CE"/>
                </patternFill>
              </fill>
            </x14:dxf>
          </x14:cfRule>
          <xm:sqref>E12:E15</xm:sqref>
        </x14:conditionalFormatting>
        <x14:conditionalFormatting xmlns:xm="http://schemas.microsoft.com/office/excel/2006/main">
          <x14:cfRule type="expression" priority="7790" id="{15C7E39B-B1B9-4234-B953-BDC038E62D68}">
            <xm:f>'TC1'!$B15="HANGUP"</xm:f>
            <x14:dxf>
              <font>
                <b/>
                <i val="0"/>
              </font>
            </x14:dxf>
          </x14:cfRule>
          <x14:cfRule type="expression" priority="7791" id="{CF3F4BB7-9A4D-46FA-A4E7-47CE2A7FB822}">
            <xm:f>'TC1'!$B15="Dial"</xm:f>
            <x14:dxf>
              <font>
                <b/>
                <i val="0"/>
                <color rgb="FFFF0000"/>
              </font>
            </x14:dxf>
          </x14:cfRule>
          <xm:sqref>C16</xm:sqref>
        </x14:conditionalFormatting>
        <x14:conditionalFormatting xmlns:xm="http://schemas.microsoft.com/office/excel/2006/main">
          <x14:cfRule type="expression" priority="7793" id="{31EB1E27-A0C3-4258-AF8C-76EBF711D3E9}">
            <xm:f>'TC1'!$B15="Speak"</xm:f>
            <x14:dxf>
              <font>
                <b/>
                <i val="0"/>
                <color rgb="FFFF0000"/>
              </font>
            </x14:dxf>
          </x14:cfRule>
          <xm:sqref>C16</xm:sqref>
        </x14:conditionalFormatting>
        <x14:conditionalFormatting xmlns:xm="http://schemas.microsoft.com/office/excel/2006/main">
          <x14:cfRule type="containsText" priority="7796" operator="containsText" text="DB" id="{678702C0-871A-4534-AC6E-32A13E434507}">
            <xm:f>NOT(ISERROR(SEARCH("DB",'TC1'!E15)))</xm:f>
            <x14:dxf>
              <font>
                <color rgb="FF006100"/>
              </font>
              <fill>
                <patternFill>
                  <bgColor rgb="FFC6EFCE"/>
                </patternFill>
              </fill>
            </x14:dxf>
          </x14:cfRule>
          <x14:cfRule type="containsText" priority="7797" operator="containsText" text="WEB SERVICE" id="{68626959-F622-4C45-9F90-3FB7E712AD07}">
            <xm:f>NOT(ISERROR(SEARCH("WEB SERVICE",'TC1'!E15)))</xm:f>
            <x14:dxf>
              <font>
                <color rgb="FF9C0006"/>
              </font>
              <fill>
                <patternFill>
                  <bgColor rgb="FFFFC7CE"/>
                </patternFill>
              </fill>
            </x14:dxf>
          </x14:cfRule>
          <xm:sqref>E16</xm:sqref>
        </x14:conditionalFormatting>
        <x14:conditionalFormatting xmlns:xm="http://schemas.microsoft.com/office/excel/2006/main">
          <x14:cfRule type="containsText" priority="10454" operator="containsText" text="Hear" id="{34CA1A8C-4DE3-4A18-8A5A-BAB5CE792829}">
            <xm:f>NOT(ISERROR(SEARCH("Hear",'TC26'!#REF!)))</xm:f>
            <x14:dxf>
              <font>
                <color theme="9" tint="-0.24994659260841701"/>
              </font>
              <fill>
                <patternFill>
                  <bgColor theme="9" tint="0.59996337778862885"/>
                </patternFill>
              </fill>
            </x14:dxf>
          </x14:cfRule>
          <xm:sqref>B39</xm:sqref>
        </x14:conditionalFormatting>
      </x14:conditionalFormattings>
    </ext>
  </extLst>
</worksheet>
</file>

<file path=xl/worksheets/sheet1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400-000000000000}">
  <sheetPr codeName="Sheet134"/>
  <dimension ref="A1:E44"/>
  <sheetViews>
    <sheetView zoomScaleNormal="100" workbookViewId="0">
      <selection sqref="A1:E44"/>
    </sheetView>
  </sheetViews>
  <sheetFormatPr defaultRowHeight="14.5" x14ac:dyDescent="0.35"/>
  <cols>
    <col min="1" max="1" width="14.453125" bestFit="1" customWidth="1"/>
    <col min="2" max="2" width="42.6328125" customWidth="1"/>
    <col min="3" max="3" width="106.1796875" customWidth="1"/>
    <col min="4" max="4" width="21.81640625" bestFit="1" customWidth="1"/>
    <col min="5" max="5" width="20.6328125" customWidth="1"/>
  </cols>
  <sheetData>
    <row r="1" spans="1:5" ht="18.5" x14ac:dyDescent="0.35">
      <c r="A1" s="192" t="s">
        <v>4</v>
      </c>
      <c r="B1" s="192"/>
      <c r="C1" s="105"/>
      <c r="D1" s="111"/>
      <c r="E1" s="97"/>
    </row>
    <row r="2" spans="1:5" x14ac:dyDescent="0.35">
      <c r="A2" s="106" t="s">
        <v>5</v>
      </c>
      <c r="B2" s="107" t="str">
        <f ca="1">MID(CELL("filename",A1),FIND("]",CELL("filename",A1))+1,LEN(CELL("filename",A1))-FIND("]",CELL("filename",A1)))</f>
        <v>TC132</v>
      </c>
      <c r="C2" s="98"/>
      <c r="D2" s="111"/>
      <c r="E2" s="97"/>
    </row>
    <row r="3" spans="1:5" x14ac:dyDescent="0.35">
      <c r="A3" s="104" t="s">
        <v>19</v>
      </c>
      <c r="B3" s="112" t="e">
        <f ca="1">VLOOKUP(B2,Table53[#All],2,FALSE)</f>
        <v>#N/A</v>
      </c>
      <c r="C3" s="98"/>
      <c r="D3" s="111"/>
      <c r="E3" s="97"/>
    </row>
    <row r="4" spans="1:5" ht="29" x14ac:dyDescent="0.35">
      <c r="A4" s="113" t="s">
        <v>20</v>
      </c>
      <c r="B4" s="99" t="e">
        <f ca="1">VLOOKUP(B2,Table53[#All],4,FALSE)</f>
        <v>#N/A</v>
      </c>
      <c r="C4" s="98"/>
      <c r="D4" s="111"/>
      <c r="E4" s="97"/>
    </row>
    <row r="5" spans="1:5" x14ac:dyDescent="0.35">
      <c r="A5" s="104" t="s">
        <v>6</v>
      </c>
      <c r="B5" s="77" t="e">
        <f ca="1">VLOOKUP(B2,Table53[#All],3,FALSE)</f>
        <v>#N/A</v>
      </c>
      <c r="C5" s="98"/>
      <c r="D5" s="111"/>
      <c r="E5" s="97"/>
    </row>
    <row r="6" spans="1:5" x14ac:dyDescent="0.35">
      <c r="A6" s="97"/>
      <c r="B6" s="97"/>
      <c r="C6" s="98"/>
      <c r="D6" s="111"/>
      <c r="E6" s="97"/>
    </row>
    <row r="7" spans="1:5" ht="15.5" x14ac:dyDescent="0.35">
      <c r="A7" s="100" t="s">
        <v>7</v>
      </c>
      <c r="B7" s="101" t="s">
        <v>8</v>
      </c>
      <c r="C7" s="102" t="s">
        <v>9</v>
      </c>
      <c r="D7" s="102" t="s">
        <v>14</v>
      </c>
      <c r="E7" s="103" t="s">
        <v>10</v>
      </c>
    </row>
    <row r="8" spans="1:5" x14ac:dyDescent="0.35">
      <c r="A8" s="118">
        <v>1</v>
      </c>
      <c r="B8" s="114" t="s">
        <v>114</v>
      </c>
      <c r="C8" s="109" t="s">
        <v>125</v>
      </c>
      <c r="D8" s="128"/>
      <c r="E8" s="125" t="s">
        <v>11</v>
      </c>
    </row>
    <row r="9" spans="1:5" x14ac:dyDescent="0.35">
      <c r="A9" s="118">
        <v>2</v>
      </c>
      <c r="B9" s="114" t="s">
        <v>12</v>
      </c>
      <c r="C9" s="109" t="e">
        <f>VLOOKUP(Table257519913140106110151155170172[[#This Row],[PEG]],Table1016[#All],2,FALSE)</f>
        <v>#N/A</v>
      </c>
      <c r="D9" s="128"/>
      <c r="E9" s="125" t="e">
        <f>VLOOKUP(Table257519913140106110151155170172[[#This Row],[PEG]],Table1016[#All],3,FALSE)</f>
        <v>#N/A</v>
      </c>
    </row>
    <row r="10" spans="1:5" x14ac:dyDescent="0.35">
      <c r="A10" s="118">
        <v>3</v>
      </c>
      <c r="B10" s="114" t="s">
        <v>115</v>
      </c>
      <c r="C10" s="109" t="e">
        <f>VLOOKUP(Table257519913140106110151155170172[[#This Row],[PEG]],Table1016[#All],2,FALSE)</f>
        <v>#N/A</v>
      </c>
      <c r="D10" s="128"/>
      <c r="E10" s="125" t="e">
        <f>VLOOKUP(Table257519913140106110151155170172[[#This Row],[PEG]],Table1016[#All],3,FALSE)</f>
        <v>#N/A</v>
      </c>
    </row>
    <row r="11" spans="1:5" x14ac:dyDescent="0.35">
      <c r="A11" s="118">
        <v>4</v>
      </c>
      <c r="B11" s="114" t="s">
        <v>115</v>
      </c>
      <c r="C11" s="109" t="e">
        <f>VLOOKUP(Table257519913140106110151155170172[[#This Row],[PEG]],Table1016[#All],2,FALSE)</f>
        <v>#N/A</v>
      </c>
      <c r="D11" s="128"/>
      <c r="E11" s="125" t="e">
        <f>VLOOKUP(Table257519913140106110151155170172[[#This Row],[PEG]],Table1016[#All],3,FALSE)</f>
        <v>#N/A</v>
      </c>
    </row>
    <row r="12" spans="1:5" x14ac:dyDescent="0.35">
      <c r="A12" s="118">
        <v>5</v>
      </c>
      <c r="B12" s="114" t="s">
        <v>114</v>
      </c>
      <c r="C12" s="109" t="e">
        <f>VLOOKUP(Table257519913140106110151155170172[[#This Row],[PEG]],Table1016[#All],2,FALSE)</f>
        <v>#N/A</v>
      </c>
      <c r="D12" s="128"/>
      <c r="E12" s="125" t="e">
        <f>VLOOKUP(Table257519913140106110151155170172[[#This Row],[PEG]],Table1016[#All],3,FALSE)</f>
        <v>#N/A</v>
      </c>
    </row>
    <row r="13" spans="1:5" x14ac:dyDescent="0.35">
      <c r="A13" s="118">
        <v>6</v>
      </c>
      <c r="B13" s="114" t="s">
        <v>115</v>
      </c>
      <c r="C13" s="109" t="e">
        <f>VLOOKUP(Table257519913140106110151155170172[[#This Row],[PEG]],Table1016[#All],2,FALSE)</f>
        <v>#N/A</v>
      </c>
      <c r="D13" s="128"/>
      <c r="E13" s="125" t="e">
        <f>VLOOKUP(Table257519913140106110151155170172[[#This Row],[PEG]],Table1016[#All],3,FALSE)</f>
        <v>#N/A</v>
      </c>
    </row>
    <row r="14" spans="1:5" x14ac:dyDescent="0.35">
      <c r="A14" s="118">
        <v>7</v>
      </c>
      <c r="B14" s="114" t="s">
        <v>114</v>
      </c>
      <c r="C14" s="109" t="e">
        <f>VLOOKUP(Table257519913140106110151155170172[[#This Row],[PEG]],Table1016[#All],2,FALSE)</f>
        <v>#N/A</v>
      </c>
      <c r="D14" s="128"/>
      <c r="E14" s="125" t="e">
        <f>VLOOKUP(Table257519913140106110151155170172[[#This Row],[PEG]],Table1016[#All],3,FALSE)</f>
        <v>#N/A</v>
      </c>
    </row>
    <row r="15" spans="1:5" x14ac:dyDescent="0.35">
      <c r="A15" s="118">
        <v>8</v>
      </c>
      <c r="B15" s="114" t="s">
        <v>115</v>
      </c>
      <c r="C15" s="109" t="e">
        <f>VLOOKUP(Table257519913140106110151155170172[[#This Row],[PEG]],Table1016[#All],2,FALSE)</f>
        <v>#N/A</v>
      </c>
      <c r="D15" s="116"/>
      <c r="E15" s="125" t="e">
        <f>VLOOKUP(Table257519913140106110151155170172[[#This Row],[PEG]],Table1016[#All],3,FALSE)</f>
        <v>#N/A</v>
      </c>
    </row>
    <row r="16" spans="1:5" x14ac:dyDescent="0.35">
      <c r="A16" s="118">
        <v>9</v>
      </c>
      <c r="B16" s="114" t="s">
        <v>12</v>
      </c>
      <c r="C16" s="109" t="e">
        <f>VLOOKUP(Table257519913140106110151155170172[[#This Row],[PEG]],Table1016[#All],2,FALSE)</f>
        <v>#N/A</v>
      </c>
      <c r="D16" s="116"/>
      <c r="E16" s="125" t="e">
        <f>VLOOKUP(Table257519913140106110151155170172[[#This Row],[PEG]],Table1016[#All],3,FALSE)</f>
        <v>#N/A</v>
      </c>
    </row>
    <row r="17" spans="1:5" x14ac:dyDescent="0.35">
      <c r="A17" s="118">
        <v>10</v>
      </c>
      <c r="B17" s="114" t="s">
        <v>12</v>
      </c>
      <c r="C17" s="109" t="e">
        <f>VLOOKUP(Table257519913140106110151155170172[[#This Row],[PEG]],Table1016[#All],2,FALSE)</f>
        <v>#N/A</v>
      </c>
      <c r="D17" s="117"/>
      <c r="E17" s="125" t="e">
        <f>VLOOKUP(Table257519913140106110151155170172[[#This Row],[PEG]],Table1016[#All],3,FALSE)</f>
        <v>#N/A</v>
      </c>
    </row>
    <row r="18" spans="1:5" x14ac:dyDescent="0.35">
      <c r="A18" s="118">
        <v>11</v>
      </c>
      <c r="B18" s="114" t="s">
        <v>115</v>
      </c>
      <c r="C18" s="109" t="e">
        <f>VLOOKUP(Table257519913140106110151155170172[[#This Row],[PEG]],Table1016[#All],2,FALSE)</f>
        <v>#N/A</v>
      </c>
      <c r="D18" s="117"/>
      <c r="E18" s="125" t="e">
        <f>VLOOKUP(Table257519913140106110151155170172[[#This Row],[PEG]],Table1016[#All],3,FALSE)</f>
        <v>#N/A</v>
      </c>
    </row>
    <row r="19" spans="1:5" x14ac:dyDescent="0.35">
      <c r="A19" s="118">
        <v>12</v>
      </c>
      <c r="B19" s="114" t="s">
        <v>115</v>
      </c>
      <c r="C19" s="109" t="e">
        <f>VLOOKUP(Table257519913140106110151155170172[[#This Row],[PEG]],Table1016[#All],2,FALSE)</f>
        <v>#N/A</v>
      </c>
      <c r="D19" s="117"/>
      <c r="E19" s="125" t="e">
        <f>VLOOKUP(Table257519913140106110151155170172[[#This Row],[PEG]],Table1016[#All],3,FALSE)</f>
        <v>#N/A</v>
      </c>
    </row>
    <row r="20" spans="1:5" x14ac:dyDescent="0.35">
      <c r="A20" s="118">
        <v>13</v>
      </c>
      <c r="B20" s="114" t="s">
        <v>114</v>
      </c>
      <c r="C20" s="109" t="e">
        <f>VLOOKUP(Table257519913140106110151155170172[[#This Row],[PEG]],Table1016[#All],2,FALSE)</f>
        <v>#N/A</v>
      </c>
      <c r="D20" s="117"/>
      <c r="E20" s="125" t="e">
        <f>VLOOKUP(Table257519913140106110151155170172[[#This Row],[PEG]],Table1016[#All],3,FALSE)</f>
        <v>#N/A</v>
      </c>
    </row>
    <row r="21" spans="1:5" x14ac:dyDescent="0.35">
      <c r="A21" s="118">
        <v>14</v>
      </c>
      <c r="B21" s="114" t="s">
        <v>12</v>
      </c>
      <c r="C21" s="109" t="e">
        <f>VLOOKUP(Table257519913140106110151155170172[[#This Row],[PEG]],Table1016[#All],2,FALSE)</f>
        <v>#N/A</v>
      </c>
      <c r="D21" s="117"/>
      <c r="E21" s="125" t="e">
        <f>VLOOKUP(Table257519913140106110151155170172[[#This Row],[PEG]],Table1016[#All],3,FALSE)</f>
        <v>#N/A</v>
      </c>
    </row>
    <row r="22" spans="1:5" x14ac:dyDescent="0.35">
      <c r="A22" s="118">
        <v>15</v>
      </c>
      <c r="B22" s="114" t="s">
        <v>12</v>
      </c>
      <c r="C22" s="109" t="e">
        <f>VLOOKUP(Table257519913140106110151155170172[[#This Row],[PEG]],Table1016[#All],2,FALSE)</f>
        <v>#N/A</v>
      </c>
      <c r="D22" s="117"/>
      <c r="E22" s="125" t="e">
        <f>VLOOKUP(Table257519913140106110151155170172[[#This Row],[PEG]],Table1016[#All],3,FALSE)</f>
        <v>#N/A</v>
      </c>
    </row>
    <row r="23" spans="1:5" x14ac:dyDescent="0.35">
      <c r="A23" s="118">
        <v>16</v>
      </c>
      <c r="B23" s="114" t="s">
        <v>115</v>
      </c>
      <c r="C23" s="109" t="e">
        <f>VLOOKUP(Table257519913140106110151155170172[[#This Row],[PEG]],Table1016[#All],2,FALSE)</f>
        <v>#N/A</v>
      </c>
      <c r="D23" s="117"/>
      <c r="E23" s="125" t="e">
        <f>VLOOKUP(Table257519913140106110151155170172[[#This Row],[PEG]],Table1016[#All],3,FALSE)</f>
        <v>#N/A</v>
      </c>
    </row>
    <row r="24" spans="1:5" x14ac:dyDescent="0.35">
      <c r="A24" s="118">
        <v>17</v>
      </c>
      <c r="B24" s="114" t="s">
        <v>114</v>
      </c>
      <c r="C24" s="109" t="e">
        <f>VLOOKUP(Table257519913140106110151155170172[[#This Row],[PEG]],Table1016[#All],2,FALSE)</f>
        <v>#N/A</v>
      </c>
      <c r="D24" s="117"/>
      <c r="E24" s="125" t="e">
        <f>VLOOKUP(Table257519913140106110151155170172[[#This Row],[PEG]],Table1016[#All],3,FALSE)</f>
        <v>#N/A</v>
      </c>
    </row>
    <row r="25" spans="1:5" x14ac:dyDescent="0.35">
      <c r="A25" s="118">
        <v>18</v>
      </c>
      <c r="B25" s="114" t="s">
        <v>12</v>
      </c>
      <c r="C25" s="109" t="e">
        <f>VLOOKUP(Table257519913140106110151155170172[[#This Row],[PEG]],Table1016[#All],2,FALSE)</f>
        <v>#N/A</v>
      </c>
      <c r="D25" s="117"/>
      <c r="E25" s="125" t="e">
        <f>VLOOKUP(Table257519913140106110151155170172[[#This Row],[PEG]],Table1016[#All],3,FALSE)</f>
        <v>#N/A</v>
      </c>
    </row>
    <row r="26" spans="1:5" x14ac:dyDescent="0.35">
      <c r="A26" s="118">
        <v>19</v>
      </c>
      <c r="B26" s="114" t="s">
        <v>12</v>
      </c>
      <c r="C26" s="109" t="e">
        <f>VLOOKUP(Table257519913140106110151155170172[[#This Row],[PEG]],Table1016[#All],2,FALSE)</f>
        <v>#N/A</v>
      </c>
      <c r="D26" s="117"/>
      <c r="E26" s="125" t="e">
        <f>VLOOKUP(Table257519913140106110151155170172[[#This Row],[PEG]],Table1016[#All],3,FALSE)</f>
        <v>#N/A</v>
      </c>
    </row>
    <row r="27" spans="1:5" x14ac:dyDescent="0.35">
      <c r="A27" s="118">
        <v>20</v>
      </c>
      <c r="B27" s="114" t="s">
        <v>115</v>
      </c>
      <c r="C27" s="109" t="e">
        <f>VLOOKUP(Table257519913140106110151155170172[[#This Row],[PEG]],Table1016[#All],2,FALSE)</f>
        <v>#N/A</v>
      </c>
      <c r="D27" s="117"/>
      <c r="E27" s="125" t="e">
        <f>VLOOKUP(Table257519913140106110151155170172[[#This Row],[PEG]],Table1016[#All],3,FALSE)</f>
        <v>#N/A</v>
      </c>
    </row>
    <row r="28" spans="1:5" x14ac:dyDescent="0.35">
      <c r="A28" s="118">
        <v>21</v>
      </c>
      <c r="B28" s="114" t="s">
        <v>114</v>
      </c>
      <c r="C28" s="109" t="e">
        <f>VLOOKUP(Table257519913140106110151155170172[[#This Row],[PEG]],Table1016[#All],2,FALSE)</f>
        <v>#N/A</v>
      </c>
      <c r="D28" s="117"/>
      <c r="E28" s="125" t="e">
        <f>VLOOKUP(Table257519913140106110151155170172[[#This Row],[PEG]],Table1016[#All],3,FALSE)</f>
        <v>#N/A</v>
      </c>
    </row>
    <row r="29" spans="1:5" x14ac:dyDescent="0.35">
      <c r="A29" s="118">
        <v>22</v>
      </c>
      <c r="B29" s="114" t="s">
        <v>12</v>
      </c>
      <c r="C29" s="109" t="e">
        <f>VLOOKUP(Table257519913140106110151155170172[[#This Row],[PEG]],Table1016[#All],2,FALSE)</f>
        <v>#N/A</v>
      </c>
      <c r="D29" s="117"/>
      <c r="E29" s="125" t="e">
        <f>VLOOKUP(Table257519913140106110151155170172[[#This Row],[PEG]],Table1016[#All],3,FALSE)</f>
        <v>#N/A</v>
      </c>
    </row>
    <row r="30" spans="1:5" x14ac:dyDescent="0.35">
      <c r="A30" s="118">
        <v>23</v>
      </c>
      <c r="B30" s="114" t="s">
        <v>12</v>
      </c>
      <c r="C30" s="109" t="e">
        <f>VLOOKUP(Table257519913140106110151155170172[[#This Row],[PEG]],Table1016[#All],2,FALSE)</f>
        <v>#N/A</v>
      </c>
      <c r="D30" s="117"/>
      <c r="E30" s="125" t="e">
        <f>VLOOKUP(Table257519913140106110151155170172[[#This Row],[PEG]],Table1016[#All],3,FALSE)</f>
        <v>#N/A</v>
      </c>
    </row>
    <row r="31" spans="1:5" x14ac:dyDescent="0.35">
      <c r="A31" s="118">
        <v>24</v>
      </c>
      <c r="B31" s="114" t="s">
        <v>115</v>
      </c>
      <c r="C31" s="109" t="e">
        <f>VLOOKUP(Table257519913140106110151155170172[[#This Row],[PEG]],Table1016[#All],2,FALSE)</f>
        <v>#N/A</v>
      </c>
      <c r="D31" s="117"/>
      <c r="E31" s="125" t="e">
        <f>VLOOKUP(Table257519913140106110151155170172[[#This Row],[PEG]],Table1016[#All],3,FALSE)</f>
        <v>#N/A</v>
      </c>
    </row>
    <row r="32" spans="1:5" x14ac:dyDescent="0.35">
      <c r="A32" s="118">
        <v>25</v>
      </c>
      <c r="B32" s="114" t="s">
        <v>115</v>
      </c>
      <c r="C32" s="109" t="e">
        <f>VLOOKUP(Table257519913140106110151155170172[[#This Row],[PEG]],Table1016[#All],2,FALSE)</f>
        <v>#N/A</v>
      </c>
      <c r="D32" s="117"/>
      <c r="E32" s="125" t="e">
        <f>VLOOKUP(Table257519913140106110151155170172[[#This Row],[PEG]],Table1016[#All],3,FALSE)</f>
        <v>#N/A</v>
      </c>
    </row>
    <row r="33" spans="1:5" x14ac:dyDescent="0.35">
      <c r="A33" s="118">
        <v>26</v>
      </c>
      <c r="B33" s="114" t="s">
        <v>124</v>
      </c>
      <c r="C33" s="109" t="e">
        <f>VLOOKUP(Table257519913140106110151155170172[[#This Row],[PEG]],Table1016[#All],2,FALSE)</f>
        <v>#N/A</v>
      </c>
      <c r="D33" s="117"/>
      <c r="E33" s="125" t="e">
        <f>VLOOKUP(Table257519913140106110151155170172[[#This Row],[PEG]],Table1016[#All],3,FALSE)</f>
        <v>#N/A</v>
      </c>
    </row>
    <row r="34" spans="1:5" x14ac:dyDescent="0.35">
      <c r="A34" s="118">
        <v>27</v>
      </c>
      <c r="B34" s="114" t="s">
        <v>115</v>
      </c>
      <c r="C34" s="109" t="e">
        <f>VLOOKUP(Table257519913140106110151155170172[[#This Row],[PEG]],Table1016[#All],2,FALSE)</f>
        <v>#N/A</v>
      </c>
      <c r="D34" s="117"/>
      <c r="E34" s="125" t="e">
        <f>VLOOKUP(Table257519913140106110151155170172[[#This Row],[PEG]],Table1016[#All],3,FALSE)</f>
        <v>#N/A</v>
      </c>
    </row>
    <row r="35" spans="1:5" x14ac:dyDescent="0.35">
      <c r="A35" s="118">
        <v>28</v>
      </c>
      <c r="B35" s="114" t="s">
        <v>124</v>
      </c>
      <c r="C35" s="109" t="e">
        <f>VLOOKUP(Table257519913140106110151155170172[[#This Row],[PEG]],Table1016[#All],2,FALSE)</f>
        <v>#N/A</v>
      </c>
      <c r="D35" s="117"/>
      <c r="E35" s="125" t="e">
        <f>VLOOKUP(Table257519913140106110151155170172[[#This Row],[PEG]],Table1016[#All],3,FALSE)</f>
        <v>#N/A</v>
      </c>
    </row>
    <row r="36" spans="1:5" x14ac:dyDescent="0.35">
      <c r="A36" s="118">
        <v>29</v>
      </c>
      <c r="B36" s="114" t="s">
        <v>115</v>
      </c>
      <c r="C36" s="109" t="e">
        <f>VLOOKUP(Table257519913140106110151155170172[[#This Row],[PEG]],Table1016[#All],2,FALSE)</f>
        <v>#N/A</v>
      </c>
      <c r="D36" s="117"/>
      <c r="E36" s="125" t="e">
        <f>VLOOKUP(Table257519913140106110151155170172[[#This Row],[PEG]],Table1016[#All],3,FALSE)</f>
        <v>#N/A</v>
      </c>
    </row>
    <row r="37" spans="1:5" x14ac:dyDescent="0.35">
      <c r="A37" s="118">
        <v>30</v>
      </c>
      <c r="B37" s="114" t="s">
        <v>12</v>
      </c>
      <c r="C37" s="109" t="e">
        <f>VLOOKUP(Table257519913140106110151155170172[[#This Row],[PEG]],Table1016[#All],2,FALSE)</f>
        <v>#N/A</v>
      </c>
      <c r="D37" s="117"/>
      <c r="E37" s="125" t="e">
        <f>VLOOKUP(Table257519913140106110151155170172[[#This Row],[PEG]],Table1016[#All],3,FALSE)</f>
        <v>#N/A</v>
      </c>
    </row>
    <row r="38" spans="1:5" x14ac:dyDescent="0.35">
      <c r="A38" s="118">
        <v>31</v>
      </c>
      <c r="B38" s="114" t="s">
        <v>12</v>
      </c>
      <c r="C38" s="109" t="e">
        <f>VLOOKUP(Table257519913140106110151155170172[[#This Row],[PEG]],Table1016[#All],2,FALSE)</f>
        <v>#N/A</v>
      </c>
      <c r="D38" s="117"/>
      <c r="E38" s="125" t="e">
        <f>VLOOKUP(Table257519913140106110151155170172[[#This Row],[PEG]],Table1016[#All],3,FALSE)</f>
        <v>#N/A</v>
      </c>
    </row>
    <row r="39" spans="1:5" x14ac:dyDescent="0.35">
      <c r="A39" s="118">
        <v>32</v>
      </c>
      <c r="B39" s="114" t="s">
        <v>12</v>
      </c>
      <c r="C39" s="109" t="e">
        <f>VLOOKUP(Table257519913140106110151155170172[[#This Row],[PEG]],Table1016[#All],2,FALSE)</f>
        <v>#N/A</v>
      </c>
      <c r="D39" s="117"/>
      <c r="E39" s="125" t="e">
        <f>VLOOKUP(Table257519913140106110151155170172[[#This Row],[PEG]],Table1016[#All],3,FALSE)</f>
        <v>#N/A</v>
      </c>
    </row>
    <row r="40" spans="1:5" x14ac:dyDescent="0.35">
      <c r="A40" s="118">
        <v>33</v>
      </c>
      <c r="B40" s="114" t="s">
        <v>12</v>
      </c>
      <c r="C40" s="109" t="e">
        <f>VLOOKUP(Table257519913140106110151155170172[[#This Row],[PEG]],Table1016[#All],2,FALSE)</f>
        <v>#N/A</v>
      </c>
      <c r="D40" s="117"/>
      <c r="E40" s="125" t="e">
        <f>VLOOKUP(Table257519913140106110151155170172[[#This Row],[PEG]],Table1016[#All],3,FALSE)</f>
        <v>#N/A</v>
      </c>
    </row>
    <row r="41" spans="1:5" x14ac:dyDescent="0.35">
      <c r="A41" s="118">
        <v>34</v>
      </c>
      <c r="B41" s="114" t="s">
        <v>115</v>
      </c>
      <c r="C41" s="109" t="e">
        <f>VLOOKUP(Table257519913140106110151155170172[[#This Row],[PEG]],Table1016[#All],2,FALSE)</f>
        <v>#N/A</v>
      </c>
      <c r="D41" s="117"/>
      <c r="E41" s="125" t="e">
        <f>VLOOKUP(Table257519913140106110151155170172[[#This Row],[PEG]],Table1016[#All],3,FALSE)</f>
        <v>#N/A</v>
      </c>
    </row>
    <row r="42" spans="1:5" x14ac:dyDescent="0.35">
      <c r="A42" s="118">
        <v>35</v>
      </c>
      <c r="B42" s="114" t="s">
        <v>12</v>
      </c>
      <c r="C42" s="109" t="e">
        <f>VLOOKUP(Table257519913140106110151155170172[[#This Row],[PEG]],Table1016[#All],2,FALSE)</f>
        <v>#N/A</v>
      </c>
      <c r="D42" s="115"/>
      <c r="E42" s="125" t="e">
        <f>VLOOKUP(Table257519913140106110151155170172[[#This Row],[PEG]],Table1016[#All],3,FALSE)</f>
        <v>#N/A</v>
      </c>
    </row>
    <row r="43" spans="1:5" x14ac:dyDescent="0.35">
      <c r="A43" s="118">
        <v>36</v>
      </c>
      <c r="B43" s="114" t="s">
        <v>115</v>
      </c>
      <c r="C43" s="109" t="e">
        <f>VLOOKUP(Table257519913140106110151155170172[[#This Row],[PEG]],Table1016[#All],2,FALSE)</f>
        <v>#N/A</v>
      </c>
      <c r="D43" s="115"/>
      <c r="E43" s="125" t="e">
        <f>VLOOKUP(Table257519913140106110151155170172[[#This Row],[PEG]],Table1016[#All],3,FALSE)</f>
        <v>#N/A</v>
      </c>
    </row>
    <row r="44" spans="1:5" x14ac:dyDescent="0.35">
      <c r="A44" s="118">
        <v>37</v>
      </c>
      <c r="B44" s="114" t="s">
        <v>13</v>
      </c>
      <c r="C44" s="18" t="s">
        <v>13</v>
      </c>
      <c r="D44" s="115"/>
      <c r="E44" s="32"/>
    </row>
  </sheetData>
  <mergeCells count="1">
    <mergeCell ref="A1:B1"/>
  </mergeCells>
  <conditionalFormatting sqref="B8:B18">
    <cfRule type="containsText" dxfId="1517" priority="1" operator="containsText" text="Hear">
      <formula>NOT(ISERROR(SEARCH("Hear",B8)))</formula>
    </cfRule>
  </conditionalFormatting>
  <conditionalFormatting sqref="B30">
    <cfRule type="containsText" dxfId="1516" priority="4" operator="containsText" text="Hear">
      <formula>NOT(ISERROR(SEARCH("Hear",B30)))</formula>
    </cfRule>
  </conditionalFormatting>
  <conditionalFormatting sqref="B43:B44">
    <cfRule type="containsText" dxfId="1515" priority="8" operator="containsText" text="Hear">
      <formula>NOT(ISERROR(SEARCH("Hear",B43)))</formula>
    </cfRule>
  </conditionalFormatting>
  <conditionalFormatting sqref="E44">
    <cfRule type="containsText" dxfId="1514" priority="6" operator="containsText" text="WEB SERVICE">
      <formula>NOT(ISERROR(SEARCH("WEB SERVICE",E44)))</formula>
    </cfRule>
    <cfRule type="containsText" dxfId="1513" priority="7" operator="containsText" text="DB">
      <formula>NOT(ISERROR(SEARCH("DB",E44)))</formula>
    </cfRule>
  </conditionalFormatting>
  <conditionalFormatting sqref="C44">
    <cfRule type="expression" dxfId="1512" priority="9">
      <formula>$B44="Dial"</formula>
    </cfRule>
  </conditionalFormatting>
  <conditionalFormatting sqref="C44">
    <cfRule type="expression" dxfId="1511" priority="3">
      <formula>$B44="Speak"</formula>
    </cfRule>
  </conditionalFormatting>
  <conditionalFormatting sqref="B19:B29 B31:B35 B42">
    <cfRule type="containsText" dxfId="1510" priority="5" operator="containsText" text="Hear">
      <formula>NOT(ISERROR(SEARCH("Hear",B19)))</formula>
    </cfRule>
  </conditionalFormatting>
  <hyperlinks>
    <hyperlink ref="A1" location="'Test Case Overview'!A1" display="Return to Test Case Overview" xr:uid="{B4E10DCF-BFA9-4EFF-800A-B4F1FFBB386A}"/>
  </hyperlinks>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expression" priority="2" id="{1053DEF0-63BC-417D-B0C1-3157C66844E6}">
            <xm:f>'TC1'!$B8="HANGUP"</xm:f>
            <x14:dxf>
              <font>
                <b/>
                <i val="0"/>
              </font>
            </x14:dxf>
          </x14:cfRule>
          <x14:cfRule type="expression" priority="10" id="{08E0A571-7CD1-4ECB-A716-90F1C86DC8CD}">
            <xm:f>'TC1'!$B8="Dial"</xm:f>
            <x14:dxf>
              <font>
                <b/>
                <i val="0"/>
                <color rgb="FFFF0000"/>
              </font>
            </x14:dxf>
          </x14:cfRule>
          <xm:sqref>C8</xm:sqref>
        </x14:conditionalFormatting>
        <x14:conditionalFormatting xmlns:xm="http://schemas.microsoft.com/office/excel/2006/main">
          <x14:cfRule type="expression" priority="11" id="{D2542D2E-1569-4F32-A87C-4C67A9C8FBA2}">
            <xm:f>'TC1'!$B8="Speak"</xm:f>
            <x14:dxf>
              <font>
                <b/>
                <i val="0"/>
                <color rgb="FFFF0000"/>
              </font>
            </x14:dxf>
          </x14:cfRule>
          <xm:sqref>C8</xm:sqref>
        </x14:conditionalFormatting>
        <x14:conditionalFormatting xmlns:xm="http://schemas.microsoft.com/office/excel/2006/main">
          <x14:cfRule type="containsText" priority="14" operator="containsText" text="Hear" id="{2A2800F2-EB59-44DA-A351-31D064F291E2}">
            <xm:f>NOT(ISERROR(SEARCH("Hear",'TC3'!B34)))</xm:f>
            <x14:dxf>
              <font>
                <color theme="9" tint="-0.24994659260841701"/>
              </font>
              <fill>
                <patternFill>
                  <bgColor theme="9" tint="0.59996337778862885"/>
                </patternFill>
              </fill>
            </x14:dxf>
          </x14:cfRule>
          <xm:sqref>B41</xm:sqref>
        </x14:conditionalFormatting>
        <x14:conditionalFormatting xmlns:xm="http://schemas.microsoft.com/office/excel/2006/main">
          <x14:cfRule type="expression" priority="2903" id="{1053DEF0-63BC-417D-B0C1-3157C66844E6}">
            <xm:f>'TC1'!$B16="HANGUP"</xm:f>
            <x14:dxf>
              <font>
                <b/>
                <i val="0"/>
              </font>
            </x14:dxf>
          </x14:cfRule>
          <x14:cfRule type="expression" priority="2904" id="{08E0A571-7CD1-4ECB-A716-90F1C86DC8CD}">
            <xm:f>'TC1'!$B16="Dial"</xm:f>
            <x14:dxf>
              <font>
                <b/>
                <i val="0"/>
                <color rgb="FFFF0000"/>
              </font>
            </x14:dxf>
          </x14:cfRule>
          <xm:sqref>C34:C43</xm:sqref>
        </x14:conditionalFormatting>
        <x14:conditionalFormatting xmlns:xm="http://schemas.microsoft.com/office/excel/2006/main">
          <x14:cfRule type="expression" priority="2905" id="{1053DEF0-63BC-417D-B0C1-3157C66844E6}">
            <xm:f>'TC1'!#REF!="HANGUP"</xm:f>
            <x14:dxf>
              <font>
                <b/>
                <i val="0"/>
              </font>
            </x14:dxf>
          </x14:cfRule>
          <x14:cfRule type="expression" priority="2906" id="{08E0A571-7CD1-4ECB-A716-90F1C86DC8CD}">
            <xm:f>'TC1'!#REF!="Dial"</xm:f>
            <x14:dxf>
              <font>
                <b/>
                <i val="0"/>
                <color rgb="FFFF0000"/>
              </font>
            </x14:dxf>
          </x14:cfRule>
          <xm:sqref>C17:C33</xm:sqref>
        </x14:conditionalFormatting>
        <x14:conditionalFormatting xmlns:xm="http://schemas.microsoft.com/office/excel/2006/main">
          <x14:cfRule type="expression" priority="2910" id="{D2542D2E-1569-4F32-A87C-4C67A9C8FBA2}">
            <xm:f>'TC1'!$B16="Speak"</xm:f>
            <x14:dxf>
              <font>
                <b/>
                <i val="0"/>
                <color rgb="FFFF0000"/>
              </font>
            </x14:dxf>
          </x14:cfRule>
          <xm:sqref>C34:C43</xm:sqref>
        </x14:conditionalFormatting>
        <x14:conditionalFormatting xmlns:xm="http://schemas.microsoft.com/office/excel/2006/main">
          <x14:cfRule type="expression" priority="2911" id="{D2542D2E-1569-4F32-A87C-4C67A9C8FBA2}">
            <xm:f>'TC1'!#REF!="Speak"</xm:f>
            <x14:dxf>
              <font>
                <b/>
                <i val="0"/>
                <color rgb="FFFF0000"/>
              </font>
            </x14:dxf>
          </x14:cfRule>
          <xm:sqref>C17:C33</xm:sqref>
        </x14:conditionalFormatting>
        <x14:conditionalFormatting xmlns:xm="http://schemas.microsoft.com/office/excel/2006/main">
          <x14:cfRule type="containsText" priority="2915" operator="containsText" text="DB" id="{D9A7DC31-E2A3-4390-9817-B921F6CB37AC}">
            <xm:f>NOT(ISERROR(SEARCH("DB",'TC1'!E16)))</xm:f>
            <x14:dxf>
              <font>
                <color rgb="FF006100"/>
              </font>
              <fill>
                <patternFill>
                  <bgColor rgb="FFC6EFCE"/>
                </patternFill>
              </fill>
            </x14:dxf>
          </x14:cfRule>
          <x14:cfRule type="containsText" priority="2916" operator="containsText" text="WEB SERVICE" id="{18AC8123-0892-412A-908C-E03B864D906B}">
            <xm:f>NOT(ISERROR(SEARCH("WEB SERVICE",'TC1'!E16)))</xm:f>
            <x14:dxf>
              <font>
                <color rgb="FF9C0006"/>
              </font>
              <fill>
                <patternFill>
                  <bgColor rgb="FFFFC7CE"/>
                </patternFill>
              </fill>
            </x14:dxf>
          </x14:cfRule>
          <xm:sqref>E34:E43</xm:sqref>
        </x14:conditionalFormatting>
        <x14:conditionalFormatting xmlns:xm="http://schemas.microsoft.com/office/excel/2006/main">
          <x14:cfRule type="containsText" priority="2917" operator="containsText" text="DB" id="{D9A7DC31-E2A3-4390-9817-B921F6CB37AC}">
            <xm:f>NOT(ISERROR(SEARCH("DB",'TC1'!#REF!)))</xm:f>
            <x14:dxf>
              <font>
                <color rgb="FF006100"/>
              </font>
              <fill>
                <patternFill>
                  <bgColor rgb="FFC6EFCE"/>
                </patternFill>
              </fill>
            </x14:dxf>
          </x14:cfRule>
          <x14:cfRule type="containsText" priority="2918" operator="containsText" text="WEB SERVICE" id="{18AC8123-0892-412A-908C-E03B864D906B}">
            <xm:f>NOT(ISERROR(SEARCH("WEB SERVICE",'TC1'!#REF!)))</xm:f>
            <x14:dxf>
              <font>
                <color rgb="FF9C0006"/>
              </font>
              <fill>
                <patternFill>
                  <bgColor rgb="FFFFC7CE"/>
                </patternFill>
              </fill>
            </x14:dxf>
          </x14:cfRule>
          <xm:sqref>E17:E33</xm:sqref>
        </x14:conditionalFormatting>
        <x14:conditionalFormatting xmlns:xm="http://schemas.microsoft.com/office/excel/2006/main">
          <x14:cfRule type="expression" priority="5551" id="{1053DEF0-63BC-417D-B0C1-3157C66844E6}">
            <xm:f>'TC1'!$B9="HANGUP"</xm:f>
            <x14:dxf>
              <font>
                <b/>
                <i val="0"/>
              </font>
            </x14:dxf>
          </x14:cfRule>
          <x14:cfRule type="expression" priority="5552" id="{08E0A571-7CD1-4ECB-A716-90F1C86DC8CD}">
            <xm:f>'TC1'!$B9="Dial"</xm:f>
            <x14:dxf>
              <font>
                <b/>
                <i val="0"/>
                <color rgb="FFFF0000"/>
              </font>
            </x14:dxf>
          </x14:cfRule>
          <xm:sqref>C12:C15</xm:sqref>
        </x14:conditionalFormatting>
        <x14:conditionalFormatting xmlns:xm="http://schemas.microsoft.com/office/excel/2006/main">
          <x14:cfRule type="expression" priority="5553" id="{1053DEF0-63BC-417D-B0C1-3157C66844E6}">
            <xm:f>'TC1'!#REF!="HANGUP"</xm:f>
            <x14:dxf>
              <font>
                <b/>
                <i val="0"/>
              </font>
            </x14:dxf>
          </x14:cfRule>
          <x14:cfRule type="expression" priority="5554" id="{08E0A571-7CD1-4ECB-A716-90F1C86DC8CD}">
            <xm:f>'TC1'!#REF!="Dial"</xm:f>
            <x14:dxf>
              <font>
                <b/>
                <i val="0"/>
                <color rgb="FFFF0000"/>
              </font>
            </x14:dxf>
          </x14:cfRule>
          <xm:sqref>C9:C11</xm:sqref>
        </x14:conditionalFormatting>
        <x14:conditionalFormatting xmlns:xm="http://schemas.microsoft.com/office/excel/2006/main">
          <x14:cfRule type="expression" priority="5558" id="{D2542D2E-1569-4F32-A87C-4C67A9C8FBA2}">
            <xm:f>'TC1'!$B9="Speak"</xm:f>
            <x14:dxf>
              <font>
                <b/>
                <i val="0"/>
                <color rgb="FFFF0000"/>
              </font>
            </x14:dxf>
          </x14:cfRule>
          <xm:sqref>C12:C15</xm:sqref>
        </x14:conditionalFormatting>
        <x14:conditionalFormatting xmlns:xm="http://schemas.microsoft.com/office/excel/2006/main">
          <x14:cfRule type="expression" priority="5559" id="{D2542D2E-1569-4F32-A87C-4C67A9C8FBA2}">
            <xm:f>'TC1'!#REF!="Speak"</xm:f>
            <x14:dxf>
              <font>
                <b/>
                <i val="0"/>
                <color rgb="FFFF0000"/>
              </font>
            </x14:dxf>
          </x14:cfRule>
          <xm:sqref>C9:C11</xm:sqref>
        </x14:conditionalFormatting>
        <x14:conditionalFormatting xmlns:xm="http://schemas.microsoft.com/office/excel/2006/main">
          <x14:cfRule type="containsText" priority="5561" operator="containsText" text="DB" id="{D9A7DC31-E2A3-4390-9817-B921F6CB37AC}">
            <xm:f>NOT(ISERROR(SEARCH("DB",'TC1'!#REF!)))</xm:f>
            <x14:dxf>
              <font>
                <color rgb="FF006100"/>
              </font>
              <fill>
                <patternFill>
                  <bgColor rgb="FFC6EFCE"/>
                </patternFill>
              </fill>
            </x14:dxf>
          </x14:cfRule>
          <x14:cfRule type="containsText" priority="5562" operator="containsText" text="WEB SERVICE" id="{18AC8123-0892-412A-908C-E03B864D906B}">
            <xm:f>NOT(ISERROR(SEARCH("WEB SERVICE",'TC1'!#REF!)))</xm:f>
            <x14:dxf>
              <font>
                <color rgb="FF9C0006"/>
              </font>
              <fill>
                <patternFill>
                  <bgColor rgb="FFFFC7CE"/>
                </patternFill>
              </fill>
            </x14:dxf>
          </x14:cfRule>
          <xm:sqref>E9:E11</xm:sqref>
        </x14:conditionalFormatting>
        <x14:conditionalFormatting xmlns:xm="http://schemas.microsoft.com/office/excel/2006/main">
          <x14:cfRule type="containsText" priority="5563" operator="containsText" text="DB" id="{D9A7DC31-E2A3-4390-9817-B921F6CB37AC}">
            <xm:f>NOT(ISERROR(SEARCH("DB",'TC1'!E9)))</xm:f>
            <x14:dxf>
              <font>
                <color rgb="FF006100"/>
              </font>
              <fill>
                <patternFill>
                  <bgColor rgb="FFC6EFCE"/>
                </patternFill>
              </fill>
            </x14:dxf>
          </x14:cfRule>
          <x14:cfRule type="containsText" priority="5564" operator="containsText" text="WEB SERVICE" id="{18AC8123-0892-412A-908C-E03B864D906B}">
            <xm:f>NOT(ISERROR(SEARCH("WEB SERVICE",'TC1'!E9)))</xm:f>
            <x14:dxf>
              <font>
                <color rgb="FF9C0006"/>
              </font>
              <fill>
                <patternFill>
                  <bgColor rgb="FFFFC7CE"/>
                </patternFill>
              </fill>
            </x14:dxf>
          </x14:cfRule>
          <xm:sqref>E12:E15</xm:sqref>
        </x14:conditionalFormatting>
        <x14:conditionalFormatting xmlns:xm="http://schemas.microsoft.com/office/excel/2006/main">
          <x14:cfRule type="expression" priority="7805" id="{1053DEF0-63BC-417D-B0C1-3157C66844E6}">
            <xm:f>'TC1'!$B15="HANGUP"</xm:f>
            <x14:dxf>
              <font>
                <b/>
                <i val="0"/>
              </font>
            </x14:dxf>
          </x14:cfRule>
          <x14:cfRule type="expression" priority="7806" id="{08E0A571-7CD1-4ECB-A716-90F1C86DC8CD}">
            <xm:f>'TC1'!$B15="Dial"</xm:f>
            <x14:dxf>
              <font>
                <b/>
                <i val="0"/>
                <color rgb="FFFF0000"/>
              </font>
            </x14:dxf>
          </x14:cfRule>
          <xm:sqref>C16</xm:sqref>
        </x14:conditionalFormatting>
        <x14:conditionalFormatting xmlns:xm="http://schemas.microsoft.com/office/excel/2006/main">
          <x14:cfRule type="expression" priority="7808" id="{D2542D2E-1569-4F32-A87C-4C67A9C8FBA2}">
            <xm:f>'TC1'!$B15="Speak"</xm:f>
            <x14:dxf>
              <font>
                <b/>
                <i val="0"/>
                <color rgb="FFFF0000"/>
              </font>
            </x14:dxf>
          </x14:cfRule>
          <xm:sqref>C16</xm:sqref>
        </x14:conditionalFormatting>
        <x14:conditionalFormatting xmlns:xm="http://schemas.microsoft.com/office/excel/2006/main">
          <x14:cfRule type="containsText" priority="7811" operator="containsText" text="DB" id="{D9A7DC31-E2A3-4390-9817-B921F6CB37AC}">
            <xm:f>NOT(ISERROR(SEARCH("DB",'TC1'!E15)))</xm:f>
            <x14:dxf>
              <font>
                <color rgb="FF006100"/>
              </font>
              <fill>
                <patternFill>
                  <bgColor rgb="FFC6EFCE"/>
                </patternFill>
              </fill>
            </x14:dxf>
          </x14:cfRule>
          <x14:cfRule type="containsText" priority="7812" operator="containsText" text="WEB SERVICE" id="{18AC8123-0892-412A-908C-E03B864D906B}">
            <xm:f>NOT(ISERROR(SEARCH("WEB SERVICE",'TC1'!E15)))</xm:f>
            <x14:dxf>
              <font>
                <color rgb="FF9C0006"/>
              </font>
              <fill>
                <patternFill>
                  <bgColor rgb="FFFFC7CE"/>
                </patternFill>
              </fill>
            </x14:dxf>
          </x14:cfRule>
          <xm:sqref>E16</xm:sqref>
        </x14:conditionalFormatting>
        <x14:conditionalFormatting xmlns:xm="http://schemas.microsoft.com/office/excel/2006/main">
          <x14:cfRule type="containsText" priority="10474" operator="containsText" text="Hear" id="{C8667729-3A34-4849-98F2-C7C89D5BB804}">
            <xm:f>NOT(ISERROR(SEARCH("Hear",'TC26'!#REF!)))</xm:f>
            <x14:dxf>
              <font>
                <color theme="9" tint="-0.24994659260841701"/>
              </font>
              <fill>
                <patternFill>
                  <bgColor theme="9" tint="0.59996337778862885"/>
                </patternFill>
              </fill>
            </x14:dxf>
          </x14:cfRule>
          <xm:sqref>B39</xm:sqref>
        </x14:conditionalFormatting>
      </x14:conditionalFormattings>
    </ext>
  </extLst>
</worksheet>
</file>

<file path=xl/worksheets/sheet1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500-000000000000}">
  <sheetPr codeName="Sheet135"/>
  <dimension ref="A1:E44"/>
  <sheetViews>
    <sheetView zoomScaleNormal="100" workbookViewId="0">
      <selection sqref="A1:E44"/>
    </sheetView>
  </sheetViews>
  <sheetFormatPr defaultRowHeight="14.5" x14ac:dyDescent="0.35"/>
  <cols>
    <col min="1" max="1" width="14.453125" bestFit="1" customWidth="1"/>
    <col min="2" max="2" width="42.6328125" customWidth="1"/>
    <col min="3" max="3" width="106.1796875" customWidth="1"/>
    <col min="4" max="4" width="21.81640625" bestFit="1" customWidth="1"/>
    <col min="5" max="5" width="20.6328125" customWidth="1"/>
  </cols>
  <sheetData>
    <row r="1" spans="1:5" ht="18.5" x14ac:dyDescent="0.35">
      <c r="A1" s="192" t="s">
        <v>4</v>
      </c>
      <c r="B1" s="192"/>
      <c r="C1" s="105"/>
      <c r="D1" s="111"/>
      <c r="E1" s="97"/>
    </row>
    <row r="2" spans="1:5" x14ac:dyDescent="0.35">
      <c r="A2" s="106" t="s">
        <v>5</v>
      </c>
      <c r="B2" s="107" t="str">
        <f ca="1">MID(CELL("filename",A1),FIND("]",CELL("filename",A1))+1,LEN(CELL("filename",A1))-FIND("]",CELL("filename",A1)))</f>
        <v>TC133</v>
      </c>
      <c r="C2" s="98"/>
      <c r="D2" s="111"/>
      <c r="E2" s="97"/>
    </row>
    <row r="3" spans="1:5" x14ac:dyDescent="0.35">
      <c r="A3" s="104" t="s">
        <v>19</v>
      </c>
      <c r="B3" s="112" t="e">
        <f ca="1">VLOOKUP(B2,Table53[#All],2,FALSE)</f>
        <v>#N/A</v>
      </c>
      <c r="C3" s="98"/>
      <c r="D3" s="111"/>
      <c r="E3" s="97"/>
    </row>
    <row r="4" spans="1:5" ht="29" x14ac:dyDescent="0.35">
      <c r="A4" s="113" t="s">
        <v>20</v>
      </c>
      <c r="B4" s="99" t="e">
        <f ca="1">VLOOKUP(B2,Table53[#All],4,FALSE)</f>
        <v>#N/A</v>
      </c>
      <c r="C4" s="98"/>
      <c r="D4" s="111"/>
      <c r="E4" s="97"/>
    </row>
    <row r="5" spans="1:5" x14ac:dyDescent="0.35">
      <c r="A5" s="104" t="s">
        <v>6</v>
      </c>
      <c r="B5" s="77" t="e">
        <f ca="1">VLOOKUP(B2,Table53[#All],3,FALSE)</f>
        <v>#N/A</v>
      </c>
      <c r="C5" s="98"/>
      <c r="D5" s="111"/>
      <c r="E5" s="97"/>
    </row>
    <row r="6" spans="1:5" x14ac:dyDescent="0.35">
      <c r="A6" s="97"/>
      <c r="B6" s="97"/>
      <c r="C6" s="98"/>
      <c r="D6" s="111"/>
      <c r="E6" s="97"/>
    </row>
    <row r="7" spans="1:5" ht="15.5" x14ac:dyDescent="0.35">
      <c r="A7" s="100" t="s">
        <v>7</v>
      </c>
      <c r="B7" s="101" t="s">
        <v>8</v>
      </c>
      <c r="C7" s="102" t="s">
        <v>9</v>
      </c>
      <c r="D7" s="102" t="s">
        <v>14</v>
      </c>
      <c r="E7" s="103" t="s">
        <v>10</v>
      </c>
    </row>
    <row r="8" spans="1:5" x14ac:dyDescent="0.35">
      <c r="A8" s="118">
        <v>1</v>
      </c>
      <c r="B8" s="114" t="s">
        <v>114</v>
      </c>
      <c r="C8" s="109" t="s">
        <v>125</v>
      </c>
      <c r="D8" s="128"/>
      <c r="E8" s="125" t="s">
        <v>11</v>
      </c>
    </row>
    <row r="9" spans="1:5" x14ac:dyDescent="0.35">
      <c r="A9" s="118">
        <v>2</v>
      </c>
      <c r="B9" s="114" t="s">
        <v>12</v>
      </c>
      <c r="C9" s="109" t="e">
        <f>VLOOKUP(Table257519913140106110151155170174[[#This Row],[PEG]],Table1016[#All],2,FALSE)</f>
        <v>#N/A</v>
      </c>
      <c r="D9" s="128"/>
      <c r="E9" s="125" t="e">
        <f>VLOOKUP(Table257519913140106110151155170174[[#This Row],[PEG]],Table1016[#All],3,FALSE)</f>
        <v>#N/A</v>
      </c>
    </row>
    <row r="10" spans="1:5" x14ac:dyDescent="0.35">
      <c r="A10" s="118">
        <v>3</v>
      </c>
      <c r="B10" s="114" t="s">
        <v>115</v>
      </c>
      <c r="C10" s="109" t="e">
        <f>VLOOKUP(Table257519913140106110151155170174[[#This Row],[PEG]],Table1016[#All],2,FALSE)</f>
        <v>#N/A</v>
      </c>
      <c r="D10" s="128"/>
      <c r="E10" s="125" t="e">
        <f>VLOOKUP(Table257519913140106110151155170174[[#This Row],[PEG]],Table1016[#All],3,FALSE)</f>
        <v>#N/A</v>
      </c>
    </row>
    <row r="11" spans="1:5" x14ac:dyDescent="0.35">
      <c r="A11" s="118">
        <v>4</v>
      </c>
      <c r="B11" s="114" t="s">
        <v>115</v>
      </c>
      <c r="C11" s="109" t="e">
        <f>VLOOKUP(Table257519913140106110151155170174[[#This Row],[PEG]],Table1016[#All],2,FALSE)</f>
        <v>#N/A</v>
      </c>
      <c r="D11" s="128"/>
      <c r="E11" s="125" t="e">
        <f>VLOOKUP(Table257519913140106110151155170174[[#This Row],[PEG]],Table1016[#All],3,FALSE)</f>
        <v>#N/A</v>
      </c>
    </row>
    <row r="12" spans="1:5" x14ac:dyDescent="0.35">
      <c r="A12" s="118">
        <v>5</v>
      </c>
      <c r="B12" s="114" t="s">
        <v>114</v>
      </c>
      <c r="C12" s="109" t="e">
        <f>VLOOKUP(Table257519913140106110151155170174[[#This Row],[PEG]],Table1016[#All],2,FALSE)</f>
        <v>#N/A</v>
      </c>
      <c r="D12" s="128"/>
      <c r="E12" s="125" t="e">
        <f>VLOOKUP(Table257519913140106110151155170174[[#This Row],[PEG]],Table1016[#All],3,FALSE)</f>
        <v>#N/A</v>
      </c>
    </row>
    <row r="13" spans="1:5" x14ac:dyDescent="0.35">
      <c r="A13" s="118">
        <v>6</v>
      </c>
      <c r="B13" s="114" t="s">
        <v>115</v>
      </c>
      <c r="C13" s="109" t="e">
        <f>VLOOKUP(Table257519913140106110151155170174[[#This Row],[PEG]],Table1016[#All],2,FALSE)</f>
        <v>#N/A</v>
      </c>
      <c r="D13" s="128"/>
      <c r="E13" s="125" t="e">
        <f>VLOOKUP(Table257519913140106110151155170174[[#This Row],[PEG]],Table1016[#All],3,FALSE)</f>
        <v>#N/A</v>
      </c>
    </row>
    <row r="14" spans="1:5" x14ac:dyDescent="0.35">
      <c r="A14" s="118">
        <v>7</v>
      </c>
      <c r="B14" s="114" t="s">
        <v>114</v>
      </c>
      <c r="C14" s="109" t="e">
        <f>VLOOKUP(Table257519913140106110151155170174[[#This Row],[PEG]],Table1016[#All],2,FALSE)</f>
        <v>#N/A</v>
      </c>
      <c r="D14" s="128"/>
      <c r="E14" s="125" t="e">
        <f>VLOOKUP(Table257519913140106110151155170174[[#This Row],[PEG]],Table1016[#All],3,FALSE)</f>
        <v>#N/A</v>
      </c>
    </row>
    <row r="15" spans="1:5" x14ac:dyDescent="0.35">
      <c r="A15" s="118">
        <v>8</v>
      </c>
      <c r="B15" s="114" t="s">
        <v>115</v>
      </c>
      <c r="C15" s="109" t="e">
        <f>VLOOKUP(Table257519913140106110151155170174[[#This Row],[PEG]],Table1016[#All],2,FALSE)</f>
        <v>#N/A</v>
      </c>
      <c r="D15" s="116"/>
      <c r="E15" s="125" t="e">
        <f>VLOOKUP(Table257519913140106110151155170174[[#This Row],[PEG]],Table1016[#All],3,FALSE)</f>
        <v>#N/A</v>
      </c>
    </row>
    <row r="16" spans="1:5" x14ac:dyDescent="0.35">
      <c r="A16" s="118">
        <v>9</v>
      </c>
      <c r="B16" s="114" t="s">
        <v>12</v>
      </c>
      <c r="C16" s="109" t="e">
        <f>VLOOKUP(Table257519913140106110151155170174[[#This Row],[PEG]],Table1016[#All],2,FALSE)</f>
        <v>#N/A</v>
      </c>
      <c r="D16" s="116"/>
      <c r="E16" s="125" t="e">
        <f>VLOOKUP(Table257519913140106110151155170174[[#This Row],[PEG]],Table1016[#All],3,FALSE)</f>
        <v>#N/A</v>
      </c>
    </row>
    <row r="17" spans="1:5" x14ac:dyDescent="0.35">
      <c r="A17" s="118">
        <v>10</v>
      </c>
      <c r="B17" s="114" t="s">
        <v>12</v>
      </c>
      <c r="C17" s="109" t="e">
        <f>VLOOKUP(Table257519913140106110151155170174[[#This Row],[PEG]],Table1016[#All],2,FALSE)</f>
        <v>#N/A</v>
      </c>
      <c r="D17" s="117"/>
      <c r="E17" s="125" t="e">
        <f>VLOOKUP(Table257519913140106110151155170174[[#This Row],[PEG]],Table1016[#All],3,FALSE)</f>
        <v>#N/A</v>
      </c>
    </row>
    <row r="18" spans="1:5" x14ac:dyDescent="0.35">
      <c r="A18" s="118">
        <v>11</v>
      </c>
      <c r="B18" s="114" t="s">
        <v>115</v>
      </c>
      <c r="C18" s="109" t="e">
        <f>VLOOKUP(Table257519913140106110151155170174[[#This Row],[PEG]],Table1016[#All],2,FALSE)</f>
        <v>#N/A</v>
      </c>
      <c r="D18" s="117"/>
      <c r="E18" s="125" t="e">
        <f>VLOOKUP(Table257519913140106110151155170174[[#This Row],[PEG]],Table1016[#All],3,FALSE)</f>
        <v>#N/A</v>
      </c>
    </row>
    <row r="19" spans="1:5" x14ac:dyDescent="0.35">
      <c r="A19" s="118">
        <v>12</v>
      </c>
      <c r="B19" s="114" t="s">
        <v>115</v>
      </c>
      <c r="C19" s="109" t="e">
        <f>VLOOKUP(Table257519913140106110151155170174[[#This Row],[PEG]],Table1016[#All],2,FALSE)</f>
        <v>#N/A</v>
      </c>
      <c r="D19" s="117"/>
      <c r="E19" s="125" t="e">
        <f>VLOOKUP(Table257519913140106110151155170174[[#This Row],[PEG]],Table1016[#All],3,FALSE)</f>
        <v>#N/A</v>
      </c>
    </row>
    <row r="20" spans="1:5" x14ac:dyDescent="0.35">
      <c r="A20" s="118">
        <v>13</v>
      </c>
      <c r="B20" s="114" t="s">
        <v>114</v>
      </c>
      <c r="C20" s="109" t="e">
        <f>VLOOKUP(Table257519913140106110151155170174[[#This Row],[PEG]],Table1016[#All],2,FALSE)</f>
        <v>#N/A</v>
      </c>
      <c r="D20" s="117"/>
      <c r="E20" s="125" t="e">
        <f>VLOOKUP(Table257519913140106110151155170174[[#This Row],[PEG]],Table1016[#All],3,FALSE)</f>
        <v>#N/A</v>
      </c>
    </row>
    <row r="21" spans="1:5" x14ac:dyDescent="0.35">
      <c r="A21" s="118">
        <v>14</v>
      </c>
      <c r="B21" s="114" t="s">
        <v>12</v>
      </c>
      <c r="C21" s="109" t="e">
        <f>VLOOKUP(Table257519913140106110151155170174[[#This Row],[PEG]],Table1016[#All],2,FALSE)</f>
        <v>#N/A</v>
      </c>
      <c r="D21" s="117"/>
      <c r="E21" s="125" t="e">
        <f>VLOOKUP(Table257519913140106110151155170174[[#This Row],[PEG]],Table1016[#All],3,FALSE)</f>
        <v>#N/A</v>
      </c>
    </row>
    <row r="22" spans="1:5" x14ac:dyDescent="0.35">
      <c r="A22" s="118">
        <v>15</v>
      </c>
      <c r="B22" s="114" t="s">
        <v>12</v>
      </c>
      <c r="C22" s="109" t="e">
        <f>VLOOKUP(Table257519913140106110151155170174[[#This Row],[PEG]],Table1016[#All],2,FALSE)</f>
        <v>#N/A</v>
      </c>
      <c r="D22" s="117"/>
      <c r="E22" s="125" t="e">
        <f>VLOOKUP(Table257519913140106110151155170174[[#This Row],[PEG]],Table1016[#All],3,FALSE)</f>
        <v>#N/A</v>
      </c>
    </row>
    <row r="23" spans="1:5" x14ac:dyDescent="0.35">
      <c r="A23" s="118">
        <v>16</v>
      </c>
      <c r="B23" s="114" t="s">
        <v>115</v>
      </c>
      <c r="C23" s="109" t="e">
        <f>VLOOKUP(Table257519913140106110151155170174[[#This Row],[PEG]],Table1016[#All],2,FALSE)</f>
        <v>#N/A</v>
      </c>
      <c r="D23" s="117"/>
      <c r="E23" s="125" t="e">
        <f>VLOOKUP(Table257519913140106110151155170174[[#This Row],[PEG]],Table1016[#All],3,FALSE)</f>
        <v>#N/A</v>
      </c>
    </row>
    <row r="24" spans="1:5" x14ac:dyDescent="0.35">
      <c r="A24" s="118">
        <v>17</v>
      </c>
      <c r="B24" s="114" t="s">
        <v>114</v>
      </c>
      <c r="C24" s="109" t="e">
        <f>VLOOKUP(Table257519913140106110151155170174[[#This Row],[PEG]],Table1016[#All],2,FALSE)</f>
        <v>#N/A</v>
      </c>
      <c r="D24" s="117"/>
      <c r="E24" s="125" t="e">
        <f>VLOOKUP(Table257519913140106110151155170174[[#This Row],[PEG]],Table1016[#All],3,FALSE)</f>
        <v>#N/A</v>
      </c>
    </row>
    <row r="25" spans="1:5" x14ac:dyDescent="0.35">
      <c r="A25" s="118">
        <v>18</v>
      </c>
      <c r="B25" s="114" t="s">
        <v>12</v>
      </c>
      <c r="C25" s="109" t="e">
        <f>VLOOKUP(Table257519913140106110151155170174[[#This Row],[PEG]],Table1016[#All],2,FALSE)</f>
        <v>#N/A</v>
      </c>
      <c r="D25" s="117"/>
      <c r="E25" s="125" t="e">
        <f>VLOOKUP(Table257519913140106110151155170174[[#This Row],[PEG]],Table1016[#All],3,FALSE)</f>
        <v>#N/A</v>
      </c>
    </row>
    <row r="26" spans="1:5" x14ac:dyDescent="0.35">
      <c r="A26" s="118">
        <v>19</v>
      </c>
      <c r="B26" s="114" t="s">
        <v>12</v>
      </c>
      <c r="C26" s="109" t="e">
        <f>VLOOKUP(Table257519913140106110151155170174[[#This Row],[PEG]],Table1016[#All],2,FALSE)</f>
        <v>#N/A</v>
      </c>
      <c r="D26" s="117"/>
      <c r="E26" s="125" t="e">
        <f>VLOOKUP(Table257519913140106110151155170174[[#This Row],[PEG]],Table1016[#All],3,FALSE)</f>
        <v>#N/A</v>
      </c>
    </row>
    <row r="27" spans="1:5" x14ac:dyDescent="0.35">
      <c r="A27" s="118">
        <v>20</v>
      </c>
      <c r="B27" s="114" t="s">
        <v>115</v>
      </c>
      <c r="C27" s="109" t="e">
        <f>VLOOKUP(Table257519913140106110151155170174[[#This Row],[PEG]],Table1016[#All],2,FALSE)</f>
        <v>#N/A</v>
      </c>
      <c r="D27" s="117"/>
      <c r="E27" s="125" t="e">
        <f>VLOOKUP(Table257519913140106110151155170174[[#This Row],[PEG]],Table1016[#All],3,FALSE)</f>
        <v>#N/A</v>
      </c>
    </row>
    <row r="28" spans="1:5" x14ac:dyDescent="0.35">
      <c r="A28" s="118">
        <v>21</v>
      </c>
      <c r="B28" s="114" t="s">
        <v>114</v>
      </c>
      <c r="C28" s="109" t="e">
        <f>VLOOKUP(Table257519913140106110151155170174[[#This Row],[PEG]],Table1016[#All],2,FALSE)</f>
        <v>#N/A</v>
      </c>
      <c r="D28" s="117"/>
      <c r="E28" s="125" t="e">
        <f>VLOOKUP(Table257519913140106110151155170174[[#This Row],[PEG]],Table1016[#All],3,FALSE)</f>
        <v>#N/A</v>
      </c>
    </row>
    <row r="29" spans="1:5" x14ac:dyDescent="0.35">
      <c r="A29" s="118">
        <v>22</v>
      </c>
      <c r="B29" s="114" t="s">
        <v>12</v>
      </c>
      <c r="C29" s="109" t="e">
        <f>VLOOKUP(Table257519913140106110151155170174[[#This Row],[PEG]],Table1016[#All],2,FALSE)</f>
        <v>#N/A</v>
      </c>
      <c r="D29" s="117"/>
      <c r="E29" s="125" t="e">
        <f>VLOOKUP(Table257519913140106110151155170174[[#This Row],[PEG]],Table1016[#All],3,FALSE)</f>
        <v>#N/A</v>
      </c>
    </row>
    <row r="30" spans="1:5" x14ac:dyDescent="0.35">
      <c r="A30" s="118">
        <v>23</v>
      </c>
      <c r="B30" s="114" t="s">
        <v>12</v>
      </c>
      <c r="C30" s="109" t="e">
        <f>VLOOKUP(Table257519913140106110151155170174[[#This Row],[PEG]],Table1016[#All],2,FALSE)</f>
        <v>#N/A</v>
      </c>
      <c r="D30" s="117"/>
      <c r="E30" s="125" t="e">
        <f>VLOOKUP(Table257519913140106110151155170174[[#This Row],[PEG]],Table1016[#All],3,FALSE)</f>
        <v>#N/A</v>
      </c>
    </row>
    <row r="31" spans="1:5" x14ac:dyDescent="0.35">
      <c r="A31" s="118">
        <v>24</v>
      </c>
      <c r="B31" s="114" t="s">
        <v>115</v>
      </c>
      <c r="C31" s="109" t="e">
        <f>VLOOKUP(Table257519913140106110151155170174[[#This Row],[PEG]],Table1016[#All],2,FALSE)</f>
        <v>#N/A</v>
      </c>
      <c r="D31" s="117"/>
      <c r="E31" s="125" t="e">
        <f>VLOOKUP(Table257519913140106110151155170174[[#This Row],[PEG]],Table1016[#All],3,FALSE)</f>
        <v>#N/A</v>
      </c>
    </row>
    <row r="32" spans="1:5" x14ac:dyDescent="0.35">
      <c r="A32" s="118">
        <v>25</v>
      </c>
      <c r="B32" s="114" t="s">
        <v>115</v>
      </c>
      <c r="C32" s="109" t="e">
        <f>VLOOKUP(Table257519913140106110151155170174[[#This Row],[PEG]],Table1016[#All],2,FALSE)</f>
        <v>#N/A</v>
      </c>
      <c r="D32" s="117"/>
      <c r="E32" s="125" t="e">
        <f>VLOOKUP(Table257519913140106110151155170174[[#This Row],[PEG]],Table1016[#All],3,FALSE)</f>
        <v>#N/A</v>
      </c>
    </row>
    <row r="33" spans="1:5" x14ac:dyDescent="0.35">
      <c r="A33" s="118">
        <v>26</v>
      </c>
      <c r="B33" s="114" t="s">
        <v>124</v>
      </c>
      <c r="C33" s="109" t="e">
        <f>VLOOKUP(Table257519913140106110151155170174[[#This Row],[PEG]],Table1016[#All],2,FALSE)</f>
        <v>#N/A</v>
      </c>
      <c r="D33" s="117"/>
      <c r="E33" s="125" t="e">
        <f>VLOOKUP(Table257519913140106110151155170174[[#This Row],[PEG]],Table1016[#All],3,FALSE)</f>
        <v>#N/A</v>
      </c>
    </row>
    <row r="34" spans="1:5" x14ac:dyDescent="0.35">
      <c r="A34" s="118">
        <v>27</v>
      </c>
      <c r="B34" s="114" t="s">
        <v>115</v>
      </c>
      <c r="C34" s="109" t="e">
        <f>VLOOKUP(Table257519913140106110151155170174[[#This Row],[PEG]],Table1016[#All],2,FALSE)</f>
        <v>#N/A</v>
      </c>
      <c r="D34" s="117"/>
      <c r="E34" s="125" t="e">
        <f>VLOOKUP(Table257519913140106110151155170174[[#This Row],[PEG]],Table1016[#All],3,FALSE)</f>
        <v>#N/A</v>
      </c>
    </row>
    <row r="35" spans="1:5" x14ac:dyDescent="0.35">
      <c r="A35" s="118">
        <v>28</v>
      </c>
      <c r="B35" s="114" t="s">
        <v>124</v>
      </c>
      <c r="C35" s="109" t="e">
        <f>VLOOKUP(Table257519913140106110151155170174[[#This Row],[PEG]],Table1016[#All],2,FALSE)</f>
        <v>#N/A</v>
      </c>
      <c r="D35" s="117"/>
      <c r="E35" s="125" t="e">
        <f>VLOOKUP(Table257519913140106110151155170174[[#This Row],[PEG]],Table1016[#All],3,FALSE)</f>
        <v>#N/A</v>
      </c>
    </row>
    <row r="36" spans="1:5" x14ac:dyDescent="0.35">
      <c r="A36" s="118">
        <v>29</v>
      </c>
      <c r="B36" s="114" t="s">
        <v>115</v>
      </c>
      <c r="C36" s="109" t="e">
        <f>VLOOKUP(Table257519913140106110151155170174[[#This Row],[PEG]],Table1016[#All],2,FALSE)</f>
        <v>#N/A</v>
      </c>
      <c r="D36" s="117"/>
      <c r="E36" s="125" t="e">
        <f>VLOOKUP(Table257519913140106110151155170174[[#This Row],[PEG]],Table1016[#All],3,FALSE)</f>
        <v>#N/A</v>
      </c>
    </row>
    <row r="37" spans="1:5" x14ac:dyDescent="0.35">
      <c r="A37" s="118">
        <v>30</v>
      </c>
      <c r="B37" s="114" t="s">
        <v>12</v>
      </c>
      <c r="C37" s="109" t="e">
        <f>VLOOKUP(Table257519913140106110151155170174[[#This Row],[PEG]],Table1016[#All],2,FALSE)</f>
        <v>#N/A</v>
      </c>
      <c r="D37" s="117"/>
      <c r="E37" s="125" t="e">
        <f>VLOOKUP(Table257519913140106110151155170174[[#This Row],[PEG]],Table1016[#All],3,FALSE)</f>
        <v>#N/A</v>
      </c>
    </row>
    <row r="38" spans="1:5" x14ac:dyDescent="0.35">
      <c r="A38" s="118">
        <v>31</v>
      </c>
      <c r="B38" s="114" t="s">
        <v>12</v>
      </c>
      <c r="C38" s="109" t="e">
        <f>VLOOKUP(Table257519913140106110151155170174[[#This Row],[PEG]],Table1016[#All],2,FALSE)</f>
        <v>#N/A</v>
      </c>
      <c r="D38" s="117"/>
      <c r="E38" s="125" t="e">
        <f>VLOOKUP(Table257519913140106110151155170174[[#This Row],[PEG]],Table1016[#All],3,FALSE)</f>
        <v>#N/A</v>
      </c>
    </row>
    <row r="39" spans="1:5" x14ac:dyDescent="0.35">
      <c r="A39" s="118">
        <v>32</v>
      </c>
      <c r="B39" s="114" t="s">
        <v>12</v>
      </c>
      <c r="C39" s="109" t="e">
        <f>VLOOKUP(Table257519913140106110151155170174[[#This Row],[PEG]],Table1016[#All],2,FALSE)</f>
        <v>#N/A</v>
      </c>
      <c r="D39" s="117"/>
      <c r="E39" s="125" t="e">
        <f>VLOOKUP(Table257519913140106110151155170174[[#This Row],[PEG]],Table1016[#All],3,FALSE)</f>
        <v>#N/A</v>
      </c>
    </row>
    <row r="40" spans="1:5" x14ac:dyDescent="0.35">
      <c r="A40" s="118">
        <v>33</v>
      </c>
      <c r="B40" s="114" t="s">
        <v>12</v>
      </c>
      <c r="C40" s="109" t="e">
        <f>VLOOKUP(Table257519913140106110151155170174[[#This Row],[PEG]],Table1016[#All],2,FALSE)</f>
        <v>#N/A</v>
      </c>
      <c r="D40" s="117"/>
      <c r="E40" s="125" t="e">
        <f>VLOOKUP(Table257519913140106110151155170174[[#This Row],[PEG]],Table1016[#All],3,FALSE)</f>
        <v>#N/A</v>
      </c>
    </row>
    <row r="41" spans="1:5" x14ac:dyDescent="0.35">
      <c r="A41" s="118">
        <v>34</v>
      </c>
      <c r="B41" s="114" t="s">
        <v>115</v>
      </c>
      <c r="C41" s="109" t="e">
        <f>VLOOKUP(Table257519913140106110151155170174[[#This Row],[PEG]],Table1016[#All],2,FALSE)</f>
        <v>#N/A</v>
      </c>
      <c r="D41" s="117"/>
      <c r="E41" s="125" t="e">
        <f>VLOOKUP(Table257519913140106110151155170174[[#This Row],[PEG]],Table1016[#All],3,FALSE)</f>
        <v>#N/A</v>
      </c>
    </row>
    <row r="42" spans="1:5" x14ac:dyDescent="0.35">
      <c r="A42" s="118">
        <v>35</v>
      </c>
      <c r="B42" s="114" t="s">
        <v>12</v>
      </c>
      <c r="C42" s="109" t="e">
        <f>VLOOKUP(Table257519913140106110151155170174[[#This Row],[PEG]],Table1016[#All],2,FALSE)</f>
        <v>#N/A</v>
      </c>
      <c r="D42" s="115"/>
      <c r="E42" s="125" t="e">
        <f>VLOOKUP(Table257519913140106110151155170174[[#This Row],[PEG]],Table1016[#All],3,FALSE)</f>
        <v>#N/A</v>
      </c>
    </row>
    <row r="43" spans="1:5" x14ac:dyDescent="0.35">
      <c r="A43" s="118">
        <v>36</v>
      </c>
      <c r="B43" s="114" t="s">
        <v>115</v>
      </c>
      <c r="C43" s="109" t="e">
        <f>VLOOKUP(Table257519913140106110151155170174[[#This Row],[PEG]],Table1016[#All],2,FALSE)</f>
        <v>#N/A</v>
      </c>
      <c r="D43" s="115"/>
      <c r="E43" s="125" t="e">
        <f>VLOOKUP(Table257519913140106110151155170174[[#This Row],[PEG]],Table1016[#All],3,FALSE)</f>
        <v>#N/A</v>
      </c>
    </row>
    <row r="44" spans="1:5" x14ac:dyDescent="0.35">
      <c r="A44" s="118">
        <v>37</v>
      </c>
      <c r="B44" s="114" t="s">
        <v>13</v>
      </c>
      <c r="C44" s="18" t="s">
        <v>13</v>
      </c>
      <c r="D44" s="115"/>
      <c r="E44" s="32"/>
    </row>
  </sheetData>
  <mergeCells count="1">
    <mergeCell ref="A1:B1"/>
  </mergeCells>
  <conditionalFormatting sqref="B8:B18">
    <cfRule type="containsText" dxfId="1479" priority="1" operator="containsText" text="Hear">
      <formula>NOT(ISERROR(SEARCH("Hear",B8)))</formula>
    </cfRule>
  </conditionalFormatting>
  <conditionalFormatting sqref="B30">
    <cfRule type="containsText" dxfId="1478" priority="4" operator="containsText" text="Hear">
      <formula>NOT(ISERROR(SEARCH("Hear",B30)))</formula>
    </cfRule>
  </conditionalFormatting>
  <conditionalFormatting sqref="B43:B44">
    <cfRule type="containsText" dxfId="1477" priority="8" operator="containsText" text="Hear">
      <formula>NOT(ISERROR(SEARCH("Hear",B43)))</formula>
    </cfRule>
  </conditionalFormatting>
  <conditionalFormatting sqref="E44">
    <cfRule type="containsText" dxfId="1476" priority="6" operator="containsText" text="WEB SERVICE">
      <formula>NOT(ISERROR(SEARCH("WEB SERVICE",E44)))</formula>
    </cfRule>
    <cfRule type="containsText" dxfId="1475" priority="7" operator="containsText" text="DB">
      <formula>NOT(ISERROR(SEARCH("DB",E44)))</formula>
    </cfRule>
  </conditionalFormatting>
  <conditionalFormatting sqref="C44">
    <cfRule type="expression" dxfId="1474" priority="9">
      <formula>$B44="Dial"</formula>
    </cfRule>
  </conditionalFormatting>
  <conditionalFormatting sqref="C44">
    <cfRule type="expression" dxfId="1473" priority="3">
      <formula>$B44="Speak"</formula>
    </cfRule>
  </conditionalFormatting>
  <conditionalFormatting sqref="B19:B29 B31:B35 B42">
    <cfRule type="containsText" dxfId="1472" priority="5" operator="containsText" text="Hear">
      <formula>NOT(ISERROR(SEARCH("Hear",B19)))</formula>
    </cfRule>
  </conditionalFormatting>
  <hyperlinks>
    <hyperlink ref="A1" location="'Test Case Overview'!A1" display="Return to Test Case Overview" xr:uid="{657815B9-6D21-441A-9072-FE8D2FFAC8EF}"/>
  </hyperlinks>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expression" priority="2" id="{226B877B-66F7-4A93-A7A3-8D99EE03765D}">
            <xm:f>'TC1'!$B8="HANGUP"</xm:f>
            <x14:dxf>
              <font>
                <b/>
                <i val="0"/>
              </font>
            </x14:dxf>
          </x14:cfRule>
          <x14:cfRule type="expression" priority="10" id="{57386FD4-7681-4651-842E-78E47F09E218}">
            <xm:f>'TC1'!$B8="Dial"</xm:f>
            <x14:dxf>
              <font>
                <b/>
                <i val="0"/>
                <color rgb="FFFF0000"/>
              </font>
            </x14:dxf>
          </x14:cfRule>
          <xm:sqref>C8</xm:sqref>
        </x14:conditionalFormatting>
        <x14:conditionalFormatting xmlns:xm="http://schemas.microsoft.com/office/excel/2006/main">
          <x14:cfRule type="expression" priority="11" id="{FF4B0837-BEB5-45D2-BD60-3E2475A23E8D}">
            <xm:f>'TC1'!$B8="Speak"</xm:f>
            <x14:dxf>
              <font>
                <b/>
                <i val="0"/>
                <color rgb="FFFF0000"/>
              </font>
            </x14:dxf>
          </x14:cfRule>
          <xm:sqref>C8</xm:sqref>
        </x14:conditionalFormatting>
        <x14:conditionalFormatting xmlns:xm="http://schemas.microsoft.com/office/excel/2006/main">
          <x14:cfRule type="containsText" priority="14" operator="containsText" text="Hear" id="{2284B2DB-872B-42AE-970D-9117EC853173}">
            <xm:f>NOT(ISERROR(SEARCH("Hear",'TC3'!B34)))</xm:f>
            <x14:dxf>
              <font>
                <color theme="9" tint="-0.24994659260841701"/>
              </font>
              <fill>
                <patternFill>
                  <bgColor theme="9" tint="0.59996337778862885"/>
                </patternFill>
              </fill>
            </x14:dxf>
          </x14:cfRule>
          <xm:sqref>B41</xm:sqref>
        </x14:conditionalFormatting>
        <x14:conditionalFormatting xmlns:xm="http://schemas.microsoft.com/office/excel/2006/main">
          <x14:cfRule type="expression" priority="2923" id="{226B877B-66F7-4A93-A7A3-8D99EE03765D}">
            <xm:f>'TC1'!$B16="HANGUP"</xm:f>
            <x14:dxf>
              <font>
                <b/>
                <i val="0"/>
              </font>
            </x14:dxf>
          </x14:cfRule>
          <x14:cfRule type="expression" priority="2924" id="{57386FD4-7681-4651-842E-78E47F09E218}">
            <xm:f>'TC1'!$B16="Dial"</xm:f>
            <x14:dxf>
              <font>
                <b/>
                <i val="0"/>
                <color rgb="FFFF0000"/>
              </font>
            </x14:dxf>
          </x14:cfRule>
          <xm:sqref>C34:C43</xm:sqref>
        </x14:conditionalFormatting>
        <x14:conditionalFormatting xmlns:xm="http://schemas.microsoft.com/office/excel/2006/main">
          <x14:cfRule type="expression" priority="2925" id="{226B877B-66F7-4A93-A7A3-8D99EE03765D}">
            <xm:f>'TC1'!#REF!="HANGUP"</xm:f>
            <x14:dxf>
              <font>
                <b/>
                <i val="0"/>
              </font>
            </x14:dxf>
          </x14:cfRule>
          <x14:cfRule type="expression" priority="2926" id="{57386FD4-7681-4651-842E-78E47F09E218}">
            <xm:f>'TC1'!#REF!="Dial"</xm:f>
            <x14:dxf>
              <font>
                <b/>
                <i val="0"/>
                <color rgb="FFFF0000"/>
              </font>
            </x14:dxf>
          </x14:cfRule>
          <xm:sqref>C17:C33</xm:sqref>
        </x14:conditionalFormatting>
        <x14:conditionalFormatting xmlns:xm="http://schemas.microsoft.com/office/excel/2006/main">
          <x14:cfRule type="expression" priority="2930" id="{FF4B0837-BEB5-45D2-BD60-3E2475A23E8D}">
            <xm:f>'TC1'!$B16="Speak"</xm:f>
            <x14:dxf>
              <font>
                <b/>
                <i val="0"/>
                <color rgb="FFFF0000"/>
              </font>
            </x14:dxf>
          </x14:cfRule>
          <xm:sqref>C34:C43</xm:sqref>
        </x14:conditionalFormatting>
        <x14:conditionalFormatting xmlns:xm="http://schemas.microsoft.com/office/excel/2006/main">
          <x14:cfRule type="expression" priority="2931" id="{FF4B0837-BEB5-45D2-BD60-3E2475A23E8D}">
            <xm:f>'TC1'!#REF!="Speak"</xm:f>
            <x14:dxf>
              <font>
                <b/>
                <i val="0"/>
                <color rgb="FFFF0000"/>
              </font>
            </x14:dxf>
          </x14:cfRule>
          <xm:sqref>C17:C33</xm:sqref>
        </x14:conditionalFormatting>
        <x14:conditionalFormatting xmlns:xm="http://schemas.microsoft.com/office/excel/2006/main">
          <x14:cfRule type="containsText" priority="2935" operator="containsText" text="DB" id="{D9F4D69A-2934-4765-89CF-FFB60639E7D1}">
            <xm:f>NOT(ISERROR(SEARCH("DB",'TC1'!E16)))</xm:f>
            <x14:dxf>
              <font>
                <color rgb="FF006100"/>
              </font>
              <fill>
                <patternFill>
                  <bgColor rgb="FFC6EFCE"/>
                </patternFill>
              </fill>
            </x14:dxf>
          </x14:cfRule>
          <x14:cfRule type="containsText" priority="2936" operator="containsText" text="WEB SERVICE" id="{6E690166-443C-443D-9DA6-A3560B60296C}">
            <xm:f>NOT(ISERROR(SEARCH("WEB SERVICE",'TC1'!E16)))</xm:f>
            <x14:dxf>
              <font>
                <color rgb="FF9C0006"/>
              </font>
              <fill>
                <patternFill>
                  <bgColor rgb="FFFFC7CE"/>
                </patternFill>
              </fill>
            </x14:dxf>
          </x14:cfRule>
          <xm:sqref>E34:E43</xm:sqref>
        </x14:conditionalFormatting>
        <x14:conditionalFormatting xmlns:xm="http://schemas.microsoft.com/office/excel/2006/main">
          <x14:cfRule type="containsText" priority="2937" operator="containsText" text="DB" id="{D9F4D69A-2934-4765-89CF-FFB60639E7D1}">
            <xm:f>NOT(ISERROR(SEARCH("DB",'TC1'!#REF!)))</xm:f>
            <x14:dxf>
              <font>
                <color rgb="FF006100"/>
              </font>
              <fill>
                <patternFill>
                  <bgColor rgb="FFC6EFCE"/>
                </patternFill>
              </fill>
            </x14:dxf>
          </x14:cfRule>
          <x14:cfRule type="containsText" priority="2938" operator="containsText" text="WEB SERVICE" id="{6E690166-443C-443D-9DA6-A3560B60296C}">
            <xm:f>NOT(ISERROR(SEARCH("WEB SERVICE",'TC1'!#REF!)))</xm:f>
            <x14:dxf>
              <font>
                <color rgb="FF9C0006"/>
              </font>
              <fill>
                <patternFill>
                  <bgColor rgb="FFFFC7CE"/>
                </patternFill>
              </fill>
            </x14:dxf>
          </x14:cfRule>
          <xm:sqref>E17:E33</xm:sqref>
        </x14:conditionalFormatting>
        <x14:conditionalFormatting xmlns:xm="http://schemas.microsoft.com/office/excel/2006/main">
          <x14:cfRule type="expression" priority="5569" id="{226B877B-66F7-4A93-A7A3-8D99EE03765D}">
            <xm:f>'TC1'!$B9="HANGUP"</xm:f>
            <x14:dxf>
              <font>
                <b/>
                <i val="0"/>
              </font>
            </x14:dxf>
          </x14:cfRule>
          <x14:cfRule type="expression" priority="5570" id="{57386FD4-7681-4651-842E-78E47F09E218}">
            <xm:f>'TC1'!$B9="Dial"</xm:f>
            <x14:dxf>
              <font>
                <b/>
                <i val="0"/>
                <color rgb="FFFF0000"/>
              </font>
            </x14:dxf>
          </x14:cfRule>
          <xm:sqref>C12:C15</xm:sqref>
        </x14:conditionalFormatting>
        <x14:conditionalFormatting xmlns:xm="http://schemas.microsoft.com/office/excel/2006/main">
          <x14:cfRule type="expression" priority="5571" id="{226B877B-66F7-4A93-A7A3-8D99EE03765D}">
            <xm:f>'TC1'!#REF!="HANGUP"</xm:f>
            <x14:dxf>
              <font>
                <b/>
                <i val="0"/>
              </font>
            </x14:dxf>
          </x14:cfRule>
          <x14:cfRule type="expression" priority="5572" id="{57386FD4-7681-4651-842E-78E47F09E218}">
            <xm:f>'TC1'!#REF!="Dial"</xm:f>
            <x14:dxf>
              <font>
                <b/>
                <i val="0"/>
                <color rgb="FFFF0000"/>
              </font>
            </x14:dxf>
          </x14:cfRule>
          <xm:sqref>C9:C11</xm:sqref>
        </x14:conditionalFormatting>
        <x14:conditionalFormatting xmlns:xm="http://schemas.microsoft.com/office/excel/2006/main">
          <x14:cfRule type="expression" priority="5576" id="{FF4B0837-BEB5-45D2-BD60-3E2475A23E8D}">
            <xm:f>'TC1'!$B9="Speak"</xm:f>
            <x14:dxf>
              <font>
                <b/>
                <i val="0"/>
                <color rgb="FFFF0000"/>
              </font>
            </x14:dxf>
          </x14:cfRule>
          <xm:sqref>C12:C15</xm:sqref>
        </x14:conditionalFormatting>
        <x14:conditionalFormatting xmlns:xm="http://schemas.microsoft.com/office/excel/2006/main">
          <x14:cfRule type="expression" priority="5577" id="{FF4B0837-BEB5-45D2-BD60-3E2475A23E8D}">
            <xm:f>'TC1'!#REF!="Speak"</xm:f>
            <x14:dxf>
              <font>
                <b/>
                <i val="0"/>
                <color rgb="FFFF0000"/>
              </font>
            </x14:dxf>
          </x14:cfRule>
          <xm:sqref>C9:C11</xm:sqref>
        </x14:conditionalFormatting>
        <x14:conditionalFormatting xmlns:xm="http://schemas.microsoft.com/office/excel/2006/main">
          <x14:cfRule type="containsText" priority="5579" operator="containsText" text="DB" id="{D9F4D69A-2934-4765-89CF-FFB60639E7D1}">
            <xm:f>NOT(ISERROR(SEARCH("DB",'TC1'!#REF!)))</xm:f>
            <x14:dxf>
              <font>
                <color rgb="FF006100"/>
              </font>
              <fill>
                <patternFill>
                  <bgColor rgb="FFC6EFCE"/>
                </patternFill>
              </fill>
            </x14:dxf>
          </x14:cfRule>
          <x14:cfRule type="containsText" priority="5580" operator="containsText" text="WEB SERVICE" id="{6E690166-443C-443D-9DA6-A3560B60296C}">
            <xm:f>NOT(ISERROR(SEARCH("WEB SERVICE",'TC1'!#REF!)))</xm:f>
            <x14:dxf>
              <font>
                <color rgb="FF9C0006"/>
              </font>
              <fill>
                <patternFill>
                  <bgColor rgb="FFFFC7CE"/>
                </patternFill>
              </fill>
            </x14:dxf>
          </x14:cfRule>
          <xm:sqref>E9:E11</xm:sqref>
        </x14:conditionalFormatting>
        <x14:conditionalFormatting xmlns:xm="http://schemas.microsoft.com/office/excel/2006/main">
          <x14:cfRule type="containsText" priority="5581" operator="containsText" text="DB" id="{D9F4D69A-2934-4765-89CF-FFB60639E7D1}">
            <xm:f>NOT(ISERROR(SEARCH("DB",'TC1'!E9)))</xm:f>
            <x14:dxf>
              <font>
                <color rgb="FF006100"/>
              </font>
              <fill>
                <patternFill>
                  <bgColor rgb="FFC6EFCE"/>
                </patternFill>
              </fill>
            </x14:dxf>
          </x14:cfRule>
          <x14:cfRule type="containsText" priority="5582" operator="containsText" text="WEB SERVICE" id="{6E690166-443C-443D-9DA6-A3560B60296C}">
            <xm:f>NOT(ISERROR(SEARCH("WEB SERVICE",'TC1'!E9)))</xm:f>
            <x14:dxf>
              <font>
                <color rgb="FF9C0006"/>
              </font>
              <fill>
                <patternFill>
                  <bgColor rgb="FFFFC7CE"/>
                </patternFill>
              </fill>
            </x14:dxf>
          </x14:cfRule>
          <xm:sqref>E12:E15</xm:sqref>
        </x14:conditionalFormatting>
        <x14:conditionalFormatting xmlns:xm="http://schemas.microsoft.com/office/excel/2006/main">
          <x14:cfRule type="expression" priority="7820" id="{226B877B-66F7-4A93-A7A3-8D99EE03765D}">
            <xm:f>'TC1'!$B15="HANGUP"</xm:f>
            <x14:dxf>
              <font>
                <b/>
                <i val="0"/>
              </font>
            </x14:dxf>
          </x14:cfRule>
          <x14:cfRule type="expression" priority="7821" id="{57386FD4-7681-4651-842E-78E47F09E218}">
            <xm:f>'TC1'!$B15="Dial"</xm:f>
            <x14:dxf>
              <font>
                <b/>
                <i val="0"/>
                <color rgb="FFFF0000"/>
              </font>
            </x14:dxf>
          </x14:cfRule>
          <xm:sqref>C16</xm:sqref>
        </x14:conditionalFormatting>
        <x14:conditionalFormatting xmlns:xm="http://schemas.microsoft.com/office/excel/2006/main">
          <x14:cfRule type="expression" priority="7823" id="{FF4B0837-BEB5-45D2-BD60-3E2475A23E8D}">
            <xm:f>'TC1'!$B15="Speak"</xm:f>
            <x14:dxf>
              <font>
                <b/>
                <i val="0"/>
                <color rgb="FFFF0000"/>
              </font>
            </x14:dxf>
          </x14:cfRule>
          <xm:sqref>C16</xm:sqref>
        </x14:conditionalFormatting>
        <x14:conditionalFormatting xmlns:xm="http://schemas.microsoft.com/office/excel/2006/main">
          <x14:cfRule type="containsText" priority="7826" operator="containsText" text="DB" id="{D9F4D69A-2934-4765-89CF-FFB60639E7D1}">
            <xm:f>NOT(ISERROR(SEARCH("DB",'TC1'!E15)))</xm:f>
            <x14:dxf>
              <font>
                <color rgb="FF006100"/>
              </font>
              <fill>
                <patternFill>
                  <bgColor rgb="FFC6EFCE"/>
                </patternFill>
              </fill>
            </x14:dxf>
          </x14:cfRule>
          <x14:cfRule type="containsText" priority="7827" operator="containsText" text="WEB SERVICE" id="{6E690166-443C-443D-9DA6-A3560B60296C}">
            <xm:f>NOT(ISERROR(SEARCH("WEB SERVICE",'TC1'!E15)))</xm:f>
            <x14:dxf>
              <font>
                <color rgb="FF9C0006"/>
              </font>
              <fill>
                <patternFill>
                  <bgColor rgb="FFFFC7CE"/>
                </patternFill>
              </fill>
            </x14:dxf>
          </x14:cfRule>
          <xm:sqref>E16</xm:sqref>
        </x14:conditionalFormatting>
        <x14:conditionalFormatting xmlns:xm="http://schemas.microsoft.com/office/excel/2006/main">
          <x14:cfRule type="containsText" priority="10494" operator="containsText" text="Hear" id="{F5EEA185-7719-4E3F-B09A-9F84E78CAA4C}">
            <xm:f>NOT(ISERROR(SEARCH("Hear",'TC26'!#REF!)))</xm:f>
            <x14:dxf>
              <font>
                <color theme="9" tint="-0.24994659260841701"/>
              </font>
              <fill>
                <patternFill>
                  <bgColor theme="9" tint="0.59996337778862885"/>
                </patternFill>
              </fill>
            </x14:dxf>
          </x14:cfRule>
          <xm:sqref>B39</xm:sqref>
        </x14:conditionalFormatting>
      </x14:conditionalFormattings>
    </ext>
  </extLst>
</worksheet>
</file>

<file path=xl/worksheets/sheet1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600-000000000000}">
  <sheetPr codeName="Sheet136"/>
  <dimension ref="A1:E44"/>
  <sheetViews>
    <sheetView zoomScaleNormal="100" workbookViewId="0">
      <selection sqref="A1:E44"/>
    </sheetView>
  </sheetViews>
  <sheetFormatPr defaultRowHeight="14.5" x14ac:dyDescent="0.35"/>
  <cols>
    <col min="1" max="1" width="14.453125" bestFit="1" customWidth="1"/>
    <col min="2" max="2" width="42.6328125" customWidth="1"/>
    <col min="3" max="3" width="106.1796875" customWidth="1"/>
    <col min="4" max="4" width="21.81640625" bestFit="1" customWidth="1"/>
    <col min="5" max="5" width="20.6328125" customWidth="1"/>
  </cols>
  <sheetData>
    <row r="1" spans="1:5" ht="18.5" x14ac:dyDescent="0.35">
      <c r="A1" s="192" t="s">
        <v>4</v>
      </c>
      <c r="B1" s="192"/>
      <c r="C1" s="105"/>
      <c r="D1" s="111"/>
      <c r="E1" s="97"/>
    </row>
    <row r="2" spans="1:5" x14ac:dyDescent="0.35">
      <c r="A2" s="106" t="s">
        <v>5</v>
      </c>
      <c r="B2" s="107" t="str">
        <f ca="1">MID(CELL("filename",A1),FIND("]",CELL("filename",A1))+1,LEN(CELL("filename",A1))-FIND("]",CELL("filename",A1)))</f>
        <v>TC134</v>
      </c>
      <c r="C2" s="98"/>
      <c r="D2" s="111"/>
      <c r="E2" s="97"/>
    </row>
    <row r="3" spans="1:5" x14ac:dyDescent="0.35">
      <c r="A3" s="104" t="s">
        <v>19</v>
      </c>
      <c r="B3" s="112" t="e">
        <f ca="1">VLOOKUP(B2,Table53[#All],2,FALSE)</f>
        <v>#N/A</v>
      </c>
      <c r="C3" s="98"/>
      <c r="D3" s="111"/>
      <c r="E3" s="97"/>
    </row>
    <row r="4" spans="1:5" ht="29" x14ac:dyDescent="0.35">
      <c r="A4" s="113" t="s">
        <v>20</v>
      </c>
      <c r="B4" s="99" t="e">
        <f ca="1">VLOOKUP(B2,Table53[#All],4,FALSE)</f>
        <v>#N/A</v>
      </c>
      <c r="C4" s="98"/>
      <c r="D4" s="111"/>
      <c r="E4" s="97"/>
    </row>
    <row r="5" spans="1:5" x14ac:dyDescent="0.35">
      <c r="A5" s="104" t="s">
        <v>6</v>
      </c>
      <c r="B5" s="77" t="e">
        <f ca="1">VLOOKUP(B2,Table53[#All],3,FALSE)</f>
        <v>#N/A</v>
      </c>
      <c r="C5" s="98"/>
      <c r="D5" s="111"/>
      <c r="E5" s="97"/>
    </row>
    <row r="6" spans="1:5" x14ac:dyDescent="0.35">
      <c r="A6" s="97"/>
      <c r="B6" s="97"/>
      <c r="C6" s="98"/>
      <c r="D6" s="111"/>
      <c r="E6" s="97"/>
    </row>
    <row r="7" spans="1:5" ht="15.5" x14ac:dyDescent="0.35">
      <c r="A7" s="100" t="s">
        <v>7</v>
      </c>
      <c r="B7" s="101" t="s">
        <v>8</v>
      </c>
      <c r="C7" s="102" t="s">
        <v>9</v>
      </c>
      <c r="D7" s="102" t="s">
        <v>14</v>
      </c>
      <c r="E7" s="103" t="s">
        <v>10</v>
      </c>
    </row>
    <row r="8" spans="1:5" x14ac:dyDescent="0.35">
      <c r="A8" s="118">
        <v>1</v>
      </c>
      <c r="B8" s="114" t="s">
        <v>114</v>
      </c>
      <c r="C8" s="109" t="s">
        <v>125</v>
      </c>
      <c r="D8" s="128"/>
      <c r="E8" s="125" t="s">
        <v>11</v>
      </c>
    </row>
    <row r="9" spans="1:5" x14ac:dyDescent="0.35">
      <c r="A9" s="118">
        <v>2</v>
      </c>
      <c r="B9" s="114" t="s">
        <v>12</v>
      </c>
      <c r="C9" s="109" t="e">
        <f>VLOOKUP(Table257519913140106110151155170176[[#This Row],[PEG]],Table1016[#All],2,FALSE)</f>
        <v>#N/A</v>
      </c>
      <c r="D9" s="128"/>
      <c r="E9" s="125" t="e">
        <f>VLOOKUP(Table257519913140106110151155170176[[#This Row],[PEG]],Table1016[#All],3,FALSE)</f>
        <v>#N/A</v>
      </c>
    </row>
    <row r="10" spans="1:5" x14ac:dyDescent="0.35">
      <c r="A10" s="118">
        <v>3</v>
      </c>
      <c r="B10" s="114" t="s">
        <v>115</v>
      </c>
      <c r="C10" s="109" t="e">
        <f>VLOOKUP(Table257519913140106110151155170176[[#This Row],[PEG]],Table1016[#All],2,FALSE)</f>
        <v>#N/A</v>
      </c>
      <c r="D10" s="128"/>
      <c r="E10" s="125" t="e">
        <f>VLOOKUP(Table257519913140106110151155170176[[#This Row],[PEG]],Table1016[#All],3,FALSE)</f>
        <v>#N/A</v>
      </c>
    </row>
    <row r="11" spans="1:5" x14ac:dyDescent="0.35">
      <c r="A11" s="118">
        <v>4</v>
      </c>
      <c r="B11" s="114" t="s">
        <v>115</v>
      </c>
      <c r="C11" s="109" t="e">
        <f>VLOOKUP(Table257519913140106110151155170176[[#This Row],[PEG]],Table1016[#All],2,FALSE)</f>
        <v>#N/A</v>
      </c>
      <c r="D11" s="128"/>
      <c r="E11" s="125" t="e">
        <f>VLOOKUP(Table257519913140106110151155170176[[#This Row],[PEG]],Table1016[#All],3,FALSE)</f>
        <v>#N/A</v>
      </c>
    </row>
    <row r="12" spans="1:5" x14ac:dyDescent="0.35">
      <c r="A12" s="118">
        <v>5</v>
      </c>
      <c r="B12" s="114" t="s">
        <v>114</v>
      </c>
      <c r="C12" s="109" t="e">
        <f>VLOOKUP(Table257519913140106110151155170176[[#This Row],[PEG]],Table1016[#All],2,FALSE)</f>
        <v>#N/A</v>
      </c>
      <c r="D12" s="128"/>
      <c r="E12" s="125" t="e">
        <f>VLOOKUP(Table257519913140106110151155170176[[#This Row],[PEG]],Table1016[#All],3,FALSE)</f>
        <v>#N/A</v>
      </c>
    </row>
    <row r="13" spans="1:5" x14ac:dyDescent="0.35">
      <c r="A13" s="118">
        <v>6</v>
      </c>
      <c r="B13" s="114" t="s">
        <v>115</v>
      </c>
      <c r="C13" s="109" t="e">
        <f>VLOOKUP(Table257519913140106110151155170176[[#This Row],[PEG]],Table1016[#All],2,FALSE)</f>
        <v>#N/A</v>
      </c>
      <c r="D13" s="128"/>
      <c r="E13" s="125" t="e">
        <f>VLOOKUP(Table257519913140106110151155170176[[#This Row],[PEG]],Table1016[#All],3,FALSE)</f>
        <v>#N/A</v>
      </c>
    </row>
    <row r="14" spans="1:5" x14ac:dyDescent="0.35">
      <c r="A14" s="118">
        <v>7</v>
      </c>
      <c r="B14" s="114" t="s">
        <v>114</v>
      </c>
      <c r="C14" s="109" t="e">
        <f>VLOOKUP(Table257519913140106110151155170176[[#This Row],[PEG]],Table1016[#All],2,FALSE)</f>
        <v>#N/A</v>
      </c>
      <c r="D14" s="128"/>
      <c r="E14" s="125" t="e">
        <f>VLOOKUP(Table257519913140106110151155170176[[#This Row],[PEG]],Table1016[#All],3,FALSE)</f>
        <v>#N/A</v>
      </c>
    </row>
    <row r="15" spans="1:5" x14ac:dyDescent="0.35">
      <c r="A15" s="118">
        <v>8</v>
      </c>
      <c r="B15" s="114" t="s">
        <v>115</v>
      </c>
      <c r="C15" s="109" t="e">
        <f>VLOOKUP(Table257519913140106110151155170176[[#This Row],[PEG]],Table1016[#All],2,FALSE)</f>
        <v>#N/A</v>
      </c>
      <c r="D15" s="116"/>
      <c r="E15" s="125" t="e">
        <f>VLOOKUP(Table257519913140106110151155170176[[#This Row],[PEG]],Table1016[#All],3,FALSE)</f>
        <v>#N/A</v>
      </c>
    </row>
    <row r="16" spans="1:5" x14ac:dyDescent="0.35">
      <c r="A16" s="118">
        <v>9</v>
      </c>
      <c r="B16" s="114" t="s">
        <v>12</v>
      </c>
      <c r="C16" s="109" t="e">
        <f>VLOOKUP(Table257519913140106110151155170176[[#This Row],[PEG]],Table1016[#All],2,FALSE)</f>
        <v>#N/A</v>
      </c>
      <c r="D16" s="116"/>
      <c r="E16" s="125" t="e">
        <f>VLOOKUP(Table257519913140106110151155170176[[#This Row],[PEG]],Table1016[#All],3,FALSE)</f>
        <v>#N/A</v>
      </c>
    </row>
    <row r="17" spans="1:5" x14ac:dyDescent="0.35">
      <c r="A17" s="118">
        <v>10</v>
      </c>
      <c r="B17" s="114" t="s">
        <v>12</v>
      </c>
      <c r="C17" s="109" t="e">
        <f>VLOOKUP(Table257519913140106110151155170176[[#This Row],[PEG]],Table1016[#All],2,FALSE)</f>
        <v>#N/A</v>
      </c>
      <c r="D17" s="117"/>
      <c r="E17" s="125" t="e">
        <f>VLOOKUP(Table257519913140106110151155170176[[#This Row],[PEG]],Table1016[#All],3,FALSE)</f>
        <v>#N/A</v>
      </c>
    </row>
    <row r="18" spans="1:5" x14ac:dyDescent="0.35">
      <c r="A18" s="118">
        <v>11</v>
      </c>
      <c r="B18" s="114" t="s">
        <v>115</v>
      </c>
      <c r="C18" s="109" t="e">
        <f>VLOOKUP(Table257519913140106110151155170176[[#This Row],[PEG]],Table1016[#All],2,FALSE)</f>
        <v>#N/A</v>
      </c>
      <c r="D18" s="117"/>
      <c r="E18" s="125" t="e">
        <f>VLOOKUP(Table257519913140106110151155170176[[#This Row],[PEG]],Table1016[#All],3,FALSE)</f>
        <v>#N/A</v>
      </c>
    </row>
    <row r="19" spans="1:5" x14ac:dyDescent="0.35">
      <c r="A19" s="118">
        <v>12</v>
      </c>
      <c r="B19" s="114" t="s">
        <v>115</v>
      </c>
      <c r="C19" s="109" t="e">
        <f>VLOOKUP(Table257519913140106110151155170176[[#This Row],[PEG]],Table1016[#All],2,FALSE)</f>
        <v>#N/A</v>
      </c>
      <c r="D19" s="117"/>
      <c r="E19" s="125" t="e">
        <f>VLOOKUP(Table257519913140106110151155170176[[#This Row],[PEG]],Table1016[#All],3,FALSE)</f>
        <v>#N/A</v>
      </c>
    </row>
    <row r="20" spans="1:5" x14ac:dyDescent="0.35">
      <c r="A20" s="118">
        <v>13</v>
      </c>
      <c r="B20" s="114" t="s">
        <v>114</v>
      </c>
      <c r="C20" s="109" t="e">
        <f>VLOOKUP(Table257519913140106110151155170176[[#This Row],[PEG]],Table1016[#All],2,FALSE)</f>
        <v>#N/A</v>
      </c>
      <c r="D20" s="117"/>
      <c r="E20" s="125" t="e">
        <f>VLOOKUP(Table257519913140106110151155170176[[#This Row],[PEG]],Table1016[#All],3,FALSE)</f>
        <v>#N/A</v>
      </c>
    </row>
    <row r="21" spans="1:5" x14ac:dyDescent="0.35">
      <c r="A21" s="118">
        <v>14</v>
      </c>
      <c r="B21" s="114" t="s">
        <v>12</v>
      </c>
      <c r="C21" s="109" t="e">
        <f>VLOOKUP(Table257519913140106110151155170176[[#This Row],[PEG]],Table1016[#All],2,FALSE)</f>
        <v>#N/A</v>
      </c>
      <c r="D21" s="117"/>
      <c r="E21" s="125" t="e">
        <f>VLOOKUP(Table257519913140106110151155170176[[#This Row],[PEG]],Table1016[#All],3,FALSE)</f>
        <v>#N/A</v>
      </c>
    </row>
    <row r="22" spans="1:5" x14ac:dyDescent="0.35">
      <c r="A22" s="118">
        <v>15</v>
      </c>
      <c r="B22" s="114" t="s">
        <v>12</v>
      </c>
      <c r="C22" s="109" t="e">
        <f>VLOOKUP(Table257519913140106110151155170176[[#This Row],[PEG]],Table1016[#All],2,FALSE)</f>
        <v>#N/A</v>
      </c>
      <c r="D22" s="117"/>
      <c r="E22" s="125" t="e">
        <f>VLOOKUP(Table257519913140106110151155170176[[#This Row],[PEG]],Table1016[#All],3,FALSE)</f>
        <v>#N/A</v>
      </c>
    </row>
    <row r="23" spans="1:5" x14ac:dyDescent="0.35">
      <c r="A23" s="118">
        <v>16</v>
      </c>
      <c r="B23" s="114" t="s">
        <v>115</v>
      </c>
      <c r="C23" s="109" t="e">
        <f>VLOOKUP(Table257519913140106110151155170176[[#This Row],[PEG]],Table1016[#All],2,FALSE)</f>
        <v>#N/A</v>
      </c>
      <c r="D23" s="117"/>
      <c r="E23" s="125" t="e">
        <f>VLOOKUP(Table257519913140106110151155170176[[#This Row],[PEG]],Table1016[#All],3,FALSE)</f>
        <v>#N/A</v>
      </c>
    </row>
    <row r="24" spans="1:5" x14ac:dyDescent="0.35">
      <c r="A24" s="118">
        <v>17</v>
      </c>
      <c r="B24" s="114" t="s">
        <v>114</v>
      </c>
      <c r="C24" s="109" t="e">
        <f>VLOOKUP(Table257519913140106110151155170176[[#This Row],[PEG]],Table1016[#All],2,FALSE)</f>
        <v>#N/A</v>
      </c>
      <c r="D24" s="117"/>
      <c r="E24" s="125" t="e">
        <f>VLOOKUP(Table257519913140106110151155170176[[#This Row],[PEG]],Table1016[#All],3,FALSE)</f>
        <v>#N/A</v>
      </c>
    </row>
    <row r="25" spans="1:5" x14ac:dyDescent="0.35">
      <c r="A25" s="118">
        <v>18</v>
      </c>
      <c r="B25" s="114" t="s">
        <v>12</v>
      </c>
      <c r="C25" s="109" t="e">
        <f>VLOOKUP(Table257519913140106110151155170176[[#This Row],[PEG]],Table1016[#All],2,FALSE)</f>
        <v>#N/A</v>
      </c>
      <c r="D25" s="117"/>
      <c r="E25" s="125" t="e">
        <f>VLOOKUP(Table257519913140106110151155170176[[#This Row],[PEG]],Table1016[#All],3,FALSE)</f>
        <v>#N/A</v>
      </c>
    </row>
    <row r="26" spans="1:5" x14ac:dyDescent="0.35">
      <c r="A26" s="118">
        <v>19</v>
      </c>
      <c r="B26" s="114" t="s">
        <v>12</v>
      </c>
      <c r="C26" s="109" t="e">
        <f>VLOOKUP(Table257519913140106110151155170176[[#This Row],[PEG]],Table1016[#All],2,FALSE)</f>
        <v>#N/A</v>
      </c>
      <c r="D26" s="117"/>
      <c r="E26" s="125" t="e">
        <f>VLOOKUP(Table257519913140106110151155170176[[#This Row],[PEG]],Table1016[#All],3,FALSE)</f>
        <v>#N/A</v>
      </c>
    </row>
    <row r="27" spans="1:5" x14ac:dyDescent="0.35">
      <c r="A27" s="118">
        <v>20</v>
      </c>
      <c r="B27" s="114" t="s">
        <v>115</v>
      </c>
      <c r="C27" s="109" t="e">
        <f>VLOOKUP(Table257519913140106110151155170176[[#This Row],[PEG]],Table1016[#All],2,FALSE)</f>
        <v>#N/A</v>
      </c>
      <c r="D27" s="117"/>
      <c r="E27" s="125" t="e">
        <f>VLOOKUP(Table257519913140106110151155170176[[#This Row],[PEG]],Table1016[#All],3,FALSE)</f>
        <v>#N/A</v>
      </c>
    </row>
    <row r="28" spans="1:5" x14ac:dyDescent="0.35">
      <c r="A28" s="118">
        <v>21</v>
      </c>
      <c r="B28" s="114" t="s">
        <v>114</v>
      </c>
      <c r="C28" s="109" t="e">
        <f>VLOOKUP(Table257519913140106110151155170176[[#This Row],[PEG]],Table1016[#All],2,FALSE)</f>
        <v>#N/A</v>
      </c>
      <c r="D28" s="117"/>
      <c r="E28" s="125" t="e">
        <f>VLOOKUP(Table257519913140106110151155170176[[#This Row],[PEG]],Table1016[#All],3,FALSE)</f>
        <v>#N/A</v>
      </c>
    </row>
    <row r="29" spans="1:5" x14ac:dyDescent="0.35">
      <c r="A29" s="118">
        <v>22</v>
      </c>
      <c r="B29" s="114" t="s">
        <v>12</v>
      </c>
      <c r="C29" s="109" t="e">
        <f>VLOOKUP(Table257519913140106110151155170176[[#This Row],[PEG]],Table1016[#All],2,FALSE)</f>
        <v>#N/A</v>
      </c>
      <c r="D29" s="117"/>
      <c r="E29" s="125" t="e">
        <f>VLOOKUP(Table257519913140106110151155170176[[#This Row],[PEG]],Table1016[#All],3,FALSE)</f>
        <v>#N/A</v>
      </c>
    </row>
    <row r="30" spans="1:5" x14ac:dyDescent="0.35">
      <c r="A30" s="118">
        <v>23</v>
      </c>
      <c r="B30" s="114" t="s">
        <v>12</v>
      </c>
      <c r="C30" s="109" t="e">
        <f>VLOOKUP(Table257519913140106110151155170176[[#This Row],[PEG]],Table1016[#All],2,FALSE)</f>
        <v>#N/A</v>
      </c>
      <c r="D30" s="117"/>
      <c r="E30" s="125" t="e">
        <f>VLOOKUP(Table257519913140106110151155170176[[#This Row],[PEG]],Table1016[#All],3,FALSE)</f>
        <v>#N/A</v>
      </c>
    </row>
    <row r="31" spans="1:5" x14ac:dyDescent="0.35">
      <c r="A31" s="118">
        <v>24</v>
      </c>
      <c r="B31" s="114" t="s">
        <v>115</v>
      </c>
      <c r="C31" s="109" t="e">
        <f>VLOOKUP(Table257519913140106110151155170176[[#This Row],[PEG]],Table1016[#All],2,FALSE)</f>
        <v>#N/A</v>
      </c>
      <c r="D31" s="117"/>
      <c r="E31" s="125" t="e">
        <f>VLOOKUP(Table257519913140106110151155170176[[#This Row],[PEG]],Table1016[#All],3,FALSE)</f>
        <v>#N/A</v>
      </c>
    </row>
    <row r="32" spans="1:5" x14ac:dyDescent="0.35">
      <c r="A32" s="118">
        <v>25</v>
      </c>
      <c r="B32" s="114" t="s">
        <v>115</v>
      </c>
      <c r="C32" s="109" t="e">
        <f>VLOOKUP(Table257519913140106110151155170176[[#This Row],[PEG]],Table1016[#All],2,FALSE)</f>
        <v>#N/A</v>
      </c>
      <c r="D32" s="117"/>
      <c r="E32" s="125" t="e">
        <f>VLOOKUP(Table257519913140106110151155170176[[#This Row],[PEG]],Table1016[#All],3,FALSE)</f>
        <v>#N/A</v>
      </c>
    </row>
    <row r="33" spans="1:5" x14ac:dyDescent="0.35">
      <c r="A33" s="118">
        <v>26</v>
      </c>
      <c r="B33" s="114" t="s">
        <v>124</v>
      </c>
      <c r="C33" s="109" t="e">
        <f>VLOOKUP(Table257519913140106110151155170176[[#This Row],[PEG]],Table1016[#All],2,FALSE)</f>
        <v>#N/A</v>
      </c>
      <c r="D33" s="117"/>
      <c r="E33" s="125" t="e">
        <f>VLOOKUP(Table257519913140106110151155170176[[#This Row],[PEG]],Table1016[#All],3,FALSE)</f>
        <v>#N/A</v>
      </c>
    </row>
    <row r="34" spans="1:5" x14ac:dyDescent="0.35">
      <c r="A34" s="118">
        <v>27</v>
      </c>
      <c r="B34" s="114" t="s">
        <v>115</v>
      </c>
      <c r="C34" s="109" t="e">
        <f>VLOOKUP(Table257519913140106110151155170176[[#This Row],[PEG]],Table1016[#All],2,FALSE)</f>
        <v>#N/A</v>
      </c>
      <c r="D34" s="117"/>
      <c r="E34" s="125" t="e">
        <f>VLOOKUP(Table257519913140106110151155170176[[#This Row],[PEG]],Table1016[#All],3,FALSE)</f>
        <v>#N/A</v>
      </c>
    </row>
    <row r="35" spans="1:5" x14ac:dyDescent="0.35">
      <c r="A35" s="118">
        <v>28</v>
      </c>
      <c r="B35" s="114" t="s">
        <v>124</v>
      </c>
      <c r="C35" s="109" t="e">
        <f>VLOOKUP(Table257519913140106110151155170176[[#This Row],[PEG]],Table1016[#All],2,FALSE)</f>
        <v>#N/A</v>
      </c>
      <c r="D35" s="117"/>
      <c r="E35" s="125" t="e">
        <f>VLOOKUP(Table257519913140106110151155170176[[#This Row],[PEG]],Table1016[#All],3,FALSE)</f>
        <v>#N/A</v>
      </c>
    </row>
    <row r="36" spans="1:5" x14ac:dyDescent="0.35">
      <c r="A36" s="118">
        <v>29</v>
      </c>
      <c r="B36" s="114" t="s">
        <v>115</v>
      </c>
      <c r="C36" s="109" t="e">
        <f>VLOOKUP(Table257519913140106110151155170176[[#This Row],[PEG]],Table1016[#All],2,FALSE)</f>
        <v>#N/A</v>
      </c>
      <c r="D36" s="117"/>
      <c r="E36" s="125" t="e">
        <f>VLOOKUP(Table257519913140106110151155170176[[#This Row],[PEG]],Table1016[#All],3,FALSE)</f>
        <v>#N/A</v>
      </c>
    </row>
    <row r="37" spans="1:5" x14ac:dyDescent="0.35">
      <c r="A37" s="118">
        <v>30</v>
      </c>
      <c r="B37" s="114" t="s">
        <v>12</v>
      </c>
      <c r="C37" s="109" t="e">
        <f>VLOOKUP(Table257519913140106110151155170176[[#This Row],[PEG]],Table1016[#All],2,FALSE)</f>
        <v>#N/A</v>
      </c>
      <c r="D37" s="117"/>
      <c r="E37" s="125" t="e">
        <f>VLOOKUP(Table257519913140106110151155170176[[#This Row],[PEG]],Table1016[#All],3,FALSE)</f>
        <v>#N/A</v>
      </c>
    </row>
    <row r="38" spans="1:5" x14ac:dyDescent="0.35">
      <c r="A38" s="118">
        <v>31</v>
      </c>
      <c r="B38" s="114" t="s">
        <v>12</v>
      </c>
      <c r="C38" s="109" t="e">
        <f>VLOOKUP(Table257519913140106110151155170176[[#This Row],[PEG]],Table1016[#All],2,FALSE)</f>
        <v>#N/A</v>
      </c>
      <c r="D38" s="117"/>
      <c r="E38" s="125" t="e">
        <f>VLOOKUP(Table257519913140106110151155170176[[#This Row],[PEG]],Table1016[#All],3,FALSE)</f>
        <v>#N/A</v>
      </c>
    </row>
    <row r="39" spans="1:5" x14ac:dyDescent="0.35">
      <c r="A39" s="118">
        <v>32</v>
      </c>
      <c r="B39" s="114" t="s">
        <v>12</v>
      </c>
      <c r="C39" s="109" t="e">
        <f>VLOOKUP(Table257519913140106110151155170176[[#This Row],[PEG]],Table1016[#All],2,FALSE)</f>
        <v>#N/A</v>
      </c>
      <c r="D39" s="117"/>
      <c r="E39" s="125" t="e">
        <f>VLOOKUP(Table257519913140106110151155170176[[#This Row],[PEG]],Table1016[#All],3,FALSE)</f>
        <v>#N/A</v>
      </c>
    </row>
    <row r="40" spans="1:5" x14ac:dyDescent="0.35">
      <c r="A40" s="118">
        <v>33</v>
      </c>
      <c r="B40" s="114" t="s">
        <v>12</v>
      </c>
      <c r="C40" s="109" t="e">
        <f>VLOOKUP(Table257519913140106110151155170176[[#This Row],[PEG]],Table1016[#All],2,FALSE)</f>
        <v>#N/A</v>
      </c>
      <c r="D40" s="117"/>
      <c r="E40" s="125" t="e">
        <f>VLOOKUP(Table257519913140106110151155170176[[#This Row],[PEG]],Table1016[#All],3,FALSE)</f>
        <v>#N/A</v>
      </c>
    </row>
    <row r="41" spans="1:5" x14ac:dyDescent="0.35">
      <c r="A41" s="118">
        <v>34</v>
      </c>
      <c r="B41" s="114" t="s">
        <v>115</v>
      </c>
      <c r="C41" s="109" t="e">
        <f>VLOOKUP(Table257519913140106110151155170176[[#This Row],[PEG]],Table1016[#All],2,FALSE)</f>
        <v>#N/A</v>
      </c>
      <c r="D41" s="117"/>
      <c r="E41" s="125" t="e">
        <f>VLOOKUP(Table257519913140106110151155170176[[#This Row],[PEG]],Table1016[#All],3,FALSE)</f>
        <v>#N/A</v>
      </c>
    </row>
    <row r="42" spans="1:5" x14ac:dyDescent="0.35">
      <c r="A42" s="118">
        <v>35</v>
      </c>
      <c r="B42" s="114" t="s">
        <v>12</v>
      </c>
      <c r="C42" s="109" t="e">
        <f>VLOOKUP(Table257519913140106110151155170176[[#This Row],[PEG]],Table1016[#All],2,FALSE)</f>
        <v>#N/A</v>
      </c>
      <c r="D42" s="115"/>
      <c r="E42" s="125" t="e">
        <f>VLOOKUP(Table257519913140106110151155170176[[#This Row],[PEG]],Table1016[#All],3,FALSE)</f>
        <v>#N/A</v>
      </c>
    </row>
    <row r="43" spans="1:5" x14ac:dyDescent="0.35">
      <c r="A43" s="118">
        <v>36</v>
      </c>
      <c r="B43" s="114" t="s">
        <v>115</v>
      </c>
      <c r="C43" s="109" t="e">
        <f>VLOOKUP(Table257519913140106110151155170176[[#This Row],[PEG]],Table1016[#All],2,FALSE)</f>
        <v>#N/A</v>
      </c>
      <c r="D43" s="115"/>
      <c r="E43" s="125" t="e">
        <f>VLOOKUP(Table257519913140106110151155170176[[#This Row],[PEG]],Table1016[#All],3,FALSE)</f>
        <v>#N/A</v>
      </c>
    </row>
    <row r="44" spans="1:5" x14ac:dyDescent="0.35">
      <c r="A44" s="118">
        <v>37</v>
      </c>
      <c r="B44" s="114" t="s">
        <v>13</v>
      </c>
      <c r="C44" s="18" t="s">
        <v>13</v>
      </c>
      <c r="D44" s="115"/>
      <c r="E44" s="32"/>
    </row>
  </sheetData>
  <mergeCells count="1">
    <mergeCell ref="A1:B1"/>
  </mergeCells>
  <conditionalFormatting sqref="B8:B18">
    <cfRule type="containsText" dxfId="1441" priority="1" operator="containsText" text="Hear">
      <formula>NOT(ISERROR(SEARCH("Hear",B8)))</formula>
    </cfRule>
  </conditionalFormatting>
  <conditionalFormatting sqref="B30">
    <cfRule type="containsText" dxfId="1440" priority="4" operator="containsText" text="Hear">
      <formula>NOT(ISERROR(SEARCH("Hear",B30)))</formula>
    </cfRule>
  </conditionalFormatting>
  <conditionalFormatting sqref="B43:B44">
    <cfRule type="containsText" dxfId="1439" priority="8" operator="containsText" text="Hear">
      <formula>NOT(ISERROR(SEARCH("Hear",B43)))</formula>
    </cfRule>
  </conditionalFormatting>
  <conditionalFormatting sqref="E44">
    <cfRule type="containsText" dxfId="1438" priority="6" operator="containsText" text="WEB SERVICE">
      <formula>NOT(ISERROR(SEARCH("WEB SERVICE",E44)))</formula>
    </cfRule>
    <cfRule type="containsText" dxfId="1437" priority="7" operator="containsText" text="DB">
      <formula>NOT(ISERROR(SEARCH("DB",E44)))</formula>
    </cfRule>
  </conditionalFormatting>
  <conditionalFormatting sqref="C44">
    <cfRule type="expression" dxfId="1436" priority="9">
      <formula>$B44="Dial"</formula>
    </cfRule>
  </conditionalFormatting>
  <conditionalFormatting sqref="C44">
    <cfRule type="expression" dxfId="1435" priority="3">
      <formula>$B44="Speak"</formula>
    </cfRule>
  </conditionalFormatting>
  <conditionalFormatting sqref="B19:B29 B31:B35 B42">
    <cfRule type="containsText" dxfId="1434" priority="5" operator="containsText" text="Hear">
      <formula>NOT(ISERROR(SEARCH("Hear",B19)))</formula>
    </cfRule>
  </conditionalFormatting>
  <hyperlinks>
    <hyperlink ref="A1" location="'Test Case Overview'!A1" display="Return to Test Case Overview" xr:uid="{47A78569-F50A-4070-9115-DE0423DD0B4F}"/>
  </hyperlinks>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expression" priority="2" id="{5DE910C8-4A98-4C82-8525-FE1DE6835489}">
            <xm:f>'TC1'!$B8="HANGUP"</xm:f>
            <x14:dxf>
              <font>
                <b/>
                <i val="0"/>
              </font>
            </x14:dxf>
          </x14:cfRule>
          <x14:cfRule type="expression" priority="10" id="{65F572FA-7E3F-49AE-B75C-F76EE35FA118}">
            <xm:f>'TC1'!$B8="Dial"</xm:f>
            <x14:dxf>
              <font>
                <b/>
                <i val="0"/>
                <color rgb="FFFF0000"/>
              </font>
            </x14:dxf>
          </x14:cfRule>
          <xm:sqref>C8</xm:sqref>
        </x14:conditionalFormatting>
        <x14:conditionalFormatting xmlns:xm="http://schemas.microsoft.com/office/excel/2006/main">
          <x14:cfRule type="expression" priority="11" id="{998C6CA6-3600-4D52-815B-DD05D400FE4D}">
            <xm:f>'TC1'!$B8="Speak"</xm:f>
            <x14:dxf>
              <font>
                <b/>
                <i val="0"/>
                <color rgb="FFFF0000"/>
              </font>
            </x14:dxf>
          </x14:cfRule>
          <xm:sqref>C8</xm:sqref>
        </x14:conditionalFormatting>
        <x14:conditionalFormatting xmlns:xm="http://schemas.microsoft.com/office/excel/2006/main">
          <x14:cfRule type="containsText" priority="14" operator="containsText" text="Hear" id="{1C8D8728-6792-47C5-83AF-9A067C11E059}">
            <xm:f>NOT(ISERROR(SEARCH("Hear",'TC3'!B34)))</xm:f>
            <x14:dxf>
              <font>
                <color theme="9" tint="-0.24994659260841701"/>
              </font>
              <fill>
                <patternFill>
                  <bgColor theme="9" tint="0.59996337778862885"/>
                </patternFill>
              </fill>
            </x14:dxf>
          </x14:cfRule>
          <xm:sqref>B41</xm:sqref>
        </x14:conditionalFormatting>
        <x14:conditionalFormatting xmlns:xm="http://schemas.microsoft.com/office/excel/2006/main">
          <x14:cfRule type="expression" priority="2943" id="{5DE910C8-4A98-4C82-8525-FE1DE6835489}">
            <xm:f>'TC1'!$B16="HANGUP"</xm:f>
            <x14:dxf>
              <font>
                <b/>
                <i val="0"/>
              </font>
            </x14:dxf>
          </x14:cfRule>
          <x14:cfRule type="expression" priority="2944" id="{65F572FA-7E3F-49AE-B75C-F76EE35FA118}">
            <xm:f>'TC1'!$B16="Dial"</xm:f>
            <x14:dxf>
              <font>
                <b/>
                <i val="0"/>
                <color rgb="FFFF0000"/>
              </font>
            </x14:dxf>
          </x14:cfRule>
          <xm:sqref>C34:C43</xm:sqref>
        </x14:conditionalFormatting>
        <x14:conditionalFormatting xmlns:xm="http://schemas.microsoft.com/office/excel/2006/main">
          <x14:cfRule type="expression" priority="2945" id="{5DE910C8-4A98-4C82-8525-FE1DE6835489}">
            <xm:f>'TC1'!#REF!="HANGUP"</xm:f>
            <x14:dxf>
              <font>
                <b/>
                <i val="0"/>
              </font>
            </x14:dxf>
          </x14:cfRule>
          <x14:cfRule type="expression" priority="2946" id="{65F572FA-7E3F-49AE-B75C-F76EE35FA118}">
            <xm:f>'TC1'!#REF!="Dial"</xm:f>
            <x14:dxf>
              <font>
                <b/>
                <i val="0"/>
                <color rgb="FFFF0000"/>
              </font>
            </x14:dxf>
          </x14:cfRule>
          <xm:sqref>C17:C33</xm:sqref>
        </x14:conditionalFormatting>
        <x14:conditionalFormatting xmlns:xm="http://schemas.microsoft.com/office/excel/2006/main">
          <x14:cfRule type="expression" priority="2950" id="{998C6CA6-3600-4D52-815B-DD05D400FE4D}">
            <xm:f>'TC1'!$B16="Speak"</xm:f>
            <x14:dxf>
              <font>
                <b/>
                <i val="0"/>
                <color rgb="FFFF0000"/>
              </font>
            </x14:dxf>
          </x14:cfRule>
          <xm:sqref>C34:C43</xm:sqref>
        </x14:conditionalFormatting>
        <x14:conditionalFormatting xmlns:xm="http://schemas.microsoft.com/office/excel/2006/main">
          <x14:cfRule type="expression" priority="2951" id="{998C6CA6-3600-4D52-815B-DD05D400FE4D}">
            <xm:f>'TC1'!#REF!="Speak"</xm:f>
            <x14:dxf>
              <font>
                <b/>
                <i val="0"/>
                <color rgb="FFFF0000"/>
              </font>
            </x14:dxf>
          </x14:cfRule>
          <xm:sqref>C17:C33</xm:sqref>
        </x14:conditionalFormatting>
        <x14:conditionalFormatting xmlns:xm="http://schemas.microsoft.com/office/excel/2006/main">
          <x14:cfRule type="containsText" priority="2955" operator="containsText" text="DB" id="{475FAC40-EA11-43A6-8A80-F912ADDEBF61}">
            <xm:f>NOT(ISERROR(SEARCH("DB",'TC1'!E16)))</xm:f>
            <x14:dxf>
              <font>
                <color rgb="FF006100"/>
              </font>
              <fill>
                <patternFill>
                  <bgColor rgb="FFC6EFCE"/>
                </patternFill>
              </fill>
            </x14:dxf>
          </x14:cfRule>
          <x14:cfRule type="containsText" priority="2956" operator="containsText" text="WEB SERVICE" id="{9229735E-FE5E-4EFC-9070-AD4E605798E5}">
            <xm:f>NOT(ISERROR(SEARCH("WEB SERVICE",'TC1'!E16)))</xm:f>
            <x14:dxf>
              <font>
                <color rgb="FF9C0006"/>
              </font>
              <fill>
                <patternFill>
                  <bgColor rgb="FFFFC7CE"/>
                </patternFill>
              </fill>
            </x14:dxf>
          </x14:cfRule>
          <xm:sqref>E34:E43</xm:sqref>
        </x14:conditionalFormatting>
        <x14:conditionalFormatting xmlns:xm="http://schemas.microsoft.com/office/excel/2006/main">
          <x14:cfRule type="containsText" priority="2957" operator="containsText" text="DB" id="{475FAC40-EA11-43A6-8A80-F912ADDEBF61}">
            <xm:f>NOT(ISERROR(SEARCH("DB",'TC1'!#REF!)))</xm:f>
            <x14:dxf>
              <font>
                <color rgb="FF006100"/>
              </font>
              <fill>
                <patternFill>
                  <bgColor rgb="FFC6EFCE"/>
                </patternFill>
              </fill>
            </x14:dxf>
          </x14:cfRule>
          <x14:cfRule type="containsText" priority="2958" operator="containsText" text="WEB SERVICE" id="{9229735E-FE5E-4EFC-9070-AD4E605798E5}">
            <xm:f>NOT(ISERROR(SEARCH("WEB SERVICE",'TC1'!#REF!)))</xm:f>
            <x14:dxf>
              <font>
                <color rgb="FF9C0006"/>
              </font>
              <fill>
                <patternFill>
                  <bgColor rgb="FFFFC7CE"/>
                </patternFill>
              </fill>
            </x14:dxf>
          </x14:cfRule>
          <xm:sqref>E17:E33</xm:sqref>
        </x14:conditionalFormatting>
        <x14:conditionalFormatting xmlns:xm="http://schemas.microsoft.com/office/excel/2006/main">
          <x14:cfRule type="expression" priority="5587" id="{5DE910C8-4A98-4C82-8525-FE1DE6835489}">
            <xm:f>'TC1'!$B9="HANGUP"</xm:f>
            <x14:dxf>
              <font>
                <b/>
                <i val="0"/>
              </font>
            </x14:dxf>
          </x14:cfRule>
          <x14:cfRule type="expression" priority="5588" id="{65F572FA-7E3F-49AE-B75C-F76EE35FA118}">
            <xm:f>'TC1'!$B9="Dial"</xm:f>
            <x14:dxf>
              <font>
                <b/>
                <i val="0"/>
                <color rgb="FFFF0000"/>
              </font>
            </x14:dxf>
          </x14:cfRule>
          <xm:sqref>C12:C15</xm:sqref>
        </x14:conditionalFormatting>
        <x14:conditionalFormatting xmlns:xm="http://schemas.microsoft.com/office/excel/2006/main">
          <x14:cfRule type="expression" priority="5589" id="{5DE910C8-4A98-4C82-8525-FE1DE6835489}">
            <xm:f>'TC1'!#REF!="HANGUP"</xm:f>
            <x14:dxf>
              <font>
                <b/>
                <i val="0"/>
              </font>
            </x14:dxf>
          </x14:cfRule>
          <x14:cfRule type="expression" priority="5590" id="{65F572FA-7E3F-49AE-B75C-F76EE35FA118}">
            <xm:f>'TC1'!#REF!="Dial"</xm:f>
            <x14:dxf>
              <font>
                <b/>
                <i val="0"/>
                <color rgb="FFFF0000"/>
              </font>
            </x14:dxf>
          </x14:cfRule>
          <xm:sqref>C9:C11</xm:sqref>
        </x14:conditionalFormatting>
        <x14:conditionalFormatting xmlns:xm="http://schemas.microsoft.com/office/excel/2006/main">
          <x14:cfRule type="expression" priority="5594" id="{998C6CA6-3600-4D52-815B-DD05D400FE4D}">
            <xm:f>'TC1'!$B9="Speak"</xm:f>
            <x14:dxf>
              <font>
                <b/>
                <i val="0"/>
                <color rgb="FFFF0000"/>
              </font>
            </x14:dxf>
          </x14:cfRule>
          <xm:sqref>C12:C15</xm:sqref>
        </x14:conditionalFormatting>
        <x14:conditionalFormatting xmlns:xm="http://schemas.microsoft.com/office/excel/2006/main">
          <x14:cfRule type="expression" priority="5595" id="{998C6CA6-3600-4D52-815B-DD05D400FE4D}">
            <xm:f>'TC1'!#REF!="Speak"</xm:f>
            <x14:dxf>
              <font>
                <b/>
                <i val="0"/>
                <color rgb="FFFF0000"/>
              </font>
            </x14:dxf>
          </x14:cfRule>
          <xm:sqref>C9:C11</xm:sqref>
        </x14:conditionalFormatting>
        <x14:conditionalFormatting xmlns:xm="http://schemas.microsoft.com/office/excel/2006/main">
          <x14:cfRule type="containsText" priority="5597" operator="containsText" text="DB" id="{475FAC40-EA11-43A6-8A80-F912ADDEBF61}">
            <xm:f>NOT(ISERROR(SEARCH("DB",'TC1'!#REF!)))</xm:f>
            <x14:dxf>
              <font>
                <color rgb="FF006100"/>
              </font>
              <fill>
                <patternFill>
                  <bgColor rgb="FFC6EFCE"/>
                </patternFill>
              </fill>
            </x14:dxf>
          </x14:cfRule>
          <x14:cfRule type="containsText" priority="5598" operator="containsText" text="WEB SERVICE" id="{9229735E-FE5E-4EFC-9070-AD4E605798E5}">
            <xm:f>NOT(ISERROR(SEARCH("WEB SERVICE",'TC1'!#REF!)))</xm:f>
            <x14:dxf>
              <font>
                <color rgb="FF9C0006"/>
              </font>
              <fill>
                <patternFill>
                  <bgColor rgb="FFFFC7CE"/>
                </patternFill>
              </fill>
            </x14:dxf>
          </x14:cfRule>
          <xm:sqref>E9:E11</xm:sqref>
        </x14:conditionalFormatting>
        <x14:conditionalFormatting xmlns:xm="http://schemas.microsoft.com/office/excel/2006/main">
          <x14:cfRule type="containsText" priority="5599" operator="containsText" text="DB" id="{475FAC40-EA11-43A6-8A80-F912ADDEBF61}">
            <xm:f>NOT(ISERROR(SEARCH("DB",'TC1'!E9)))</xm:f>
            <x14:dxf>
              <font>
                <color rgb="FF006100"/>
              </font>
              <fill>
                <patternFill>
                  <bgColor rgb="FFC6EFCE"/>
                </patternFill>
              </fill>
            </x14:dxf>
          </x14:cfRule>
          <x14:cfRule type="containsText" priority="5600" operator="containsText" text="WEB SERVICE" id="{9229735E-FE5E-4EFC-9070-AD4E605798E5}">
            <xm:f>NOT(ISERROR(SEARCH("WEB SERVICE",'TC1'!E9)))</xm:f>
            <x14:dxf>
              <font>
                <color rgb="FF9C0006"/>
              </font>
              <fill>
                <patternFill>
                  <bgColor rgb="FFFFC7CE"/>
                </patternFill>
              </fill>
            </x14:dxf>
          </x14:cfRule>
          <xm:sqref>E12:E15</xm:sqref>
        </x14:conditionalFormatting>
        <x14:conditionalFormatting xmlns:xm="http://schemas.microsoft.com/office/excel/2006/main">
          <x14:cfRule type="expression" priority="7835" id="{5DE910C8-4A98-4C82-8525-FE1DE6835489}">
            <xm:f>'TC1'!$B15="HANGUP"</xm:f>
            <x14:dxf>
              <font>
                <b/>
                <i val="0"/>
              </font>
            </x14:dxf>
          </x14:cfRule>
          <x14:cfRule type="expression" priority="7836" id="{65F572FA-7E3F-49AE-B75C-F76EE35FA118}">
            <xm:f>'TC1'!$B15="Dial"</xm:f>
            <x14:dxf>
              <font>
                <b/>
                <i val="0"/>
                <color rgb="FFFF0000"/>
              </font>
            </x14:dxf>
          </x14:cfRule>
          <xm:sqref>C16</xm:sqref>
        </x14:conditionalFormatting>
        <x14:conditionalFormatting xmlns:xm="http://schemas.microsoft.com/office/excel/2006/main">
          <x14:cfRule type="expression" priority="7838" id="{998C6CA6-3600-4D52-815B-DD05D400FE4D}">
            <xm:f>'TC1'!$B15="Speak"</xm:f>
            <x14:dxf>
              <font>
                <b/>
                <i val="0"/>
                <color rgb="FFFF0000"/>
              </font>
            </x14:dxf>
          </x14:cfRule>
          <xm:sqref>C16</xm:sqref>
        </x14:conditionalFormatting>
        <x14:conditionalFormatting xmlns:xm="http://schemas.microsoft.com/office/excel/2006/main">
          <x14:cfRule type="containsText" priority="7841" operator="containsText" text="DB" id="{475FAC40-EA11-43A6-8A80-F912ADDEBF61}">
            <xm:f>NOT(ISERROR(SEARCH("DB",'TC1'!E15)))</xm:f>
            <x14:dxf>
              <font>
                <color rgb="FF006100"/>
              </font>
              <fill>
                <patternFill>
                  <bgColor rgb="FFC6EFCE"/>
                </patternFill>
              </fill>
            </x14:dxf>
          </x14:cfRule>
          <x14:cfRule type="containsText" priority="7842" operator="containsText" text="WEB SERVICE" id="{9229735E-FE5E-4EFC-9070-AD4E605798E5}">
            <xm:f>NOT(ISERROR(SEARCH("WEB SERVICE",'TC1'!E15)))</xm:f>
            <x14:dxf>
              <font>
                <color rgb="FF9C0006"/>
              </font>
              <fill>
                <patternFill>
                  <bgColor rgb="FFFFC7CE"/>
                </patternFill>
              </fill>
            </x14:dxf>
          </x14:cfRule>
          <xm:sqref>E16</xm:sqref>
        </x14:conditionalFormatting>
        <x14:conditionalFormatting xmlns:xm="http://schemas.microsoft.com/office/excel/2006/main">
          <x14:cfRule type="containsText" priority="10514" operator="containsText" text="Hear" id="{2E290837-9B8B-4657-BBD3-241AF71C6119}">
            <xm:f>NOT(ISERROR(SEARCH("Hear",'TC26'!#REF!)))</xm:f>
            <x14:dxf>
              <font>
                <color theme="9" tint="-0.24994659260841701"/>
              </font>
              <fill>
                <patternFill>
                  <bgColor theme="9" tint="0.59996337778862885"/>
                </patternFill>
              </fill>
            </x14:dxf>
          </x14:cfRule>
          <xm:sqref>B39</xm:sqref>
        </x14:conditionalFormatting>
      </x14:conditionalFormattings>
    </ext>
  </extLst>
</worksheet>
</file>

<file path=xl/worksheets/sheet1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700-000000000000}">
  <sheetPr codeName="Sheet137"/>
  <dimension ref="A1:E44"/>
  <sheetViews>
    <sheetView zoomScaleNormal="100" workbookViewId="0">
      <selection sqref="A1:E44"/>
    </sheetView>
  </sheetViews>
  <sheetFormatPr defaultRowHeight="14.5" x14ac:dyDescent="0.35"/>
  <cols>
    <col min="1" max="1" width="14.453125" bestFit="1" customWidth="1"/>
    <col min="2" max="2" width="42.6328125" customWidth="1"/>
    <col min="3" max="3" width="106.1796875" customWidth="1"/>
    <col min="4" max="4" width="21.81640625" bestFit="1" customWidth="1"/>
    <col min="5" max="5" width="20.6328125" customWidth="1"/>
  </cols>
  <sheetData>
    <row r="1" spans="1:5" ht="18.5" x14ac:dyDescent="0.35">
      <c r="A1" s="192" t="s">
        <v>4</v>
      </c>
      <c r="B1" s="192"/>
      <c r="C1" s="105"/>
      <c r="D1" s="111"/>
      <c r="E1" s="97"/>
    </row>
    <row r="2" spans="1:5" x14ac:dyDescent="0.35">
      <c r="A2" s="106" t="s">
        <v>5</v>
      </c>
      <c r="B2" s="107" t="str">
        <f ca="1">MID(CELL("filename",A1),FIND("]",CELL("filename",A1))+1,LEN(CELL("filename",A1))-FIND("]",CELL("filename",A1)))</f>
        <v>TC135</v>
      </c>
      <c r="C2" s="98"/>
      <c r="D2" s="111"/>
      <c r="E2" s="97"/>
    </row>
    <row r="3" spans="1:5" x14ac:dyDescent="0.35">
      <c r="A3" s="104" t="s">
        <v>19</v>
      </c>
      <c r="B3" s="112" t="e">
        <f ca="1">VLOOKUP(B2,Table53[#All],2,FALSE)</f>
        <v>#N/A</v>
      </c>
      <c r="C3" s="98"/>
      <c r="D3" s="111"/>
      <c r="E3" s="97"/>
    </row>
    <row r="4" spans="1:5" ht="29" x14ac:dyDescent="0.35">
      <c r="A4" s="113" t="s">
        <v>20</v>
      </c>
      <c r="B4" s="99" t="e">
        <f ca="1">VLOOKUP(B2,Table53[#All],4,FALSE)</f>
        <v>#N/A</v>
      </c>
      <c r="C4" s="98"/>
      <c r="D4" s="111"/>
      <c r="E4" s="97"/>
    </row>
    <row r="5" spans="1:5" x14ac:dyDescent="0.35">
      <c r="A5" s="104" t="s">
        <v>6</v>
      </c>
      <c r="B5" s="77" t="e">
        <f ca="1">VLOOKUP(B2,Table53[#All],3,FALSE)</f>
        <v>#N/A</v>
      </c>
      <c r="C5" s="98"/>
      <c r="D5" s="111"/>
      <c r="E5" s="97"/>
    </row>
    <row r="6" spans="1:5" x14ac:dyDescent="0.35">
      <c r="A6" s="97"/>
      <c r="B6" s="97"/>
      <c r="C6" s="98"/>
      <c r="D6" s="111"/>
      <c r="E6" s="97"/>
    </row>
    <row r="7" spans="1:5" ht="15.5" x14ac:dyDescent="0.35">
      <c r="A7" s="100" t="s">
        <v>7</v>
      </c>
      <c r="B7" s="101" t="s">
        <v>8</v>
      </c>
      <c r="C7" s="102" t="s">
        <v>9</v>
      </c>
      <c r="D7" s="102" t="s">
        <v>14</v>
      </c>
      <c r="E7" s="103" t="s">
        <v>10</v>
      </c>
    </row>
    <row r="8" spans="1:5" x14ac:dyDescent="0.35">
      <c r="A8" s="118">
        <v>1</v>
      </c>
      <c r="B8" s="114" t="s">
        <v>114</v>
      </c>
      <c r="C8" s="109" t="s">
        <v>125</v>
      </c>
      <c r="D8" s="128"/>
      <c r="E8" s="125" t="s">
        <v>11</v>
      </c>
    </row>
    <row r="9" spans="1:5" x14ac:dyDescent="0.35">
      <c r="A9" s="118">
        <v>2</v>
      </c>
      <c r="B9" s="114" t="s">
        <v>12</v>
      </c>
      <c r="C9" s="109" t="e">
        <f>VLOOKUP(Table257519913140106110151155170178[[#This Row],[PEG]],Table1016[#All],2,FALSE)</f>
        <v>#N/A</v>
      </c>
      <c r="D9" s="128"/>
      <c r="E9" s="125" t="e">
        <f>VLOOKUP(Table257519913140106110151155170178[[#This Row],[PEG]],Table1016[#All],3,FALSE)</f>
        <v>#N/A</v>
      </c>
    </row>
    <row r="10" spans="1:5" x14ac:dyDescent="0.35">
      <c r="A10" s="118">
        <v>3</v>
      </c>
      <c r="B10" s="114" t="s">
        <v>115</v>
      </c>
      <c r="C10" s="109" t="e">
        <f>VLOOKUP(Table257519913140106110151155170178[[#This Row],[PEG]],Table1016[#All],2,FALSE)</f>
        <v>#N/A</v>
      </c>
      <c r="D10" s="128"/>
      <c r="E10" s="125" t="e">
        <f>VLOOKUP(Table257519913140106110151155170178[[#This Row],[PEG]],Table1016[#All],3,FALSE)</f>
        <v>#N/A</v>
      </c>
    </row>
    <row r="11" spans="1:5" x14ac:dyDescent="0.35">
      <c r="A11" s="118">
        <v>4</v>
      </c>
      <c r="B11" s="114" t="s">
        <v>115</v>
      </c>
      <c r="C11" s="109" t="e">
        <f>VLOOKUP(Table257519913140106110151155170178[[#This Row],[PEG]],Table1016[#All],2,FALSE)</f>
        <v>#N/A</v>
      </c>
      <c r="D11" s="128"/>
      <c r="E11" s="125" t="e">
        <f>VLOOKUP(Table257519913140106110151155170178[[#This Row],[PEG]],Table1016[#All],3,FALSE)</f>
        <v>#N/A</v>
      </c>
    </row>
    <row r="12" spans="1:5" x14ac:dyDescent="0.35">
      <c r="A12" s="118">
        <v>5</v>
      </c>
      <c r="B12" s="114" t="s">
        <v>114</v>
      </c>
      <c r="C12" s="109" t="e">
        <f>VLOOKUP(Table257519913140106110151155170178[[#This Row],[PEG]],Table1016[#All],2,FALSE)</f>
        <v>#N/A</v>
      </c>
      <c r="D12" s="128"/>
      <c r="E12" s="125" t="e">
        <f>VLOOKUP(Table257519913140106110151155170178[[#This Row],[PEG]],Table1016[#All],3,FALSE)</f>
        <v>#N/A</v>
      </c>
    </row>
    <row r="13" spans="1:5" x14ac:dyDescent="0.35">
      <c r="A13" s="118">
        <v>6</v>
      </c>
      <c r="B13" s="114" t="s">
        <v>115</v>
      </c>
      <c r="C13" s="109" t="e">
        <f>VLOOKUP(Table257519913140106110151155170178[[#This Row],[PEG]],Table1016[#All],2,FALSE)</f>
        <v>#N/A</v>
      </c>
      <c r="D13" s="128"/>
      <c r="E13" s="125" t="e">
        <f>VLOOKUP(Table257519913140106110151155170178[[#This Row],[PEG]],Table1016[#All],3,FALSE)</f>
        <v>#N/A</v>
      </c>
    </row>
    <row r="14" spans="1:5" x14ac:dyDescent="0.35">
      <c r="A14" s="118">
        <v>7</v>
      </c>
      <c r="B14" s="114" t="s">
        <v>114</v>
      </c>
      <c r="C14" s="109" t="e">
        <f>VLOOKUP(Table257519913140106110151155170178[[#This Row],[PEG]],Table1016[#All],2,FALSE)</f>
        <v>#N/A</v>
      </c>
      <c r="D14" s="128"/>
      <c r="E14" s="125" t="e">
        <f>VLOOKUP(Table257519913140106110151155170178[[#This Row],[PEG]],Table1016[#All],3,FALSE)</f>
        <v>#N/A</v>
      </c>
    </row>
    <row r="15" spans="1:5" x14ac:dyDescent="0.35">
      <c r="A15" s="118">
        <v>8</v>
      </c>
      <c r="B15" s="114" t="s">
        <v>115</v>
      </c>
      <c r="C15" s="109" t="e">
        <f>VLOOKUP(Table257519913140106110151155170178[[#This Row],[PEG]],Table1016[#All],2,FALSE)</f>
        <v>#N/A</v>
      </c>
      <c r="D15" s="116"/>
      <c r="E15" s="125" t="e">
        <f>VLOOKUP(Table257519913140106110151155170178[[#This Row],[PEG]],Table1016[#All],3,FALSE)</f>
        <v>#N/A</v>
      </c>
    </row>
    <row r="16" spans="1:5" x14ac:dyDescent="0.35">
      <c r="A16" s="118">
        <v>9</v>
      </c>
      <c r="B16" s="114" t="s">
        <v>12</v>
      </c>
      <c r="C16" s="109" t="e">
        <f>VLOOKUP(Table257519913140106110151155170178[[#This Row],[PEG]],Table1016[#All],2,FALSE)</f>
        <v>#N/A</v>
      </c>
      <c r="D16" s="116"/>
      <c r="E16" s="125" t="e">
        <f>VLOOKUP(Table257519913140106110151155170178[[#This Row],[PEG]],Table1016[#All],3,FALSE)</f>
        <v>#N/A</v>
      </c>
    </row>
    <row r="17" spans="1:5" x14ac:dyDescent="0.35">
      <c r="A17" s="118">
        <v>10</v>
      </c>
      <c r="B17" s="114" t="s">
        <v>12</v>
      </c>
      <c r="C17" s="109" t="e">
        <f>VLOOKUP(Table257519913140106110151155170178[[#This Row],[PEG]],Table1016[#All],2,FALSE)</f>
        <v>#N/A</v>
      </c>
      <c r="D17" s="117"/>
      <c r="E17" s="125" t="e">
        <f>VLOOKUP(Table257519913140106110151155170178[[#This Row],[PEG]],Table1016[#All],3,FALSE)</f>
        <v>#N/A</v>
      </c>
    </row>
    <row r="18" spans="1:5" x14ac:dyDescent="0.35">
      <c r="A18" s="118">
        <v>11</v>
      </c>
      <c r="B18" s="114" t="s">
        <v>115</v>
      </c>
      <c r="C18" s="109" t="e">
        <f>VLOOKUP(Table257519913140106110151155170178[[#This Row],[PEG]],Table1016[#All],2,FALSE)</f>
        <v>#N/A</v>
      </c>
      <c r="D18" s="117"/>
      <c r="E18" s="125" t="e">
        <f>VLOOKUP(Table257519913140106110151155170178[[#This Row],[PEG]],Table1016[#All],3,FALSE)</f>
        <v>#N/A</v>
      </c>
    </row>
    <row r="19" spans="1:5" x14ac:dyDescent="0.35">
      <c r="A19" s="118">
        <v>12</v>
      </c>
      <c r="B19" s="114" t="s">
        <v>115</v>
      </c>
      <c r="C19" s="109" t="e">
        <f>VLOOKUP(Table257519913140106110151155170178[[#This Row],[PEG]],Table1016[#All],2,FALSE)</f>
        <v>#N/A</v>
      </c>
      <c r="D19" s="117"/>
      <c r="E19" s="125" t="e">
        <f>VLOOKUP(Table257519913140106110151155170178[[#This Row],[PEG]],Table1016[#All],3,FALSE)</f>
        <v>#N/A</v>
      </c>
    </row>
    <row r="20" spans="1:5" x14ac:dyDescent="0.35">
      <c r="A20" s="118">
        <v>13</v>
      </c>
      <c r="B20" s="114" t="s">
        <v>114</v>
      </c>
      <c r="C20" s="109" t="e">
        <f>VLOOKUP(Table257519913140106110151155170178[[#This Row],[PEG]],Table1016[#All],2,FALSE)</f>
        <v>#N/A</v>
      </c>
      <c r="D20" s="117"/>
      <c r="E20" s="125" t="e">
        <f>VLOOKUP(Table257519913140106110151155170178[[#This Row],[PEG]],Table1016[#All],3,FALSE)</f>
        <v>#N/A</v>
      </c>
    </row>
    <row r="21" spans="1:5" x14ac:dyDescent="0.35">
      <c r="A21" s="118">
        <v>14</v>
      </c>
      <c r="B21" s="114" t="s">
        <v>12</v>
      </c>
      <c r="C21" s="109" t="e">
        <f>VLOOKUP(Table257519913140106110151155170178[[#This Row],[PEG]],Table1016[#All],2,FALSE)</f>
        <v>#N/A</v>
      </c>
      <c r="D21" s="117"/>
      <c r="E21" s="125" t="e">
        <f>VLOOKUP(Table257519913140106110151155170178[[#This Row],[PEG]],Table1016[#All],3,FALSE)</f>
        <v>#N/A</v>
      </c>
    </row>
    <row r="22" spans="1:5" x14ac:dyDescent="0.35">
      <c r="A22" s="118">
        <v>15</v>
      </c>
      <c r="B22" s="114" t="s">
        <v>12</v>
      </c>
      <c r="C22" s="109" t="e">
        <f>VLOOKUP(Table257519913140106110151155170178[[#This Row],[PEG]],Table1016[#All],2,FALSE)</f>
        <v>#N/A</v>
      </c>
      <c r="D22" s="117"/>
      <c r="E22" s="125" t="e">
        <f>VLOOKUP(Table257519913140106110151155170178[[#This Row],[PEG]],Table1016[#All],3,FALSE)</f>
        <v>#N/A</v>
      </c>
    </row>
    <row r="23" spans="1:5" x14ac:dyDescent="0.35">
      <c r="A23" s="118">
        <v>16</v>
      </c>
      <c r="B23" s="114" t="s">
        <v>115</v>
      </c>
      <c r="C23" s="109" t="e">
        <f>VLOOKUP(Table257519913140106110151155170178[[#This Row],[PEG]],Table1016[#All],2,FALSE)</f>
        <v>#N/A</v>
      </c>
      <c r="D23" s="117"/>
      <c r="E23" s="125" t="e">
        <f>VLOOKUP(Table257519913140106110151155170178[[#This Row],[PEG]],Table1016[#All],3,FALSE)</f>
        <v>#N/A</v>
      </c>
    </row>
    <row r="24" spans="1:5" x14ac:dyDescent="0.35">
      <c r="A24" s="118">
        <v>17</v>
      </c>
      <c r="B24" s="114" t="s">
        <v>114</v>
      </c>
      <c r="C24" s="109" t="e">
        <f>VLOOKUP(Table257519913140106110151155170178[[#This Row],[PEG]],Table1016[#All],2,FALSE)</f>
        <v>#N/A</v>
      </c>
      <c r="D24" s="117"/>
      <c r="E24" s="125" t="e">
        <f>VLOOKUP(Table257519913140106110151155170178[[#This Row],[PEG]],Table1016[#All],3,FALSE)</f>
        <v>#N/A</v>
      </c>
    </row>
    <row r="25" spans="1:5" x14ac:dyDescent="0.35">
      <c r="A25" s="118">
        <v>18</v>
      </c>
      <c r="B25" s="114" t="s">
        <v>12</v>
      </c>
      <c r="C25" s="109" t="e">
        <f>VLOOKUP(Table257519913140106110151155170178[[#This Row],[PEG]],Table1016[#All],2,FALSE)</f>
        <v>#N/A</v>
      </c>
      <c r="D25" s="117"/>
      <c r="E25" s="125" t="e">
        <f>VLOOKUP(Table257519913140106110151155170178[[#This Row],[PEG]],Table1016[#All],3,FALSE)</f>
        <v>#N/A</v>
      </c>
    </row>
    <row r="26" spans="1:5" x14ac:dyDescent="0.35">
      <c r="A26" s="118">
        <v>19</v>
      </c>
      <c r="B26" s="114" t="s">
        <v>12</v>
      </c>
      <c r="C26" s="109" t="e">
        <f>VLOOKUP(Table257519913140106110151155170178[[#This Row],[PEG]],Table1016[#All],2,FALSE)</f>
        <v>#N/A</v>
      </c>
      <c r="D26" s="117"/>
      <c r="E26" s="125" t="e">
        <f>VLOOKUP(Table257519913140106110151155170178[[#This Row],[PEG]],Table1016[#All],3,FALSE)</f>
        <v>#N/A</v>
      </c>
    </row>
    <row r="27" spans="1:5" x14ac:dyDescent="0.35">
      <c r="A27" s="118">
        <v>20</v>
      </c>
      <c r="B27" s="114" t="s">
        <v>115</v>
      </c>
      <c r="C27" s="109" t="e">
        <f>VLOOKUP(Table257519913140106110151155170178[[#This Row],[PEG]],Table1016[#All],2,FALSE)</f>
        <v>#N/A</v>
      </c>
      <c r="D27" s="117"/>
      <c r="E27" s="125" t="e">
        <f>VLOOKUP(Table257519913140106110151155170178[[#This Row],[PEG]],Table1016[#All],3,FALSE)</f>
        <v>#N/A</v>
      </c>
    </row>
    <row r="28" spans="1:5" x14ac:dyDescent="0.35">
      <c r="A28" s="118">
        <v>21</v>
      </c>
      <c r="B28" s="114" t="s">
        <v>114</v>
      </c>
      <c r="C28" s="109" t="e">
        <f>VLOOKUP(Table257519913140106110151155170178[[#This Row],[PEG]],Table1016[#All],2,FALSE)</f>
        <v>#N/A</v>
      </c>
      <c r="D28" s="117"/>
      <c r="E28" s="125" t="e">
        <f>VLOOKUP(Table257519913140106110151155170178[[#This Row],[PEG]],Table1016[#All],3,FALSE)</f>
        <v>#N/A</v>
      </c>
    </row>
    <row r="29" spans="1:5" x14ac:dyDescent="0.35">
      <c r="A29" s="118">
        <v>22</v>
      </c>
      <c r="B29" s="114" t="s">
        <v>12</v>
      </c>
      <c r="C29" s="109" t="e">
        <f>VLOOKUP(Table257519913140106110151155170178[[#This Row],[PEG]],Table1016[#All],2,FALSE)</f>
        <v>#N/A</v>
      </c>
      <c r="D29" s="117"/>
      <c r="E29" s="125" t="e">
        <f>VLOOKUP(Table257519913140106110151155170178[[#This Row],[PEG]],Table1016[#All],3,FALSE)</f>
        <v>#N/A</v>
      </c>
    </row>
    <row r="30" spans="1:5" x14ac:dyDescent="0.35">
      <c r="A30" s="118">
        <v>23</v>
      </c>
      <c r="B30" s="114" t="s">
        <v>12</v>
      </c>
      <c r="C30" s="109" t="e">
        <f>VLOOKUP(Table257519913140106110151155170178[[#This Row],[PEG]],Table1016[#All],2,FALSE)</f>
        <v>#N/A</v>
      </c>
      <c r="D30" s="117"/>
      <c r="E30" s="125" t="e">
        <f>VLOOKUP(Table257519913140106110151155170178[[#This Row],[PEG]],Table1016[#All],3,FALSE)</f>
        <v>#N/A</v>
      </c>
    </row>
    <row r="31" spans="1:5" x14ac:dyDescent="0.35">
      <c r="A31" s="118">
        <v>24</v>
      </c>
      <c r="B31" s="114" t="s">
        <v>115</v>
      </c>
      <c r="C31" s="109" t="e">
        <f>VLOOKUP(Table257519913140106110151155170178[[#This Row],[PEG]],Table1016[#All],2,FALSE)</f>
        <v>#N/A</v>
      </c>
      <c r="D31" s="117"/>
      <c r="E31" s="125" t="e">
        <f>VLOOKUP(Table257519913140106110151155170178[[#This Row],[PEG]],Table1016[#All],3,FALSE)</f>
        <v>#N/A</v>
      </c>
    </row>
    <row r="32" spans="1:5" x14ac:dyDescent="0.35">
      <c r="A32" s="118">
        <v>25</v>
      </c>
      <c r="B32" s="114" t="s">
        <v>115</v>
      </c>
      <c r="C32" s="109" t="e">
        <f>VLOOKUP(Table257519913140106110151155170178[[#This Row],[PEG]],Table1016[#All],2,FALSE)</f>
        <v>#N/A</v>
      </c>
      <c r="D32" s="117"/>
      <c r="E32" s="125" t="e">
        <f>VLOOKUP(Table257519913140106110151155170178[[#This Row],[PEG]],Table1016[#All],3,FALSE)</f>
        <v>#N/A</v>
      </c>
    </row>
    <row r="33" spans="1:5" x14ac:dyDescent="0.35">
      <c r="A33" s="118">
        <v>26</v>
      </c>
      <c r="B33" s="114" t="s">
        <v>124</v>
      </c>
      <c r="C33" s="109" t="e">
        <f>VLOOKUP(Table257519913140106110151155170178[[#This Row],[PEG]],Table1016[#All],2,FALSE)</f>
        <v>#N/A</v>
      </c>
      <c r="D33" s="117"/>
      <c r="E33" s="125" t="e">
        <f>VLOOKUP(Table257519913140106110151155170178[[#This Row],[PEG]],Table1016[#All],3,FALSE)</f>
        <v>#N/A</v>
      </c>
    </row>
    <row r="34" spans="1:5" x14ac:dyDescent="0.35">
      <c r="A34" s="118">
        <v>27</v>
      </c>
      <c r="B34" s="114" t="s">
        <v>115</v>
      </c>
      <c r="C34" s="109" t="e">
        <f>VLOOKUP(Table257519913140106110151155170178[[#This Row],[PEG]],Table1016[#All],2,FALSE)</f>
        <v>#N/A</v>
      </c>
      <c r="D34" s="117"/>
      <c r="E34" s="125" t="e">
        <f>VLOOKUP(Table257519913140106110151155170178[[#This Row],[PEG]],Table1016[#All],3,FALSE)</f>
        <v>#N/A</v>
      </c>
    </row>
    <row r="35" spans="1:5" x14ac:dyDescent="0.35">
      <c r="A35" s="118">
        <v>28</v>
      </c>
      <c r="B35" s="114" t="s">
        <v>124</v>
      </c>
      <c r="C35" s="109" t="e">
        <f>VLOOKUP(Table257519913140106110151155170178[[#This Row],[PEG]],Table1016[#All],2,FALSE)</f>
        <v>#N/A</v>
      </c>
      <c r="D35" s="117"/>
      <c r="E35" s="125" t="e">
        <f>VLOOKUP(Table257519913140106110151155170178[[#This Row],[PEG]],Table1016[#All],3,FALSE)</f>
        <v>#N/A</v>
      </c>
    </row>
    <row r="36" spans="1:5" x14ac:dyDescent="0.35">
      <c r="A36" s="118">
        <v>29</v>
      </c>
      <c r="B36" s="114" t="s">
        <v>115</v>
      </c>
      <c r="C36" s="109" t="e">
        <f>VLOOKUP(Table257519913140106110151155170178[[#This Row],[PEG]],Table1016[#All],2,FALSE)</f>
        <v>#N/A</v>
      </c>
      <c r="D36" s="117"/>
      <c r="E36" s="125" t="e">
        <f>VLOOKUP(Table257519913140106110151155170178[[#This Row],[PEG]],Table1016[#All],3,FALSE)</f>
        <v>#N/A</v>
      </c>
    </row>
    <row r="37" spans="1:5" x14ac:dyDescent="0.35">
      <c r="A37" s="118">
        <v>30</v>
      </c>
      <c r="B37" s="114" t="s">
        <v>12</v>
      </c>
      <c r="C37" s="109" t="e">
        <f>VLOOKUP(Table257519913140106110151155170178[[#This Row],[PEG]],Table1016[#All],2,FALSE)</f>
        <v>#N/A</v>
      </c>
      <c r="D37" s="117"/>
      <c r="E37" s="125" t="e">
        <f>VLOOKUP(Table257519913140106110151155170178[[#This Row],[PEG]],Table1016[#All],3,FALSE)</f>
        <v>#N/A</v>
      </c>
    </row>
    <row r="38" spans="1:5" x14ac:dyDescent="0.35">
      <c r="A38" s="118">
        <v>31</v>
      </c>
      <c r="B38" s="114" t="s">
        <v>12</v>
      </c>
      <c r="C38" s="109" t="e">
        <f>VLOOKUP(Table257519913140106110151155170178[[#This Row],[PEG]],Table1016[#All],2,FALSE)</f>
        <v>#N/A</v>
      </c>
      <c r="D38" s="117"/>
      <c r="E38" s="125" t="e">
        <f>VLOOKUP(Table257519913140106110151155170178[[#This Row],[PEG]],Table1016[#All],3,FALSE)</f>
        <v>#N/A</v>
      </c>
    </row>
    <row r="39" spans="1:5" x14ac:dyDescent="0.35">
      <c r="A39" s="118">
        <v>32</v>
      </c>
      <c r="B39" s="114" t="s">
        <v>12</v>
      </c>
      <c r="C39" s="109" t="e">
        <f>VLOOKUP(Table257519913140106110151155170178[[#This Row],[PEG]],Table1016[#All],2,FALSE)</f>
        <v>#N/A</v>
      </c>
      <c r="D39" s="117"/>
      <c r="E39" s="125" t="e">
        <f>VLOOKUP(Table257519913140106110151155170178[[#This Row],[PEG]],Table1016[#All],3,FALSE)</f>
        <v>#N/A</v>
      </c>
    </row>
    <row r="40" spans="1:5" x14ac:dyDescent="0.35">
      <c r="A40" s="118">
        <v>33</v>
      </c>
      <c r="B40" s="114" t="s">
        <v>12</v>
      </c>
      <c r="C40" s="109" t="e">
        <f>VLOOKUP(Table257519913140106110151155170178[[#This Row],[PEG]],Table1016[#All],2,FALSE)</f>
        <v>#N/A</v>
      </c>
      <c r="D40" s="117"/>
      <c r="E40" s="125" t="e">
        <f>VLOOKUP(Table257519913140106110151155170178[[#This Row],[PEG]],Table1016[#All],3,FALSE)</f>
        <v>#N/A</v>
      </c>
    </row>
    <row r="41" spans="1:5" x14ac:dyDescent="0.35">
      <c r="A41" s="118">
        <v>34</v>
      </c>
      <c r="B41" s="114" t="s">
        <v>115</v>
      </c>
      <c r="C41" s="109" t="e">
        <f>VLOOKUP(Table257519913140106110151155170178[[#This Row],[PEG]],Table1016[#All],2,FALSE)</f>
        <v>#N/A</v>
      </c>
      <c r="D41" s="117"/>
      <c r="E41" s="125" t="e">
        <f>VLOOKUP(Table257519913140106110151155170178[[#This Row],[PEG]],Table1016[#All],3,FALSE)</f>
        <v>#N/A</v>
      </c>
    </row>
    <row r="42" spans="1:5" x14ac:dyDescent="0.35">
      <c r="A42" s="118">
        <v>35</v>
      </c>
      <c r="B42" s="114" t="s">
        <v>12</v>
      </c>
      <c r="C42" s="109" t="e">
        <f>VLOOKUP(Table257519913140106110151155170178[[#This Row],[PEG]],Table1016[#All],2,FALSE)</f>
        <v>#N/A</v>
      </c>
      <c r="D42" s="115"/>
      <c r="E42" s="125" t="e">
        <f>VLOOKUP(Table257519913140106110151155170178[[#This Row],[PEG]],Table1016[#All],3,FALSE)</f>
        <v>#N/A</v>
      </c>
    </row>
    <row r="43" spans="1:5" x14ac:dyDescent="0.35">
      <c r="A43" s="118">
        <v>36</v>
      </c>
      <c r="B43" s="114" t="s">
        <v>115</v>
      </c>
      <c r="C43" s="109" t="e">
        <f>VLOOKUP(Table257519913140106110151155170178[[#This Row],[PEG]],Table1016[#All],2,FALSE)</f>
        <v>#N/A</v>
      </c>
      <c r="D43" s="115"/>
      <c r="E43" s="125" t="e">
        <f>VLOOKUP(Table257519913140106110151155170178[[#This Row],[PEG]],Table1016[#All],3,FALSE)</f>
        <v>#N/A</v>
      </c>
    </row>
    <row r="44" spans="1:5" x14ac:dyDescent="0.35">
      <c r="A44" s="118">
        <v>37</v>
      </c>
      <c r="B44" s="114" t="s">
        <v>13</v>
      </c>
      <c r="C44" s="18" t="s">
        <v>13</v>
      </c>
      <c r="D44" s="115"/>
      <c r="E44" s="32"/>
    </row>
  </sheetData>
  <mergeCells count="1">
    <mergeCell ref="A1:B1"/>
  </mergeCells>
  <conditionalFormatting sqref="B8:B18">
    <cfRule type="containsText" dxfId="1403" priority="1" operator="containsText" text="Hear">
      <formula>NOT(ISERROR(SEARCH("Hear",B8)))</formula>
    </cfRule>
  </conditionalFormatting>
  <conditionalFormatting sqref="B30">
    <cfRule type="containsText" dxfId="1402" priority="4" operator="containsText" text="Hear">
      <formula>NOT(ISERROR(SEARCH("Hear",B30)))</formula>
    </cfRule>
  </conditionalFormatting>
  <conditionalFormatting sqref="B43:B44">
    <cfRule type="containsText" dxfId="1401" priority="8" operator="containsText" text="Hear">
      <formula>NOT(ISERROR(SEARCH("Hear",B43)))</formula>
    </cfRule>
  </conditionalFormatting>
  <conditionalFormatting sqref="E44">
    <cfRule type="containsText" dxfId="1400" priority="6" operator="containsText" text="WEB SERVICE">
      <formula>NOT(ISERROR(SEARCH("WEB SERVICE",E44)))</formula>
    </cfRule>
    <cfRule type="containsText" dxfId="1399" priority="7" operator="containsText" text="DB">
      <formula>NOT(ISERROR(SEARCH("DB",E44)))</formula>
    </cfRule>
  </conditionalFormatting>
  <conditionalFormatting sqref="C44">
    <cfRule type="expression" dxfId="1398" priority="9">
      <formula>$B44="Dial"</formula>
    </cfRule>
  </conditionalFormatting>
  <conditionalFormatting sqref="C44">
    <cfRule type="expression" dxfId="1397" priority="3">
      <formula>$B44="Speak"</formula>
    </cfRule>
  </conditionalFormatting>
  <conditionalFormatting sqref="B19:B29 B31:B35 B42">
    <cfRule type="containsText" dxfId="1396" priority="5" operator="containsText" text="Hear">
      <formula>NOT(ISERROR(SEARCH("Hear",B19)))</formula>
    </cfRule>
  </conditionalFormatting>
  <hyperlinks>
    <hyperlink ref="A1" location="'Test Case Overview'!A1" display="Return to Test Case Overview" xr:uid="{BC827D67-21A3-426C-9A41-C5E114515D93}"/>
  </hyperlinks>
  <pageMargins left="0.7" right="0.7" top="0.75" bottom="0.75" header="0.3" footer="0.3"/>
  <pageSetup orientation="portrait" verticalDpi="0" r:id="rId1"/>
  <tableParts count="1">
    <tablePart r:id="rId2"/>
  </tableParts>
  <extLst>
    <ext xmlns:x14="http://schemas.microsoft.com/office/spreadsheetml/2009/9/main" uri="{78C0D931-6437-407d-A8EE-F0AAD7539E65}">
      <x14:conditionalFormattings>
        <x14:conditionalFormatting xmlns:xm="http://schemas.microsoft.com/office/excel/2006/main">
          <x14:cfRule type="expression" priority="2" id="{E308E0E8-D65A-4F75-967F-FDBE3DA38F70}">
            <xm:f>'TC1'!$B8="HANGUP"</xm:f>
            <x14:dxf>
              <font>
                <b/>
                <i val="0"/>
              </font>
            </x14:dxf>
          </x14:cfRule>
          <x14:cfRule type="expression" priority="10" id="{3A0B6007-5224-400B-934E-175B30D637B0}">
            <xm:f>'TC1'!$B8="Dial"</xm:f>
            <x14:dxf>
              <font>
                <b/>
                <i val="0"/>
                <color rgb="FFFF0000"/>
              </font>
            </x14:dxf>
          </x14:cfRule>
          <xm:sqref>C8</xm:sqref>
        </x14:conditionalFormatting>
        <x14:conditionalFormatting xmlns:xm="http://schemas.microsoft.com/office/excel/2006/main">
          <x14:cfRule type="expression" priority="11" id="{1AF188A0-58DA-4A15-8345-777CCF6EF52B}">
            <xm:f>'TC1'!$B8="Speak"</xm:f>
            <x14:dxf>
              <font>
                <b/>
                <i val="0"/>
                <color rgb="FFFF0000"/>
              </font>
            </x14:dxf>
          </x14:cfRule>
          <xm:sqref>C8</xm:sqref>
        </x14:conditionalFormatting>
        <x14:conditionalFormatting xmlns:xm="http://schemas.microsoft.com/office/excel/2006/main">
          <x14:cfRule type="containsText" priority="14" operator="containsText" text="Hear" id="{6AF551CA-492C-4DE0-BC63-E8187CC862B0}">
            <xm:f>NOT(ISERROR(SEARCH("Hear",'TC3'!B34)))</xm:f>
            <x14:dxf>
              <font>
                <color theme="9" tint="-0.24994659260841701"/>
              </font>
              <fill>
                <patternFill>
                  <bgColor theme="9" tint="0.59996337778862885"/>
                </patternFill>
              </fill>
            </x14:dxf>
          </x14:cfRule>
          <xm:sqref>B41</xm:sqref>
        </x14:conditionalFormatting>
        <x14:conditionalFormatting xmlns:xm="http://schemas.microsoft.com/office/excel/2006/main">
          <x14:cfRule type="expression" priority="2963" id="{E308E0E8-D65A-4F75-967F-FDBE3DA38F70}">
            <xm:f>'TC1'!$B16="HANGUP"</xm:f>
            <x14:dxf>
              <font>
                <b/>
                <i val="0"/>
              </font>
            </x14:dxf>
          </x14:cfRule>
          <x14:cfRule type="expression" priority="2964" id="{3A0B6007-5224-400B-934E-175B30D637B0}">
            <xm:f>'TC1'!$B16="Dial"</xm:f>
            <x14:dxf>
              <font>
                <b/>
                <i val="0"/>
                <color rgb="FFFF0000"/>
              </font>
            </x14:dxf>
          </x14:cfRule>
          <xm:sqref>C34:C43</xm:sqref>
        </x14:conditionalFormatting>
        <x14:conditionalFormatting xmlns:xm="http://schemas.microsoft.com/office/excel/2006/main">
          <x14:cfRule type="expression" priority="2965" id="{E308E0E8-D65A-4F75-967F-FDBE3DA38F70}">
            <xm:f>'TC1'!#REF!="HANGUP"</xm:f>
            <x14:dxf>
              <font>
                <b/>
                <i val="0"/>
              </font>
            </x14:dxf>
          </x14:cfRule>
          <x14:cfRule type="expression" priority="2966" id="{3A0B6007-5224-400B-934E-175B30D637B0}">
            <xm:f>'TC1'!#REF!="Dial"</xm:f>
            <x14:dxf>
              <font>
                <b/>
                <i val="0"/>
                <color rgb="FFFF0000"/>
              </font>
            </x14:dxf>
          </x14:cfRule>
          <xm:sqref>C17:C33</xm:sqref>
        </x14:conditionalFormatting>
        <x14:conditionalFormatting xmlns:xm="http://schemas.microsoft.com/office/excel/2006/main">
          <x14:cfRule type="expression" priority="2970" id="{1AF188A0-58DA-4A15-8345-777CCF6EF52B}">
            <xm:f>'TC1'!$B16="Speak"</xm:f>
            <x14:dxf>
              <font>
                <b/>
                <i val="0"/>
                <color rgb="FFFF0000"/>
              </font>
            </x14:dxf>
          </x14:cfRule>
          <xm:sqref>C34:C43</xm:sqref>
        </x14:conditionalFormatting>
        <x14:conditionalFormatting xmlns:xm="http://schemas.microsoft.com/office/excel/2006/main">
          <x14:cfRule type="expression" priority="2971" id="{1AF188A0-58DA-4A15-8345-777CCF6EF52B}">
            <xm:f>'TC1'!#REF!="Speak"</xm:f>
            <x14:dxf>
              <font>
                <b/>
                <i val="0"/>
                <color rgb="FFFF0000"/>
              </font>
            </x14:dxf>
          </x14:cfRule>
          <xm:sqref>C17:C33</xm:sqref>
        </x14:conditionalFormatting>
        <x14:conditionalFormatting xmlns:xm="http://schemas.microsoft.com/office/excel/2006/main">
          <x14:cfRule type="containsText" priority="2975" operator="containsText" text="DB" id="{31129692-B20A-4255-A934-9939FE27DA8A}">
            <xm:f>NOT(ISERROR(SEARCH("DB",'TC1'!E16)))</xm:f>
            <x14:dxf>
              <font>
                <color rgb="FF006100"/>
              </font>
              <fill>
                <patternFill>
                  <bgColor rgb="FFC6EFCE"/>
                </patternFill>
              </fill>
            </x14:dxf>
          </x14:cfRule>
          <x14:cfRule type="containsText" priority="2976" operator="containsText" text="WEB SERVICE" id="{2E704711-47D0-40BC-B121-8AFBA88810CC}">
            <xm:f>NOT(ISERROR(SEARCH("WEB SERVICE",'TC1'!E16)))</xm:f>
            <x14:dxf>
              <font>
                <color rgb="FF9C0006"/>
              </font>
              <fill>
                <patternFill>
                  <bgColor rgb="FFFFC7CE"/>
                </patternFill>
              </fill>
            </x14:dxf>
          </x14:cfRule>
          <xm:sqref>E34:E43</xm:sqref>
        </x14:conditionalFormatting>
        <x14:conditionalFormatting xmlns:xm="http://schemas.microsoft.com/office/excel/2006/main">
          <x14:cfRule type="containsText" priority="2977" operator="containsText" text="DB" id="{31129692-B20A-4255-A934-9939FE27DA8A}">
            <xm:f>NOT(ISERROR(SEARCH("DB",'TC1'!#REF!)))</xm:f>
            <x14:dxf>
              <font>
                <color rgb="FF006100"/>
              </font>
              <fill>
                <patternFill>
                  <bgColor rgb="FFC6EFCE"/>
                </patternFill>
              </fill>
            </x14:dxf>
          </x14:cfRule>
          <x14:cfRule type="containsText" priority="2978" operator="containsText" text="WEB SERVICE" id="{2E704711-47D0-40BC-B121-8AFBA88810CC}">
            <xm:f>NOT(ISERROR(SEARCH("WEB SERVICE",'TC1'!#REF!)))</xm:f>
            <x14:dxf>
              <font>
                <color rgb="FF9C0006"/>
              </font>
              <fill>
                <patternFill>
                  <bgColor rgb="FFFFC7CE"/>
                </patternFill>
              </fill>
            </x14:dxf>
          </x14:cfRule>
          <xm:sqref>E17:E33</xm:sqref>
        </x14:conditionalFormatting>
        <x14:conditionalFormatting xmlns:xm="http://schemas.microsoft.com/office/excel/2006/main">
          <x14:cfRule type="expression" priority="5605" id="{E308E0E8-D65A-4F75-967F-FDBE3DA38F70}">
            <xm:f>'TC1'!$B9="HANGUP"</xm:f>
            <x14:dxf>
              <font>
                <b/>
                <i val="0"/>
              </font>
            </x14:dxf>
          </x14:cfRule>
          <x14:cfRule type="expression" priority="5606" id="{3A0B6007-5224-400B-934E-175B30D637B0}">
            <xm:f>'TC1'!$B9="Dial"</xm:f>
            <x14:dxf>
              <font>
                <b/>
                <i val="0"/>
                <color rgb="FFFF0000"/>
              </font>
            </x14:dxf>
          </x14:cfRule>
          <xm:sqref>C12:C15</xm:sqref>
        </x14:conditionalFormatting>
        <x14:conditionalFormatting xmlns:xm="http://schemas.microsoft.com/office/excel/2006/main">
          <x14:cfRule type="expression" priority="5607" id="{E308E0E8-D65A-4F75-967F-FDBE3DA38F70}">
            <xm:f>'TC1'!#REF!="HANGUP"</xm:f>
            <x14:dxf>
              <font>
                <b/>
                <i val="0"/>
              </font>
            </x14:dxf>
          </x14:cfRule>
          <x14:cfRule type="expression" priority="5608" id="{3A0B6007-5224-400B-934E-175B30D637B0}">
            <xm:f>'TC1'!#REF!="Dial"</xm:f>
            <x14:dxf>
              <font>
                <b/>
                <i val="0"/>
                <color rgb="FFFF0000"/>
              </font>
            </x14:dxf>
          </x14:cfRule>
          <xm:sqref>C9:C11</xm:sqref>
        </x14:conditionalFormatting>
        <x14:conditionalFormatting xmlns:xm="http://schemas.microsoft.com/office/excel/2006/main">
          <x14:cfRule type="expression" priority="5612" id="{1AF188A0-58DA-4A15-8345-777CCF6EF52B}">
            <xm:f>'TC1'!$B9="Speak"</xm:f>
            <x14:dxf>
              <font>
                <b/>
                <i val="0"/>
                <color rgb="FFFF0000"/>
              </font>
            </x14:dxf>
          </x14:cfRule>
          <xm:sqref>C12:C15</xm:sqref>
        </x14:conditionalFormatting>
        <x14:conditionalFormatting xmlns:xm="http://schemas.microsoft.com/office/excel/2006/main">
          <x14:cfRule type="expression" priority="5613" id="{1AF188A0-58DA-4A15-8345-777CCF6EF52B}">
            <xm:f>'TC1'!#REF!="Speak"</xm:f>
            <x14:dxf>
              <font>
                <b/>
                <i val="0"/>
                <color rgb="FFFF0000"/>
              </font>
            </x14:dxf>
          </x14:cfRule>
          <xm:sqref>C9:C11</xm:sqref>
        </x14:conditionalFormatting>
        <x14:conditionalFormatting xmlns:xm="http://schemas.microsoft.com/office/excel/2006/main">
          <x14:cfRule type="containsText" priority="5615" operator="containsText" text="DB" id="{31129692-B20A-4255-A934-9939FE27DA8A}">
            <xm:f>NOT(ISERROR(SEARCH("DB",'TC1'!#REF!)))</xm:f>
            <x14:dxf>
              <font>
                <color rgb="FF006100"/>
              </font>
              <fill>
                <patternFill>
                  <bgColor rgb="FFC6EFCE"/>
                </patternFill>
              </fill>
            </x14:dxf>
          </x14:cfRule>
          <x14:cfRule type="containsText" priority="5616" operator="containsText" text="WEB SERVICE" id="{2E704711-47D0-40BC-B121-8AFBA88810CC}">
            <xm:f>NOT(ISERROR(SEARCH("WEB SERVICE",'TC1'!#REF!)))</xm:f>
            <x14:dxf>
              <font>
                <color rgb="FF9C0006"/>
              </font>
              <fill>
                <patternFill>
                  <bgColor rgb="FFFFC7CE"/>
                </patternFill>
              </fill>
            </x14:dxf>
          </x14:cfRule>
          <xm:sqref>E9:E11</xm:sqref>
        </x14:conditionalFormatting>
        <x14:conditionalFormatting xmlns:xm="http://schemas.microsoft.com/office/excel/2006/main">
          <x14:cfRule type="containsText" priority="5617" operator="containsText" text="DB" id="{31129692-B20A-4255-A934-9939FE27DA8A}">
            <xm:f>NOT(ISERROR(SEARCH("DB",'TC1'!E9)))</xm:f>
            <x14:dxf>
              <font>
                <color rgb="FF006100"/>
              </font>
              <fill>
                <patternFill>
                  <bgColor rgb="FFC6EFCE"/>
                </patternFill>
              </fill>
            </x14:dxf>
          </x14:cfRule>
          <x14:cfRule type="containsText" priority="5618" operator="containsText" text="WEB SERVICE" id="{2E704711-47D0-40BC-B121-8AFBA88810CC}">
            <xm:f>NOT(ISERROR(SEARCH("WEB SERVICE",'TC1'!E9)))</xm:f>
            <x14:dxf>
              <font>
                <color rgb="FF9C0006"/>
              </font>
              <fill>
                <patternFill>
                  <bgColor rgb="FFFFC7CE"/>
                </patternFill>
              </fill>
            </x14:dxf>
          </x14:cfRule>
          <xm:sqref>E12:E15</xm:sqref>
        </x14:conditionalFormatting>
        <x14:conditionalFormatting xmlns:xm="http://schemas.microsoft.com/office/excel/2006/main">
          <x14:cfRule type="expression" priority="7850" id="{E308E0E8-D65A-4F75-967F-FDBE3DA38F70}">
            <xm:f>'TC1'!$B15="HANGUP"</xm:f>
            <x14:dxf>
              <font>
                <b/>
                <i val="0"/>
              </font>
            </x14:dxf>
          </x14:cfRule>
          <x14:cfRule type="expression" priority="7851" id="{3A0B6007-5224-400B-934E-175B30D637B0}">
            <xm:f>'TC1'!$B15="Dial"</xm:f>
            <x14:dxf>
              <font>
                <b/>
                <i val="0"/>
                <color rgb="FFFF0000"/>
              </font>
            </x14:dxf>
          </x14:cfRule>
          <xm:sqref>C16</xm:sqref>
        </x14:conditionalFormatting>
        <x14:conditionalFormatting xmlns:xm="http://schemas.microsoft.com/office/excel/2006/main">
          <x14:cfRule type="expression" priority="7853" id="{1AF188A0-58DA-4A15-8345-777CCF6EF52B}">
            <xm:f>'TC1'!$B15="Speak"</xm:f>
            <x14:dxf>
              <font>
                <b/>
                <i val="0"/>
                <color rgb="FFFF0000"/>
              </font>
            </x14:dxf>
          </x14:cfRule>
          <xm:sqref>C16</xm:sqref>
        </x14:conditionalFormatting>
        <x14:conditionalFormatting xmlns:xm="http://schemas.microsoft.com/office/excel/2006/main">
          <x14:cfRule type="containsText" priority="7856" operator="containsText" text="DB" id="{31129692-B20A-4255-A934-9939FE27DA8A}">
            <xm:f>NOT(ISERROR(SEARCH("DB",'TC1'!E15)))</xm:f>
            <x14:dxf>
              <font>
                <color rgb="FF006100"/>
              </font>
              <fill>
                <patternFill>
                  <bgColor rgb="FFC6EFCE"/>
                </patternFill>
              </fill>
            </x14:dxf>
          </x14:cfRule>
          <x14:cfRule type="containsText" priority="7857" operator="containsText" text="WEB SERVICE" id="{2E704711-47D0-40BC-B121-8AFBA88810CC}">
            <xm:f>NOT(ISERROR(SEARCH("WEB SERVICE",'TC1'!E15)))</xm:f>
            <x14:dxf>
              <font>
                <color rgb="FF9C0006"/>
              </font>
              <fill>
                <patternFill>
                  <bgColor rgb="FFFFC7CE"/>
                </patternFill>
              </fill>
            </x14:dxf>
          </x14:cfRule>
          <xm:sqref>E16</xm:sqref>
        </x14:conditionalFormatting>
        <x14:conditionalFormatting xmlns:xm="http://schemas.microsoft.com/office/excel/2006/main">
          <x14:cfRule type="containsText" priority="10534" operator="containsText" text="Hear" id="{FE20757E-E673-4521-81AF-F9289DB95042}">
            <xm:f>NOT(ISERROR(SEARCH("Hear",'TC26'!#REF!)))</xm:f>
            <x14:dxf>
              <font>
                <color theme="9" tint="-0.24994659260841701"/>
              </font>
              <fill>
                <patternFill>
                  <bgColor theme="9" tint="0.59996337778862885"/>
                </patternFill>
              </fill>
            </x14:dxf>
          </x14:cfRule>
          <xm:sqref>B39</xm:sqref>
        </x14:conditionalFormatting>
      </x14:conditionalFormattings>
    </ext>
  </extLst>
</worksheet>
</file>

<file path=xl/worksheets/sheet1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800-000000000000}">
  <sheetPr codeName="Sheet138"/>
  <dimension ref="A1:E44"/>
  <sheetViews>
    <sheetView zoomScaleNormal="100" workbookViewId="0">
      <selection sqref="A1:E44"/>
    </sheetView>
  </sheetViews>
  <sheetFormatPr defaultRowHeight="14.5" x14ac:dyDescent="0.35"/>
  <cols>
    <col min="1" max="1" width="14.453125" bestFit="1" customWidth="1"/>
    <col min="2" max="2" width="42.6328125" customWidth="1"/>
    <col min="3" max="3" width="106.1796875" customWidth="1"/>
    <col min="4" max="4" width="21.81640625" bestFit="1" customWidth="1"/>
    <col min="5" max="5" width="20.6328125" customWidth="1"/>
  </cols>
  <sheetData>
    <row r="1" spans="1:5" ht="18.5" x14ac:dyDescent="0.35">
      <c r="A1" s="192" t="s">
        <v>4</v>
      </c>
      <c r="B1" s="192"/>
      <c r="C1" s="105"/>
      <c r="D1" s="111"/>
      <c r="E1" s="97"/>
    </row>
    <row r="2" spans="1:5" x14ac:dyDescent="0.35">
      <c r="A2" s="106" t="s">
        <v>5</v>
      </c>
      <c r="B2" s="107" t="str">
        <f ca="1">MID(CELL("filename",A1),FIND("]",CELL("filename",A1))+1,LEN(CELL("filename",A1))-FIND("]",CELL("filename",A1)))</f>
        <v>TC136</v>
      </c>
      <c r="C2" s="98"/>
      <c r="D2" s="111"/>
      <c r="E2" s="97"/>
    </row>
    <row r="3" spans="1:5" x14ac:dyDescent="0.35">
      <c r="A3" s="104" t="s">
        <v>19</v>
      </c>
      <c r="B3" s="112" t="e">
        <f ca="1">VLOOKUP(B2,Table53[#All],2,FALSE)</f>
        <v>#N/A</v>
      </c>
      <c r="C3" s="98"/>
      <c r="D3" s="111"/>
      <c r="E3" s="97"/>
    </row>
    <row r="4" spans="1:5" ht="29" x14ac:dyDescent="0.35">
      <c r="A4" s="113" t="s">
        <v>20</v>
      </c>
      <c r="B4" s="99" t="e">
        <f ca="1">VLOOKUP(B2,Table53[#All],4,FALSE)</f>
        <v>#N/A</v>
      </c>
      <c r="C4" s="98"/>
      <c r="D4" s="111"/>
      <c r="E4" s="97"/>
    </row>
    <row r="5" spans="1:5" x14ac:dyDescent="0.35">
      <c r="A5" s="104" t="s">
        <v>6</v>
      </c>
      <c r="B5" s="77" t="e">
        <f ca="1">VLOOKUP(B2,Table53[#All],3,FALSE)</f>
        <v>#N/A</v>
      </c>
      <c r="C5" s="98"/>
      <c r="D5" s="111"/>
      <c r="E5" s="97"/>
    </row>
    <row r="6" spans="1:5" x14ac:dyDescent="0.35">
      <c r="A6" s="97"/>
      <c r="B6" s="97"/>
      <c r="C6" s="98"/>
      <c r="D6" s="111"/>
      <c r="E6" s="97"/>
    </row>
    <row r="7" spans="1:5" ht="15.5" x14ac:dyDescent="0.35">
      <c r="A7" s="100" t="s">
        <v>7</v>
      </c>
      <c r="B7" s="101" t="s">
        <v>8</v>
      </c>
      <c r="C7" s="102" t="s">
        <v>9</v>
      </c>
      <c r="D7" s="102" t="s">
        <v>14</v>
      </c>
      <c r="E7" s="103" t="s">
        <v>10</v>
      </c>
    </row>
    <row r="8" spans="1:5" x14ac:dyDescent="0.35">
      <c r="A8" s="118">
        <v>1</v>
      </c>
      <c r="B8" s="114" t="s">
        <v>114</v>
      </c>
      <c r="C8" s="109" t="s">
        <v>125</v>
      </c>
      <c r="D8" s="128"/>
      <c r="E8" s="125" t="s">
        <v>11</v>
      </c>
    </row>
    <row r="9" spans="1:5" x14ac:dyDescent="0.35">
      <c r="A9" s="118">
        <v>2</v>
      </c>
      <c r="B9" s="114" t="s">
        <v>12</v>
      </c>
      <c r="C9" s="109" t="e">
        <f>VLOOKUP(Table257519913140106110151155170178180[[#This Row],[PEG]],Table1016[#All],2,FALSE)</f>
        <v>#N/A</v>
      </c>
      <c r="D9" s="128"/>
      <c r="E9" s="125" t="e">
        <f>VLOOKUP(Table257519913140106110151155170178180[[#This Row],[PEG]],Table1016[#All],3,FALSE)</f>
        <v>#N/A</v>
      </c>
    </row>
    <row r="10" spans="1:5" x14ac:dyDescent="0.35">
      <c r="A10" s="118">
        <v>3</v>
      </c>
      <c r="B10" s="114" t="s">
        <v>115</v>
      </c>
      <c r="C10" s="109" t="e">
        <f>VLOOKUP(Table257519913140106110151155170178180[[#This Row],[PEG]],Table1016[#All],2,FALSE)</f>
        <v>#N/A</v>
      </c>
      <c r="D10" s="128"/>
      <c r="E10" s="125" t="e">
        <f>VLOOKUP(Table257519913140106110151155170178180[[#This Row],[PEG]],Table1016[#All],3,FALSE)</f>
        <v>#N/A</v>
      </c>
    </row>
    <row r="11" spans="1:5" x14ac:dyDescent="0.35">
      <c r="A11" s="118">
        <v>4</v>
      </c>
      <c r="B11" s="114" t="s">
        <v>115</v>
      </c>
      <c r="C11" s="109" t="e">
        <f>VLOOKUP(Table257519913140106110151155170178180[[#This Row],[PEG]],Table1016[#All],2,FALSE)</f>
        <v>#N/A</v>
      </c>
      <c r="D11" s="128"/>
      <c r="E11" s="125" t="e">
        <f>VLOOKUP(Table257519913140106110151155170178180[[#This Row],[PEG]],Table1016[#All],3,FALSE)</f>
        <v>#N/A</v>
      </c>
    </row>
    <row r="12" spans="1:5" x14ac:dyDescent="0.35">
      <c r="A12" s="118">
        <v>5</v>
      </c>
      <c r="B12" s="114" t="s">
        <v>114</v>
      </c>
      <c r="C12" s="109" t="e">
        <f>VLOOKUP(Table257519913140106110151155170178180[[#This Row],[PEG]],Table1016[#All],2,FALSE)</f>
        <v>#N/A</v>
      </c>
      <c r="D12" s="128"/>
      <c r="E12" s="125" t="e">
        <f>VLOOKUP(Table257519913140106110151155170178180[[#This Row],[PEG]],Table1016[#All],3,FALSE)</f>
        <v>#N/A</v>
      </c>
    </row>
    <row r="13" spans="1:5" x14ac:dyDescent="0.35">
      <c r="A13" s="118">
        <v>6</v>
      </c>
      <c r="B13" s="114" t="s">
        <v>115</v>
      </c>
      <c r="C13" s="109" t="e">
        <f>VLOOKUP(Table257519913140106110151155170178180[[#This Row],[PEG]],Table1016[#All],2,FALSE)</f>
        <v>#N/A</v>
      </c>
      <c r="D13" s="128"/>
      <c r="E13" s="125" t="e">
        <f>VLOOKUP(Table257519913140106110151155170178180[[#This Row],[PEG]],Table1016[#All],3,FALSE)</f>
        <v>#N/A</v>
      </c>
    </row>
    <row r="14" spans="1:5" x14ac:dyDescent="0.35">
      <c r="A14" s="118">
        <v>7</v>
      </c>
      <c r="B14" s="114" t="s">
        <v>114</v>
      </c>
      <c r="C14" s="109" t="e">
        <f>VLOOKUP(Table257519913140106110151155170178180[[#This Row],[PEG]],Table1016[#All],2,FALSE)</f>
        <v>#N/A</v>
      </c>
      <c r="D14" s="128"/>
      <c r="E14" s="125" t="e">
        <f>VLOOKUP(Table257519913140106110151155170178180[[#This Row],[PEG]],Table1016[#All],3,FALSE)</f>
        <v>#N/A</v>
      </c>
    </row>
    <row r="15" spans="1:5" x14ac:dyDescent="0.35">
      <c r="A15" s="118">
        <v>8</v>
      </c>
      <c r="B15" s="114" t="s">
        <v>115</v>
      </c>
      <c r="C15" s="109" t="e">
        <f>VLOOKUP(Table257519913140106110151155170178180[[#This Row],[PEG]],Table1016[#All],2,FALSE)</f>
        <v>#N/A</v>
      </c>
      <c r="D15" s="116"/>
      <c r="E15" s="125" t="e">
        <f>VLOOKUP(Table257519913140106110151155170178180[[#This Row],[PEG]],Table1016[#All],3,FALSE)</f>
        <v>#N/A</v>
      </c>
    </row>
    <row r="16" spans="1:5" x14ac:dyDescent="0.35">
      <c r="A16" s="118">
        <v>9</v>
      </c>
      <c r="B16" s="114" t="s">
        <v>12</v>
      </c>
      <c r="C16" s="109" t="e">
        <f>VLOOKUP(Table257519913140106110151155170178180[[#This Row],[PEG]],Table1016[#All],2,FALSE)</f>
        <v>#N/A</v>
      </c>
      <c r="D16" s="116"/>
      <c r="E16" s="125" t="e">
        <f>VLOOKUP(Table257519913140106110151155170178180[[#This Row],[PEG]],Table1016[#All],3,FALSE)</f>
        <v>#N/A</v>
      </c>
    </row>
    <row r="17" spans="1:5" x14ac:dyDescent="0.35">
      <c r="A17" s="118">
        <v>10</v>
      </c>
      <c r="B17" s="114" t="s">
        <v>12</v>
      </c>
      <c r="C17" s="109" t="e">
        <f>VLOOKUP(Table257519913140106110151155170178180[[#This Row],[PEG]],Table1016[#All],2,FALSE)</f>
        <v>#N/A</v>
      </c>
      <c r="D17" s="117"/>
      <c r="E17" s="125" t="e">
        <f>VLOOKUP(Table257519913140106110151155170178180[[#This Row],[PEG]],Table1016[#All],3,FALSE)</f>
        <v>#N/A</v>
      </c>
    </row>
    <row r="18" spans="1:5" x14ac:dyDescent="0.35">
      <c r="A18" s="118">
        <v>11</v>
      </c>
      <c r="B18" s="114" t="s">
        <v>115</v>
      </c>
      <c r="C18" s="109" t="e">
        <f>VLOOKUP(Table257519913140106110151155170178180[[#This Row],[PEG]],Table1016[#All],2,FALSE)</f>
        <v>#N/A</v>
      </c>
      <c r="D18" s="117"/>
      <c r="E18" s="125" t="e">
        <f>VLOOKUP(Table257519913140106110151155170178180[[#This Row],[PEG]],Table1016[#All],3,FALSE)</f>
        <v>#N/A</v>
      </c>
    </row>
    <row r="19" spans="1:5" x14ac:dyDescent="0.35">
      <c r="A19" s="118">
        <v>12</v>
      </c>
      <c r="B19" s="114" t="s">
        <v>115</v>
      </c>
      <c r="C19" s="109" t="e">
        <f>VLOOKUP(Table257519913140106110151155170178180[[#This Row],[PEG]],Table1016[#All],2,FALSE)</f>
        <v>#N/A</v>
      </c>
      <c r="D19" s="117"/>
      <c r="E19" s="125" t="e">
        <f>VLOOKUP(Table257519913140106110151155170178180[[#This Row],[PEG]],Table1016[#All],3,FALSE)</f>
        <v>#N/A</v>
      </c>
    </row>
    <row r="20" spans="1:5" x14ac:dyDescent="0.35">
      <c r="A20" s="118">
        <v>13</v>
      </c>
      <c r="B20" s="114" t="s">
        <v>114</v>
      </c>
      <c r="C20" s="109" t="e">
        <f>VLOOKUP(Table257519913140106110151155170178180[[#This Row],[PEG]],Table1016[#All],2,FALSE)</f>
        <v>#N/A</v>
      </c>
      <c r="D20" s="117"/>
      <c r="E20" s="125" t="e">
        <f>VLOOKUP(Table257519913140106110151155170178180[[#This Row],[PEG]],Table1016[#All],3,FALSE)</f>
        <v>#N/A</v>
      </c>
    </row>
    <row r="21" spans="1:5" x14ac:dyDescent="0.35">
      <c r="A21" s="118">
        <v>14</v>
      </c>
      <c r="B21" s="114" t="s">
        <v>12</v>
      </c>
      <c r="C21" s="109" t="e">
        <f>VLOOKUP(Table257519913140106110151155170178180[[#This Row],[PEG]],Table1016[#All],2,FALSE)</f>
        <v>#N/A</v>
      </c>
      <c r="D21" s="117"/>
      <c r="E21" s="125" t="e">
        <f>VLOOKUP(Table257519913140106110151155170178180[[#This Row],[PEG]],Table1016[#All],3,FALSE)</f>
        <v>#N/A</v>
      </c>
    </row>
    <row r="22" spans="1:5" x14ac:dyDescent="0.35">
      <c r="A22" s="118">
        <v>15</v>
      </c>
      <c r="B22" s="114" t="s">
        <v>12</v>
      </c>
      <c r="C22" s="109" t="e">
        <f>VLOOKUP(Table257519913140106110151155170178180[[#This Row],[PEG]],Table1016[#All],2,FALSE)</f>
        <v>#N/A</v>
      </c>
      <c r="D22" s="117"/>
      <c r="E22" s="125" t="e">
        <f>VLOOKUP(Table257519913140106110151155170178180[[#This Row],[PEG]],Table1016[#All],3,FALSE)</f>
        <v>#N/A</v>
      </c>
    </row>
    <row r="23" spans="1:5" x14ac:dyDescent="0.35">
      <c r="A23" s="118">
        <v>16</v>
      </c>
      <c r="B23" s="114" t="s">
        <v>115</v>
      </c>
      <c r="C23" s="109" t="e">
        <f>VLOOKUP(Table257519913140106110151155170178180[[#This Row],[PEG]],Table1016[#All],2,FALSE)</f>
        <v>#N/A</v>
      </c>
      <c r="D23" s="117"/>
      <c r="E23" s="125" t="e">
        <f>VLOOKUP(Table257519913140106110151155170178180[[#This Row],[PEG]],Table1016[#All],3,FALSE)</f>
        <v>#N/A</v>
      </c>
    </row>
    <row r="24" spans="1:5" x14ac:dyDescent="0.35">
      <c r="A24" s="118">
        <v>17</v>
      </c>
      <c r="B24" s="114" t="s">
        <v>114</v>
      </c>
      <c r="C24" s="109" t="e">
        <f>VLOOKUP(Table257519913140106110151155170178180[[#This Row],[PEG]],Table1016[#All],2,FALSE)</f>
        <v>#N/A</v>
      </c>
      <c r="D24" s="117"/>
      <c r="E24" s="125" t="e">
        <f>VLOOKUP(Table257519913140106110151155170178180[[#This Row],[PEG]],Table1016[#All],3,FALSE)</f>
        <v>#N/A</v>
      </c>
    </row>
    <row r="25" spans="1:5" x14ac:dyDescent="0.35">
      <c r="A25" s="118">
        <v>18</v>
      </c>
      <c r="B25" s="114" t="s">
        <v>12</v>
      </c>
      <c r="C25" s="109" t="e">
        <f>VLOOKUP(Table257519913140106110151155170178180[[#This Row],[PEG]],Table1016[#All],2,FALSE)</f>
        <v>#N/A</v>
      </c>
      <c r="D25" s="117"/>
      <c r="E25" s="125" t="e">
        <f>VLOOKUP(Table257519913140106110151155170178180[[#This Row],[PEG]],Table1016[#All],3,FALSE)</f>
        <v>#N/A</v>
      </c>
    </row>
    <row r="26" spans="1:5" x14ac:dyDescent="0.35">
      <c r="A26" s="118">
        <v>19</v>
      </c>
      <c r="B26" s="114" t="s">
        <v>12</v>
      </c>
      <c r="C26" s="109" t="e">
        <f>VLOOKUP(Table257519913140106110151155170178180[[#This Row],[PEG]],Table1016[#All],2,FALSE)</f>
        <v>#N/A</v>
      </c>
      <c r="D26" s="117"/>
      <c r="E26" s="125" t="e">
        <f>VLOOKUP(Table257519913140106110151155170178180[[#This Row],[PEG]],Table1016[#All],3,FALSE)</f>
        <v>#N/A</v>
      </c>
    </row>
    <row r="27" spans="1:5" x14ac:dyDescent="0.35">
      <c r="A27" s="118">
        <v>20</v>
      </c>
      <c r="B27" s="114" t="s">
        <v>115</v>
      </c>
      <c r="C27" s="109" t="e">
        <f>VLOOKUP(Table257519913140106110151155170178180[[#This Row],[PEG]],Table1016[#All],2,FALSE)</f>
        <v>#N/A</v>
      </c>
      <c r="D27" s="117"/>
      <c r="E27" s="125" t="e">
        <f>VLOOKUP(Table257519913140106110151155170178180[[#This Row],[PEG]],Table1016[#All],3,FALSE)</f>
        <v>#N/A</v>
      </c>
    </row>
    <row r="28" spans="1:5" x14ac:dyDescent="0.35">
      <c r="A28" s="118">
        <v>21</v>
      </c>
      <c r="B28" s="114" t="s">
        <v>114</v>
      </c>
      <c r="C28" s="109" t="e">
        <f>VLOOKUP(Table257519913140106110151155170178180[[#This Row],[PEG]],Table1016[#All],2,FALSE)</f>
        <v>#N/A</v>
      </c>
      <c r="D28" s="117"/>
      <c r="E28" s="125" t="e">
        <f>VLOOKUP(Table257519913140106110151155170178180[[#This Row],[PEG]],Table1016[#All],3,FALSE)</f>
        <v>#N/A</v>
      </c>
    </row>
    <row r="29" spans="1:5" x14ac:dyDescent="0.35">
      <c r="A29" s="118">
        <v>22</v>
      </c>
      <c r="B29" s="114" t="s">
        <v>12</v>
      </c>
      <c r="C29" s="109" t="e">
        <f>VLOOKUP(Table257519913140106110151155170178180[[#This Row],[PEG]],Table1016[#All],2,FALSE)</f>
        <v>#N/A</v>
      </c>
      <c r="D29" s="117"/>
      <c r="E29" s="125" t="e">
        <f>VLOOKUP(Table257519913140106110151155170178180[[#This Row],[PEG]],Table1016[#All],3,FALSE)</f>
        <v>#N/A</v>
      </c>
    </row>
    <row r="30" spans="1:5" x14ac:dyDescent="0.35">
      <c r="A30" s="118">
        <v>23</v>
      </c>
      <c r="B30" s="114" t="s">
        <v>12</v>
      </c>
      <c r="C30" s="109" t="e">
        <f>VLOOKUP(Table257519913140106110151155170178180[[#This Row],[PEG]],Table1016[#All],2,FALSE)</f>
        <v>#N/A</v>
      </c>
      <c r="D30" s="117"/>
      <c r="E30" s="125" t="e">
        <f>VLOOKUP(Table257519913140106110151155170178180[[#This Row],[PEG]],Table1016[#All],3,FALSE)</f>
        <v>#N/A</v>
      </c>
    </row>
    <row r="31" spans="1:5" x14ac:dyDescent="0.35">
      <c r="A31" s="118">
        <v>24</v>
      </c>
      <c r="B31" s="114" t="s">
        <v>115</v>
      </c>
      <c r="C31" s="109" t="e">
        <f>VLOOKUP(Table257519913140106110151155170178180[[#This Row],[PEG]],Table1016[#All],2,FALSE)</f>
        <v>#N/A</v>
      </c>
      <c r="D31" s="117"/>
      <c r="E31" s="125" t="e">
        <f>VLOOKUP(Table257519913140106110151155170178180[[#This Row],[PEG]],Table1016[#All],3,FALSE)</f>
        <v>#N/A</v>
      </c>
    </row>
    <row r="32" spans="1:5" x14ac:dyDescent="0.35">
      <c r="A32" s="118">
        <v>25</v>
      </c>
      <c r="B32" s="114" t="s">
        <v>115</v>
      </c>
      <c r="C32" s="109" t="e">
        <f>VLOOKUP(Table257519913140106110151155170178180[[#This Row],[PEG]],Table1016[#All],2,FALSE)</f>
        <v>#N/A</v>
      </c>
      <c r="D32" s="117"/>
      <c r="E32" s="125" t="e">
        <f>VLOOKUP(Table257519913140106110151155170178180[[#This Row],[PEG]],Table1016[#All],3,FALSE)</f>
        <v>#N/A</v>
      </c>
    </row>
    <row r="33" spans="1:5" x14ac:dyDescent="0.35">
      <c r="A33" s="118">
        <v>26</v>
      </c>
      <c r="B33" s="114" t="s">
        <v>124</v>
      </c>
      <c r="C33" s="109" t="e">
        <f>VLOOKUP(Table257519913140106110151155170178180[[#This Row],[PEG]],Table1016[#All],2,FALSE)</f>
        <v>#N/A</v>
      </c>
      <c r="D33" s="117"/>
      <c r="E33" s="125" t="e">
        <f>VLOOKUP(Table257519913140106110151155170178180[[#This Row],[PEG]],Table1016[#All],3,FALSE)</f>
        <v>#N/A</v>
      </c>
    </row>
    <row r="34" spans="1:5" x14ac:dyDescent="0.35">
      <c r="A34" s="118">
        <v>27</v>
      </c>
      <c r="B34" s="114" t="s">
        <v>115</v>
      </c>
      <c r="C34" s="109" t="e">
        <f>VLOOKUP(Table257519913140106110151155170178180[[#This Row],[PEG]],Table1016[#All],2,FALSE)</f>
        <v>#N/A</v>
      </c>
      <c r="D34" s="117"/>
      <c r="E34" s="125" t="e">
        <f>VLOOKUP(Table257519913140106110151155170178180[[#This Row],[PEG]],Table1016[#All],3,FALSE)</f>
        <v>#N/A</v>
      </c>
    </row>
    <row r="35" spans="1:5" x14ac:dyDescent="0.35">
      <c r="A35" s="118">
        <v>28</v>
      </c>
      <c r="B35" s="114" t="s">
        <v>124</v>
      </c>
      <c r="C35" s="109" t="e">
        <f>VLOOKUP(Table257519913140106110151155170178180[[#This Row],[PEG]],Table1016[#All],2,FALSE)</f>
        <v>#N/A</v>
      </c>
      <c r="D35" s="117"/>
      <c r="E35" s="125" t="e">
        <f>VLOOKUP(Table257519913140106110151155170178180[[#This Row],[PEG]],Table1016[#All],3,FALSE)</f>
        <v>#N/A</v>
      </c>
    </row>
    <row r="36" spans="1:5" x14ac:dyDescent="0.35">
      <c r="A36" s="118">
        <v>29</v>
      </c>
      <c r="B36" s="114" t="s">
        <v>115</v>
      </c>
      <c r="C36" s="109" t="e">
        <f>VLOOKUP(Table257519913140106110151155170178180[[#This Row],[PEG]],Table1016[#All],2,FALSE)</f>
        <v>#N/A</v>
      </c>
      <c r="D36" s="117"/>
      <c r="E36" s="125" t="e">
        <f>VLOOKUP(Table257519913140106110151155170178180[[#This Row],[PEG]],Table1016[#All],3,FALSE)</f>
        <v>#N/A</v>
      </c>
    </row>
    <row r="37" spans="1:5" x14ac:dyDescent="0.35">
      <c r="A37" s="118">
        <v>30</v>
      </c>
      <c r="B37" s="114" t="s">
        <v>12</v>
      </c>
      <c r="C37" s="109" t="e">
        <f>VLOOKUP(Table257519913140106110151155170178180[[#This Row],[PEG]],Table1016[#All],2,FALSE)</f>
        <v>#N/A</v>
      </c>
      <c r="D37" s="117"/>
      <c r="E37" s="125" t="e">
        <f>VLOOKUP(Table257519913140106110151155170178180[[#This Row],[PEG]],Table1016[#All],3,FALSE)</f>
        <v>#N/A</v>
      </c>
    </row>
    <row r="38" spans="1:5" x14ac:dyDescent="0.35">
      <c r="A38" s="118">
        <v>31</v>
      </c>
      <c r="B38" s="114" t="s">
        <v>12</v>
      </c>
      <c r="C38" s="109" t="e">
        <f>VLOOKUP(Table257519913140106110151155170178180[[#This Row],[PEG]],Table1016[#All],2,FALSE)</f>
        <v>#N/A</v>
      </c>
      <c r="D38" s="117"/>
      <c r="E38" s="125" t="e">
        <f>VLOOKUP(Table257519913140106110151155170178180[[#This Row],[PEG]],Table1016[#All],3,FALSE)</f>
        <v>#N/A</v>
      </c>
    </row>
    <row r="39" spans="1:5" x14ac:dyDescent="0.35">
      <c r="A39" s="118">
        <v>32</v>
      </c>
      <c r="B39" s="114" t="s">
        <v>12</v>
      </c>
      <c r="C39" s="109" t="e">
        <f>VLOOKUP(Table257519913140106110151155170178180[[#This Row],[PEG]],Table1016[#All],2,FALSE)</f>
        <v>#N/A</v>
      </c>
      <c r="D39" s="117"/>
      <c r="E39" s="125" t="e">
        <f>VLOOKUP(Table257519913140106110151155170178180[[#This Row],[PEG]],Table1016[#All],3,FALSE)</f>
        <v>#N/A</v>
      </c>
    </row>
    <row r="40" spans="1:5" x14ac:dyDescent="0.35">
      <c r="A40" s="118">
        <v>33</v>
      </c>
      <c r="B40" s="114" t="s">
        <v>12</v>
      </c>
      <c r="C40" s="109" t="e">
        <f>VLOOKUP(Table257519913140106110151155170178180[[#This Row],[PEG]],Table1016[#All],2,FALSE)</f>
        <v>#N/A</v>
      </c>
      <c r="D40" s="117"/>
      <c r="E40" s="125" t="e">
        <f>VLOOKUP(Table257519913140106110151155170178180[[#This Row],[PEG]],Table1016[#All],3,FALSE)</f>
        <v>#N/A</v>
      </c>
    </row>
    <row r="41" spans="1:5" x14ac:dyDescent="0.35">
      <c r="A41" s="118">
        <v>34</v>
      </c>
      <c r="B41" s="114" t="s">
        <v>115</v>
      </c>
      <c r="C41" s="109" t="e">
        <f>VLOOKUP(Table257519913140106110151155170178180[[#This Row],[PEG]],Table1016[#All],2,FALSE)</f>
        <v>#N/A</v>
      </c>
      <c r="D41" s="117"/>
      <c r="E41" s="125" t="e">
        <f>VLOOKUP(Table257519913140106110151155170178180[[#This Row],[PEG]],Table1016[#All],3,FALSE)</f>
        <v>#N/A</v>
      </c>
    </row>
    <row r="42" spans="1:5" x14ac:dyDescent="0.35">
      <c r="A42" s="118">
        <v>35</v>
      </c>
      <c r="B42" s="114" t="s">
        <v>12</v>
      </c>
      <c r="C42" s="109" t="e">
        <f>VLOOKUP(Table257519913140106110151155170178180[[#This Row],[PEG]],Table1016[#All],2,FALSE)</f>
        <v>#N/A</v>
      </c>
      <c r="D42" s="115"/>
      <c r="E42" s="125" t="e">
        <f>VLOOKUP(Table257519913140106110151155170178180[[#This Row],[PEG]],Table1016[#All],3,FALSE)</f>
        <v>#N/A</v>
      </c>
    </row>
    <row r="43" spans="1:5" x14ac:dyDescent="0.35">
      <c r="A43" s="118">
        <v>36</v>
      </c>
      <c r="B43" s="114" t="s">
        <v>115</v>
      </c>
      <c r="C43" s="109" t="e">
        <f>VLOOKUP(Table257519913140106110151155170178180[[#This Row],[PEG]],Table1016[#All],2,FALSE)</f>
        <v>#N/A</v>
      </c>
      <c r="D43" s="115"/>
      <c r="E43" s="125" t="e">
        <f>VLOOKUP(Table257519913140106110151155170178180[[#This Row],[PEG]],Table1016[#All],3,FALSE)</f>
        <v>#N/A</v>
      </c>
    </row>
    <row r="44" spans="1:5" x14ac:dyDescent="0.35">
      <c r="A44" s="118">
        <v>37</v>
      </c>
      <c r="B44" s="114" t="s">
        <v>13</v>
      </c>
      <c r="C44" s="18" t="s">
        <v>13</v>
      </c>
      <c r="D44" s="115"/>
      <c r="E44" s="32"/>
    </row>
  </sheetData>
  <mergeCells count="1">
    <mergeCell ref="A1:B1"/>
  </mergeCells>
  <conditionalFormatting sqref="B8:B18">
    <cfRule type="containsText" dxfId="1365" priority="1" operator="containsText" text="Hear">
      <formula>NOT(ISERROR(SEARCH("Hear",B8)))</formula>
    </cfRule>
  </conditionalFormatting>
  <conditionalFormatting sqref="B30">
    <cfRule type="containsText" dxfId="1364" priority="4" operator="containsText" text="Hear">
      <formula>NOT(ISERROR(SEARCH("Hear",B30)))</formula>
    </cfRule>
  </conditionalFormatting>
  <conditionalFormatting sqref="B43:B44">
    <cfRule type="containsText" dxfId="1363" priority="8" operator="containsText" text="Hear">
      <formula>NOT(ISERROR(SEARCH("Hear",B43)))</formula>
    </cfRule>
  </conditionalFormatting>
  <conditionalFormatting sqref="E44">
    <cfRule type="containsText" dxfId="1362" priority="6" operator="containsText" text="WEB SERVICE">
      <formula>NOT(ISERROR(SEARCH("WEB SERVICE",E44)))</formula>
    </cfRule>
    <cfRule type="containsText" dxfId="1361" priority="7" operator="containsText" text="DB">
      <formula>NOT(ISERROR(SEARCH("DB",E44)))</formula>
    </cfRule>
  </conditionalFormatting>
  <conditionalFormatting sqref="C44">
    <cfRule type="expression" dxfId="1360" priority="9">
      <formula>$B44="HANGUP"</formula>
    </cfRule>
    <cfRule type="expression" dxfId="1359" priority="9">
      <formula>$B44="Dial"</formula>
    </cfRule>
  </conditionalFormatting>
  <conditionalFormatting sqref="C44">
    <cfRule type="expression" dxfId="1358" priority="3">
      <formula>$B44="Speak"</formula>
    </cfRule>
  </conditionalFormatting>
  <conditionalFormatting sqref="B36:B38 B40:B41">
    <cfRule type="containsText" dxfId="1357" priority="2" operator="containsText" text="Hear">
      <formula>NOT(ISERROR(SEARCH("Hear",B36)))</formula>
    </cfRule>
  </conditionalFormatting>
  <conditionalFormatting sqref="B19:B29 B31:B35 B42">
    <cfRule type="containsText" dxfId="1356" priority="5" operator="containsText" text="Hear">
      <formula>NOT(ISERROR(SEARCH("Hear",B19)))</formula>
    </cfRule>
  </conditionalFormatting>
  <hyperlinks>
    <hyperlink ref="A1" location="'Test Case Overview'!A1" display="Return to Test Case Overview" xr:uid="{AF738045-1F7A-4FE5-AD54-39F303521F77}"/>
  </hyperlinks>
  <pageMargins left="0.7" right="0.7" top="0.75" bottom="0.75" header="0.3" footer="0.3"/>
  <pageSetup orientation="portrait" verticalDpi="0" r:id="rId1"/>
  <tableParts count="1">
    <tablePart r:id="rId2"/>
  </tableParts>
  <extLst>
    <ext xmlns:x14="http://schemas.microsoft.com/office/spreadsheetml/2009/9/main" uri="{78C0D931-6437-407d-A8EE-F0AAD7539E65}">
      <x14:conditionalFormattings>
        <x14:conditionalFormatting xmlns:xm="http://schemas.microsoft.com/office/excel/2006/main">
          <x14:cfRule type="expression" priority="10" id="{F8D849E6-E774-4BE1-BCE2-91CB98760C46}">
            <xm:f>'TC1'!$B8="Dial"</xm:f>
            <x14:dxf>
              <font>
                <b/>
                <i val="0"/>
                <color rgb="FFFF0000"/>
              </font>
            </x14:dxf>
          </x14:cfRule>
          <x14:cfRule type="expression" priority="10" id="{74E4FF3C-3B56-4B02-B6F5-7E1450406339}">
            <xm:f>'TC1'!$B8="HANGUP"</xm:f>
            <x14:dxf>
              <font>
                <b/>
                <i val="0"/>
              </font>
            </x14:dxf>
          </x14:cfRule>
          <xm:sqref>C8</xm:sqref>
        </x14:conditionalFormatting>
        <x14:conditionalFormatting xmlns:xm="http://schemas.microsoft.com/office/excel/2006/main">
          <x14:cfRule type="expression" priority="11" id="{99D3B490-EB32-48A3-A62A-52B854DC764A}">
            <xm:f>'TC1'!$B8="Speak"</xm:f>
            <x14:dxf>
              <font>
                <b/>
                <i val="0"/>
                <color rgb="FFFF0000"/>
              </font>
            </x14:dxf>
          </x14:cfRule>
          <xm:sqref>C8</xm:sqref>
        </x14:conditionalFormatting>
        <x14:conditionalFormatting xmlns:xm="http://schemas.microsoft.com/office/excel/2006/main">
          <x14:cfRule type="containsText" priority="14" operator="containsText" text="Hear" id="{9606A06A-AE05-47BB-8D53-F60D5939DBC0}">
            <xm:f>NOT(ISERROR(SEARCH("Hear",'TC3'!B34)))</xm:f>
            <x14:dxf>
              <font>
                <color theme="9" tint="-0.24994659260841701"/>
              </font>
              <fill>
                <patternFill>
                  <bgColor theme="9" tint="0.59996337778862885"/>
                </patternFill>
              </fill>
            </x14:dxf>
          </x14:cfRule>
          <xm:sqref>B41</xm:sqref>
        </x14:conditionalFormatting>
        <x14:conditionalFormatting xmlns:xm="http://schemas.microsoft.com/office/excel/2006/main">
          <x14:cfRule type="expression" priority="2983" id="{F8D849E6-E774-4BE1-BCE2-91CB98760C46}">
            <xm:f>'TC1'!$B16="Dial"</xm:f>
            <x14:dxf>
              <font>
                <b/>
                <i val="0"/>
                <color rgb="FFFF0000"/>
              </font>
            </x14:dxf>
          </x14:cfRule>
          <x14:cfRule type="expression" priority="2984" id="{74E4FF3C-3B56-4B02-B6F5-7E1450406339}">
            <xm:f>'TC1'!$B16="HANGUP"</xm:f>
            <x14:dxf>
              <font>
                <b/>
                <i val="0"/>
              </font>
            </x14:dxf>
          </x14:cfRule>
          <xm:sqref>C34:C43</xm:sqref>
        </x14:conditionalFormatting>
        <x14:conditionalFormatting xmlns:xm="http://schemas.microsoft.com/office/excel/2006/main">
          <x14:cfRule type="expression" priority="2985" id="{F8D849E6-E774-4BE1-BCE2-91CB98760C46}">
            <xm:f>'TC1'!#REF!="Dial"</xm:f>
            <x14:dxf>
              <font>
                <b/>
                <i val="0"/>
                <color rgb="FFFF0000"/>
              </font>
            </x14:dxf>
          </x14:cfRule>
          <x14:cfRule type="expression" priority="2986" id="{74E4FF3C-3B56-4B02-B6F5-7E1450406339}">
            <xm:f>'TC1'!#REF!="HANGUP"</xm:f>
            <x14:dxf>
              <font>
                <b/>
                <i val="0"/>
              </font>
            </x14:dxf>
          </x14:cfRule>
          <xm:sqref>C17:C33</xm:sqref>
        </x14:conditionalFormatting>
        <x14:conditionalFormatting xmlns:xm="http://schemas.microsoft.com/office/excel/2006/main">
          <x14:cfRule type="expression" priority="2990" id="{99D3B490-EB32-48A3-A62A-52B854DC764A}">
            <xm:f>'TC1'!$B16="Speak"</xm:f>
            <x14:dxf>
              <font>
                <b/>
                <i val="0"/>
                <color rgb="FFFF0000"/>
              </font>
            </x14:dxf>
          </x14:cfRule>
          <xm:sqref>C34:C43</xm:sqref>
        </x14:conditionalFormatting>
        <x14:conditionalFormatting xmlns:xm="http://schemas.microsoft.com/office/excel/2006/main">
          <x14:cfRule type="expression" priority="2991" id="{99D3B490-EB32-48A3-A62A-52B854DC764A}">
            <xm:f>'TC1'!#REF!="Speak"</xm:f>
            <x14:dxf>
              <font>
                <b/>
                <i val="0"/>
                <color rgb="FFFF0000"/>
              </font>
            </x14:dxf>
          </x14:cfRule>
          <xm:sqref>C17:C33</xm:sqref>
        </x14:conditionalFormatting>
        <x14:conditionalFormatting xmlns:xm="http://schemas.microsoft.com/office/excel/2006/main">
          <x14:cfRule type="containsText" priority="2995" operator="containsText" text="DB" id="{1205B175-2D9A-43F5-98C6-56D3CDF1D711}">
            <xm:f>NOT(ISERROR(SEARCH("DB",'TC1'!E16)))</xm:f>
            <x14:dxf>
              <font>
                <color rgb="FF006100"/>
              </font>
              <fill>
                <patternFill>
                  <bgColor rgb="FFC6EFCE"/>
                </patternFill>
              </fill>
            </x14:dxf>
          </x14:cfRule>
          <x14:cfRule type="containsText" priority="2996" operator="containsText" text="WEB SERVICE" id="{5B28F25C-4025-4A84-BC93-E1E44DC9DB07}">
            <xm:f>NOT(ISERROR(SEARCH("WEB SERVICE",'TC1'!E16)))</xm:f>
            <x14:dxf>
              <font>
                <color rgb="FF9C0006"/>
              </font>
              <fill>
                <patternFill>
                  <bgColor rgb="FFFFC7CE"/>
                </patternFill>
              </fill>
            </x14:dxf>
          </x14:cfRule>
          <xm:sqref>E34:E43</xm:sqref>
        </x14:conditionalFormatting>
        <x14:conditionalFormatting xmlns:xm="http://schemas.microsoft.com/office/excel/2006/main">
          <x14:cfRule type="containsText" priority="2997" operator="containsText" text="DB" id="{1205B175-2D9A-43F5-98C6-56D3CDF1D711}">
            <xm:f>NOT(ISERROR(SEARCH("DB",'TC1'!#REF!)))</xm:f>
            <x14:dxf>
              <font>
                <color rgb="FF006100"/>
              </font>
              <fill>
                <patternFill>
                  <bgColor rgb="FFC6EFCE"/>
                </patternFill>
              </fill>
            </x14:dxf>
          </x14:cfRule>
          <x14:cfRule type="containsText" priority="2998" operator="containsText" text="WEB SERVICE" id="{5B28F25C-4025-4A84-BC93-E1E44DC9DB07}">
            <xm:f>NOT(ISERROR(SEARCH("WEB SERVICE",'TC1'!#REF!)))</xm:f>
            <x14:dxf>
              <font>
                <color rgb="FF9C0006"/>
              </font>
              <fill>
                <patternFill>
                  <bgColor rgb="FFFFC7CE"/>
                </patternFill>
              </fill>
            </x14:dxf>
          </x14:cfRule>
          <xm:sqref>E17:E33</xm:sqref>
        </x14:conditionalFormatting>
        <x14:conditionalFormatting xmlns:xm="http://schemas.microsoft.com/office/excel/2006/main">
          <x14:cfRule type="expression" priority="5623" id="{F8D849E6-E774-4BE1-BCE2-91CB98760C46}">
            <xm:f>'TC1'!$B9="Dial"</xm:f>
            <x14:dxf>
              <font>
                <b/>
                <i val="0"/>
                <color rgb="FFFF0000"/>
              </font>
            </x14:dxf>
          </x14:cfRule>
          <x14:cfRule type="expression" priority="5624" id="{74E4FF3C-3B56-4B02-B6F5-7E1450406339}">
            <xm:f>'TC1'!$B9="HANGUP"</xm:f>
            <x14:dxf>
              <font>
                <b/>
                <i val="0"/>
              </font>
            </x14:dxf>
          </x14:cfRule>
          <xm:sqref>C12:C15</xm:sqref>
        </x14:conditionalFormatting>
        <x14:conditionalFormatting xmlns:xm="http://schemas.microsoft.com/office/excel/2006/main">
          <x14:cfRule type="expression" priority="5625" id="{F8D849E6-E774-4BE1-BCE2-91CB98760C46}">
            <xm:f>'TC1'!#REF!="Dial"</xm:f>
            <x14:dxf>
              <font>
                <b/>
                <i val="0"/>
                <color rgb="FFFF0000"/>
              </font>
            </x14:dxf>
          </x14:cfRule>
          <x14:cfRule type="expression" priority="5626" id="{74E4FF3C-3B56-4B02-B6F5-7E1450406339}">
            <xm:f>'TC1'!#REF!="HANGUP"</xm:f>
            <x14:dxf>
              <font>
                <b/>
                <i val="0"/>
              </font>
            </x14:dxf>
          </x14:cfRule>
          <xm:sqref>C9:C11</xm:sqref>
        </x14:conditionalFormatting>
        <x14:conditionalFormatting xmlns:xm="http://schemas.microsoft.com/office/excel/2006/main">
          <x14:cfRule type="expression" priority="5630" id="{99D3B490-EB32-48A3-A62A-52B854DC764A}">
            <xm:f>'TC1'!$B9="Speak"</xm:f>
            <x14:dxf>
              <font>
                <b/>
                <i val="0"/>
                <color rgb="FFFF0000"/>
              </font>
            </x14:dxf>
          </x14:cfRule>
          <xm:sqref>C12:C15</xm:sqref>
        </x14:conditionalFormatting>
        <x14:conditionalFormatting xmlns:xm="http://schemas.microsoft.com/office/excel/2006/main">
          <x14:cfRule type="expression" priority="5631" id="{99D3B490-EB32-48A3-A62A-52B854DC764A}">
            <xm:f>'TC1'!#REF!="Speak"</xm:f>
            <x14:dxf>
              <font>
                <b/>
                <i val="0"/>
                <color rgb="FFFF0000"/>
              </font>
            </x14:dxf>
          </x14:cfRule>
          <xm:sqref>C9:C11</xm:sqref>
        </x14:conditionalFormatting>
        <x14:conditionalFormatting xmlns:xm="http://schemas.microsoft.com/office/excel/2006/main">
          <x14:cfRule type="containsText" priority="5633" operator="containsText" text="DB" id="{1205B175-2D9A-43F5-98C6-56D3CDF1D711}">
            <xm:f>NOT(ISERROR(SEARCH("DB",'TC1'!#REF!)))</xm:f>
            <x14:dxf>
              <font>
                <color rgb="FF006100"/>
              </font>
              <fill>
                <patternFill>
                  <bgColor rgb="FFC6EFCE"/>
                </patternFill>
              </fill>
            </x14:dxf>
          </x14:cfRule>
          <x14:cfRule type="containsText" priority="5634" operator="containsText" text="WEB SERVICE" id="{5B28F25C-4025-4A84-BC93-E1E44DC9DB07}">
            <xm:f>NOT(ISERROR(SEARCH("WEB SERVICE",'TC1'!#REF!)))</xm:f>
            <x14:dxf>
              <font>
                <color rgb="FF9C0006"/>
              </font>
              <fill>
                <patternFill>
                  <bgColor rgb="FFFFC7CE"/>
                </patternFill>
              </fill>
            </x14:dxf>
          </x14:cfRule>
          <xm:sqref>E9:E11</xm:sqref>
        </x14:conditionalFormatting>
        <x14:conditionalFormatting xmlns:xm="http://schemas.microsoft.com/office/excel/2006/main">
          <x14:cfRule type="containsText" priority="5635" operator="containsText" text="DB" id="{1205B175-2D9A-43F5-98C6-56D3CDF1D711}">
            <xm:f>NOT(ISERROR(SEARCH("DB",'TC1'!E9)))</xm:f>
            <x14:dxf>
              <font>
                <color rgb="FF006100"/>
              </font>
              <fill>
                <patternFill>
                  <bgColor rgb="FFC6EFCE"/>
                </patternFill>
              </fill>
            </x14:dxf>
          </x14:cfRule>
          <x14:cfRule type="containsText" priority="5636" operator="containsText" text="WEB SERVICE" id="{5B28F25C-4025-4A84-BC93-E1E44DC9DB07}">
            <xm:f>NOT(ISERROR(SEARCH("WEB SERVICE",'TC1'!E9)))</xm:f>
            <x14:dxf>
              <font>
                <color rgb="FF9C0006"/>
              </font>
              <fill>
                <patternFill>
                  <bgColor rgb="FFFFC7CE"/>
                </patternFill>
              </fill>
            </x14:dxf>
          </x14:cfRule>
          <xm:sqref>E12:E15</xm:sqref>
        </x14:conditionalFormatting>
        <x14:conditionalFormatting xmlns:xm="http://schemas.microsoft.com/office/excel/2006/main">
          <x14:cfRule type="expression" priority="7865" id="{F8D849E6-E774-4BE1-BCE2-91CB98760C46}">
            <xm:f>'TC1'!$B15="Dial"</xm:f>
            <x14:dxf>
              <font>
                <b/>
                <i val="0"/>
                <color rgb="FFFF0000"/>
              </font>
            </x14:dxf>
          </x14:cfRule>
          <x14:cfRule type="expression" priority="7866" id="{74E4FF3C-3B56-4B02-B6F5-7E1450406339}">
            <xm:f>'TC1'!$B15="HANGUP"</xm:f>
            <x14:dxf>
              <font>
                <b/>
                <i val="0"/>
              </font>
            </x14:dxf>
          </x14:cfRule>
          <xm:sqref>C16</xm:sqref>
        </x14:conditionalFormatting>
        <x14:conditionalFormatting xmlns:xm="http://schemas.microsoft.com/office/excel/2006/main">
          <x14:cfRule type="expression" priority="7868" id="{99D3B490-EB32-48A3-A62A-52B854DC764A}">
            <xm:f>'TC1'!$B15="Speak"</xm:f>
            <x14:dxf>
              <font>
                <b/>
                <i val="0"/>
                <color rgb="FFFF0000"/>
              </font>
            </x14:dxf>
          </x14:cfRule>
          <xm:sqref>C16</xm:sqref>
        </x14:conditionalFormatting>
        <x14:conditionalFormatting xmlns:xm="http://schemas.microsoft.com/office/excel/2006/main">
          <x14:cfRule type="containsText" priority="7871" operator="containsText" text="DB" id="{1205B175-2D9A-43F5-98C6-56D3CDF1D711}">
            <xm:f>NOT(ISERROR(SEARCH("DB",'TC1'!E15)))</xm:f>
            <x14:dxf>
              <font>
                <color rgb="FF006100"/>
              </font>
              <fill>
                <patternFill>
                  <bgColor rgb="FFC6EFCE"/>
                </patternFill>
              </fill>
            </x14:dxf>
          </x14:cfRule>
          <x14:cfRule type="containsText" priority="7872" operator="containsText" text="WEB SERVICE" id="{5B28F25C-4025-4A84-BC93-E1E44DC9DB07}">
            <xm:f>NOT(ISERROR(SEARCH("WEB SERVICE",'TC1'!E15)))</xm:f>
            <x14:dxf>
              <font>
                <color rgb="FF9C0006"/>
              </font>
              <fill>
                <patternFill>
                  <bgColor rgb="FFFFC7CE"/>
                </patternFill>
              </fill>
            </x14:dxf>
          </x14:cfRule>
          <xm:sqref>E16</xm:sqref>
        </x14:conditionalFormatting>
        <x14:conditionalFormatting xmlns:xm="http://schemas.microsoft.com/office/excel/2006/main">
          <x14:cfRule type="containsText" priority="10554" operator="containsText" text="Hear" id="{93CA8488-7BFB-4286-B175-88A34B7D9A52}">
            <xm:f>NOT(ISERROR(SEARCH("Hear",'TC26'!#REF!)))</xm:f>
            <x14:dxf>
              <font>
                <color theme="9" tint="-0.24994659260841701"/>
              </font>
              <fill>
                <patternFill>
                  <bgColor theme="9" tint="0.59996337778862885"/>
                </patternFill>
              </fill>
            </x14:dxf>
          </x14:cfRule>
          <xm:sqref>B39</xm:sqref>
        </x14:conditionalFormatting>
      </x14:conditionalFormattings>
    </ext>
  </extLst>
</worksheet>
</file>

<file path=xl/worksheets/sheet1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900-000000000000}">
  <sheetPr codeName="Sheet139"/>
  <dimension ref="A1:E44"/>
  <sheetViews>
    <sheetView zoomScaleNormal="100" workbookViewId="0">
      <selection sqref="A1:E44"/>
    </sheetView>
  </sheetViews>
  <sheetFormatPr defaultRowHeight="14.5" x14ac:dyDescent="0.35"/>
  <cols>
    <col min="1" max="1" width="14.453125" bestFit="1" customWidth="1"/>
    <col min="2" max="2" width="42.6328125" customWidth="1"/>
    <col min="3" max="3" width="106.1796875" customWidth="1"/>
    <col min="4" max="4" width="21.81640625" bestFit="1" customWidth="1"/>
    <col min="5" max="5" width="20.6328125" customWidth="1"/>
  </cols>
  <sheetData>
    <row r="1" spans="1:5" ht="18.5" x14ac:dyDescent="0.35">
      <c r="A1" s="192" t="s">
        <v>4</v>
      </c>
      <c r="B1" s="192"/>
      <c r="C1" s="105"/>
      <c r="D1" s="111"/>
      <c r="E1" s="97"/>
    </row>
    <row r="2" spans="1:5" x14ac:dyDescent="0.35">
      <c r="A2" s="106" t="s">
        <v>5</v>
      </c>
      <c r="B2" s="107" t="str">
        <f ca="1">MID(CELL("filename",A1),FIND("]",CELL("filename",A1))+1,LEN(CELL("filename",A1))-FIND("]",CELL("filename",A1)))</f>
        <v>TC137</v>
      </c>
      <c r="C2" s="98"/>
      <c r="D2" s="111"/>
      <c r="E2" s="97"/>
    </row>
    <row r="3" spans="1:5" x14ac:dyDescent="0.35">
      <c r="A3" s="104" t="s">
        <v>19</v>
      </c>
      <c r="B3" s="112" t="e">
        <f ca="1">VLOOKUP(B2,Table53[#All],2,FALSE)</f>
        <v>#N/A</v>
      </c>
      <c r="C3" s="98"/>
      <c r="D3" s="111"/>
      <c r="E3" s="97"/>
    </row>
    <row r="4" spans="1:5" ht="29" x14ac:dyDescent="0.35">
      <c r="A4" s="113" t="s">
        <v>20</v>
      </c>
      <c r="B4" s="99" t="e">
        <f ca="1">VLOOKUP(B2,Table53[#All],4,FALSE)</f>
        <v>#N/A</v>
      </c>
      <c r="C4" s="98"/>
      <c r="D4" s="111"/>
      <c r="E4" s="97"/>
    </row>
    <row r="5" spans="1:5" x14ac:dyDescent="0.35">
      <c r="A5" s="104" t="s">
        <v>6</v>
      </c>
      <c r="B5" s="77" t="e">
        <f ca="1">VLOOKUP(B2,Table53[#All],3,FALSE)</f>
        <v>#N/A</v>
      </c>
      <c r="C5" s="98"/>
      <c r="D5" s="111"/>
      <c r="E5" s="97"/>
    </row>
    <row r="6" spans="1:5" x14ac:dyDescent="0.35">
      <c r="A6" s="97"/>
      <c r="B6" s="97"/>
      <c r="C6" s="98"/>
      <c r="D6" s="111"/>
      <c r="E6" s="97"/>
    </row>
    <row r="7" spans="1:5" ht="15.5" x14ac:dyDescent="0.35">
      <c r="A7" s="100" t="s">
        <v>7</v>
      </c>
      <c r="B7" s="101" t="s">
        <v>8</v>
      </c>
      <c r="C7" s="102" t="s">
        <v>9</v>
      </c>
      <c r="D7" s="102" t="s">
        <v>14</v>
      </c>
      <c r="E7" s="103" t="s">
        <v>10</v>
      </c>
    </row>
    <row r="8" spans="1:5" x14ac:dyDescent="0.35">
      <c r="A8" s="118">
        <v>1</v>
      </c>
      <c r="B8" s="114" t="s">
        <v>114</v>
      </c>
      <c r="C8" s="109" t="s">
        <v>125</v>
      </c>
      <c r="D8" s="128"/>
      <c r="E8" s="125" t="s">
        <v>11</v>
      </c>
    </row>
    <row r="9" spans="1:5" x14ac:dyDescent="0.35">
      <c r="A9" s="118">
        <v>2</v>
      </c>
      <c r="B9" s="114" t="s">
        <v>12</v>
      </c>
      <c r="C9" s="109" t="e">
        <f>VLOOKUP(Table257519913140106110151155170178182[[#This Row],[PEG]],Table1016[#All],2,FALSE)</f>
        <v>#N/A</v>
      </c>
      <c r="D9" s="128"/>
      <c r="E9" s="125" t="e">
        <f>VLOOKUP(Table257519913140106110151155170178182[[#This Row],[PEG]],Table1016[#All],3,FALSE)</f>
        <v>#N/A</v>
      </c>
    </row>
    <row r="10" spans="1:5" x14ac:dyDescent="0.35">
      <c r="A10" s="118">
        <v>3</v>
      </c>
      <c r="B10" s="114" t="s">
        <v>115</v>
      </c>
      <c r="C10" s="109" t="e">
        <f>VLOOKUP(Table257519913140106110151155170178182[[#This Row],[PEG]],Table1016[#All],2,FALSE)</f>
        <v>#N/A</v>
      </c>
      <c r="D10" s="128"/>
      <c r="E10" s="125" t="e">
        <f>VLOOKUP(Table257519913140106110151155170178182[[#This Row],[PEG]],Table1016[#All],3,FALSE)</f>
        <v>#N/A</v>
      </c>
    </row>
    <row r="11" spans="1:5" x14ac:dyDescent="0.35">
      <c r="A11" s="118">
        <v>4</v>
      </c>
      <c r="B11" s="114" t="s">
        <v>115</v>
      </c>
      <c r="C11" s="109" t="e">
        <f>VLOOKUP(Table257519913140106110151155170178182[[#This Row],[PEG]],Table1016[#All],2,FALSE)</f>
        <v>#N/A</v>
      </c>
      <c r="D11" s="128"/>
      <c r="E11" s="125" t="e">
        <f>VLOOKUP(Table257519913140106110151155170178182[[#This Row],[PEG]],Table1016[#All],3,FALSE)</f>
        <v>#N/A</v>
      </c>
    </row>
    <row r="12" spans="1:5" x14ac:dyDescent="0.35">
      <c r="A12" s="118">
        <v>5</v>
      </c>
      <c r="B12" s="114" t="s">
        <v>114</v>
      </c>
      <c r="C12" s="109" t="e">
        <f>VLOOKUP(Table257519913140106110151155170178182[[#This Row],[PEG]],Table1016[#All],2,FALSE)</f>
        <v>#N/A</v>
      </c>
      <c r="D12" s="128"/>
      <c r="E12" s="125" t="e">
        <f>VLOOKUP(Table257519913140106110151155170178182[[#This Row],[PEG]],Table1016[#All],3,FALSE)</f>
        <v>#N/A</v>
      </c>
    </row>
    <row r="13" spans="1:5" x14ac:dyDescent="0.35">
      <c r="A13" s="118">
        <v>6</v>
      </c>
      <c r="B13" s="114" t="s">
        <v>115</v>
      </c>
      <c r="C13" s="109" t="e">
        <f>VLOOKUP(Table257519913140106110151155170178182[[#This Row],[PEG]],Table1016[#All],2,FALSE)</f>
        <v>#N/A</v>
      </c>
      <c r="D13" s="128"/>
      <c r="E13" s="125" t="e">
        <f>VLOOKUP(Table257519913140106110151155170178182[[#This Row],[PEG]],Table1016[#All],3,FALSE)</f>
        <v>#N/A</v>
      </c>
    </row>
    <row r="14" spans="1:5" x14ac:dyDescent="0.35">
      <c r="A14" s="118">
        <v>7</v>
      </c>
      <c r="B14" s="114" t="s">
        <v>114</v>
      </c>
      <c r="C14" s="109" t="e">
        <f>VLOOKUP(Table257519913140106110151155170178182[[#This Row],[PEG]],Table1016[#All],2,FALSE)</f>
        <v>#N/A</v>
      </c>
      <c r="D14" s="128"/>
      <c r="E14" s="125" t="e">
        <f>VLOOKUP(Table257519913140106110151155170178182[[#This Row],[PEG]],Table1016[#All],3,FALSE)</f>
        <v>#N/A</v>
      </c>
    </row>
    <row r="15" spans="1:5" x14ac:dyDescent="0.35">
      <c r="A15" s="118">
        <v>8</v>
      </c>
      <c r="B15" s="114" t="s">
        <v>115</v>
      </c>
      <c r="C15" s="109" t="e">
        <f>VLOOKUP(Table257519913140106110151155170178182[[#This Row],[PEG]],Table1016[#All],2,FALSE)</f>
        <v>#N/A</v>
      </c>
      <c r="D15" s="116"/>
      <c r="E15" s="125" t="e">
        <f>VLOOKUP(Table257519913140106110151155170178182[[#This Row],[PEG]],Table1016[#All],3,FALSE)</f>
        <v>#N/A</v>
      </c>
    </row>
    <row r="16" spans="1:5" x14ac:dyDescent="0.35">
      <c r="A16" s="118">
        <v>9</v>
      </c>
      <c r="B16" s="114" t="s">
        <v>12</v>
      </c>
      <c r="C16" s="109" t="e">
        <f>VLOOKUP(Table257519913140106110151155170178182[[#This Row],[PEG]],Table1016[#All],2,FALSE)</f>
        <v>#N/A</v>
      </c>
      <c r="D16" s="116"/>
      <c r="E16" s="125" t="e">
        <f>VLOOKUP(Table257519913140106110151155170178182[[#This Row],[PEG]],Table1016[#All],3,FALSE)</f>
        <v>#N/A</v>
      </c>
    </row>
    <row r="17" spans="1:5" x14ac:dyDescent="0.35">
      <c r="A17" s="118">
        <v>10</v>
      </c>
      <c r="B17" s="114" t="s">
        <v>12</v>
      </c>
      <c r="C17" s="109" t="e">
        <f>VLOOKUP(Table257519913140106110151155170178182[[#This Row],[PEG]],Table1016[#All],2,FALSE)</f>
        <v>#N/A</v>
      </c>
      <c r="D17" s="117"/>
      <c r="E17" s="125" t="e">
        <f>VLOOKUP(Table257519913140106110151155170178182[[#This Row],[PEG]],Table1016[#All],3,FALSE)</f>
        <v>#N/A</v>
      </c>
    </row>
    <row r="18" spans="1:5" x14ac:dyDescent="0.35">
      <c r="A18" s="118">
        <v>11</v>
      </c>
      <c r="B18" s="114" t="s">
        <v>115</v>
      </c>
      <c r="C18" s="109" t="e">
        <f>VLOOKUP(Table257519913140106110151155170178182[[#This Row],[PEG]],Table1016[#All],2,FALSE)</f>
        <v>#N/A</v>
      </c>
      <c r="D18" s="117"/>
      <c r="E18" s="125" t="e">
        <f>VLOOKUP(Table257519913140106110151155170178182[[#This Row],[PEG]],Table1016[#All],3,FALSE)</f>
        <v>#N/A</v>
      </c>
    </row>
    <row r="19" spans="1:5" x14ac:dyDescent="0.35">
      <c r="A19" s="118">
        <v>12</v>
      </c>
      <c r="B19" s="114" t="s">
        <v>115</v>
      </c>
      <c r="C19" s="109" t="e">
        <f>VLOOKUP(Table257519913140106110151155170178182[[#This Row],[PEG]],Table1016[#All],2,FALSE)</f>
        <v>#N/A</v>
      </c>
      <c r="D19" s="117"/>
      <c r="E19" s="125" t="e">
        <f>VLOOKUP(Table257519913140106110151155170178182[[#This Row],[PEG]],Table1016[#All],3,FALSE)</f>
        <v>#N/A</v>
      </c>
    </row>
    <row r="20" spans="1:5" x14ac:dyDescent="0.35">
      <c r="A20" s="118">
        <v>13</v>
      </c>
      <c r="B20" s="114" t="s">
        <v>114</v>
      </c>
      <c r="C20" s="109" t="e">
        <f>VLOOKUP(Table257519913140106110151155170178182[[#This Row],[PEG]],Table1016[#All],2,FALSE)</f>
        <v>#N/A</v>
      </c>
      <c r="D20" s="117"/>
      <c r="E20" s="125" t="e">
        <f>VLOOKUP(Table257519913140106110151155170178182[[#This Row],[PEG]],Table1016[#All],3,FALSE)</f>
        <v>#N/A</v>
      </c>
    </row>
    <row r="21" spans="1:5" x14ac:dyDescent="0.35">
      <c r="A21" s="118">
        <v>14</v>
      </c>
      <c r="B21" s="114" t="s">
        <v>12</v>
      </c>
      <c r="C21" s="109" t="e">
        <f>VLOOKUP(Table257519913140106110151155170178182[[#This Row],[PEG]],Table1016[#All],2,FALSE)</f>
        <v>#N/A</v>
      </c>
      <c r="D21" s="117"/>
      <c r="E21" s="125" t="e">
        <f>VLOOKUP(Table257519913140106110151155170178182[[#This Row],[PEG]],Table1016[#All],3,FALSE)</f>
        <v>#N/A</v>
      </c>
    </row>
    <row r="22" spans="1:5" x14ac:dyDescent="0.35">
      <c r="A22" s="118">
        <v>15</v>
      </c>
      <c r="B22" s="114" t="s">
        <v>12</v>
      </c>
      <c r="C22" s="109" t="e">
        <f>VLOOKUP(Table257519913140106110151155170178182[[#This Row],[PEG]],Table1016[#All],2,FALSE)</f>
        <v>#N/A</v>
      </c>
      <c r="D22" s="117"/>
      <c r="E22" s="125" t="e">
        <f>VLOOKUP(Table257519913140106110151155170178182[[#This Row],[PEG]],Table1016[#All],3,FALSE)</f>
        <v>#N/A</v>
      </c>
    </row>
    <row r="23" spans="1:5" x14ac:dyDescent="0.35">
      <c r="A23" s="118">
        <v>16</v>
      </c>
      <c r="B23" s="114" t="s">
        <v>115</v>
      </c>
      <c r="C23" s="109" t="e">
        <f>VLOOKUP(Table257519913140106110151155170178182[[#This Row],[PEG]],Table1016[#All],2,FALSE)</f>
        <v>#N/A</v>
      </c>
      <c r="D23" s="117"/>
      <c r="E23" s="125" t="e">
        <f>VLOOKUP(Table257519913140106110151155170178182[[#This Row],[PEG]],Table1016[#All],3,FALSE)</f>
        <v>#N/A</v>
      </c>
    </row>
    <row r="24" spans="1:5" x14ac:dyDescent="0.35">
      <c r="A24" s="118">
        <v>17</v>
      </c>
      <c r="B24" s="114" t="s">
        <v>114</v>
      </c>
      <c r="C24" s="109" t="e">
        <f>VLOOKUP(Table257519913140106110151155170178182[[#This Row],[PEG]],Table1016[#All],2,FALSE)</f>
        <v>#N/A</v>
      </c>
      <c r="D24" s="117"/>
      <c r="E24" s="125" t="e">
        <f>VLOOKUP(Table257519913140106110151155170178182[[#This Row],[PEG]],Table1016[#All],3,FALSE)</f>
        <v>#N/A</v>
      </c>
    </row>
    <row r="25" spans="1:5" x14ac:dyDescent="0.35">
      <c r="A25" s="118">
        <v>18</v>
      </c>
      <c r="B25" s="114" t="s">
        <v>12</v>
      </c>
      <c r="C25" s="109" t="e">
        <f>VLOOKUP(Table257519913140106110151155170178182[[#This Row],[PEG]],Table1016[#All],2,FALSE)</f>
        <v>#N/A</v>
      </c>
      <c r="D25" s="117"/>
      <c r="E25" s="125" t="e">
        <f>VLOOKUP(Table257519913140106110151155170178182[[#This Row],[PEG]],Table1016[#All],3,FALSE)</f>
        <v>#N/A</v>
      </c>
    </row>
    <row r="26" spans="1:5" x14ac:dyDescent="0.35">
      <c r="A26" s="118">
        <v>19</v>
      </c>
      <c r="B26" s="114" t="s">
        <v>12</v>
      </c>
      <c r="C26" s="109" t="e">
        <f>VLOOKUP(Table257519913140106110151155170178182[[#This Row],[PEG]],Table1016[#All],2,FALSE)</f>
        <v>#N/A</v>
      </c>
      <c r="D26" s="117"/>
      <c r="E26" s="125" t="e">
        <f>VLOOKUP(Table257519913140106110151155170178182[[#This Row],[PEG]],Table1016[#All],3,FALSE)</f>
        <v>#N/A</v>
      </c>
    </row>
    <row r="27" spans="1:5" x14ac:dyDescent="0.35">
      <c r="A27" s="118">
        <v>20</v>
      </c>
      <c r="B27" s="114" t="s">
        <v>115</v>
      </c>
      <c r="C27" s="109" t="e">
        <f>VLOOKUP(Table257519913140106110151155170178182[[#This Row],[PEG]],Table1016[#All],2,FALSE)</f>
        <v>#N/A</v>
      </c>
      <c r="D27" s="117"/>
      <c r="E27" s="125" t="e">
        <f>VLOOKUP(Table257519913140106110151155170178182[[#This Row],[PEG]],Table1016[#All],3,FALSE)</f>
        <v>#N/A</v>
      </c>
    </row>
    <row r="28" spans="1:5" x14ac:dyDescent="0.35">
      <c r="A28" s="118">
        <v>21</v>
      </c>
      <c r="B28" s="114" t="s">
        <v>114</v>
      </c>
      <c r="C28" s="109" t="e">
        <f>VLOOKUP(Table257519913140106110151155170178182[[#This Row],[PEG]],Table1016[#All],2,FALSE)</f>
        <v>#N/A</v>
      </c>
      <c r="D28" s="117"/>
      <c r="E28" s="125" t="e">
        <f>VLOOKUP(Table257519913140106110151155170178182[[#This Row],[PEG]],Table1016[#All],3,FALSE)</f>
        <v>#N/A</v>
      </c>
    </row>
    <row r="29" spans="1:5" x14ac:dyDescent="0.35">
      <c r="A29" s="118">
        <v>22</v>
      </c>
      <c r="B29" s="114" t="s">
        <v>12</v>
      </c>
      <c r="C29" s="109" t="e">
        <f>VLOOKUP(Table257519913140106110151155170178182[[#This Row],[PEG]],Table1016[#All],2,FALSE)</f>
        <v>#N/A</v>
      </c>
      <c r="D29" s="117"/>
      <c r="E29" s="125" t="e">
        <f>VLOOKUP(Table257519913140106110151155170178182[[#This Row],[PEG]],Table1016[#All],3,FALSE)</f>
        <v>#N/A</v>
      </c>
    </row>
    <row r="30" spans="1:5" x14ac:dyDescent="0.35">
      <c r="A30" s="118">
        <v>23</v>
      </c>
      <c r="B30" s="114" t="s">
        <v>12</v>
      </c>
      <c r="C30" s="109" t="e">
        <f>VLOOKUP(Table257519913140106110151155170178182[[#This Row],[PEG]],Table1016[#All],2,FALSE)</f>
        <v>#N/A</v>
      </c>
      <c r="D30" s="117"/>
      <c r="E30" s="125" t="e">
        <f>VLOOKUP(Table257519913140106110151155170178182[[#This Row],[PEG]],Table1016[#All],3,FALSE)</f>
        <v>#N/A</v>
      </c>
    </row>
    <row r="31" spans="1:5" x14ac:dyDescent="0.35">
      <c r="A31" s="118">
        <v>24</v>
      </c>
      <c r="B31" s="114" t="s">
        <v>115</v>
      </c>
      <c r="C31" s="109" t="e">
        <f>VLOOKUP(Table257519913140106110151155170178182[[#This Row],[PEG]],Table1016[#All],2,FALSE)</f>
        <v>#N/A</v>
      </c>
      <c r="D31" s="117"/>
      <c r="E31" s="125" t="e">
        <f>VLOOKUP(Table257519913140106110151155170178182[[#This Row],[PEG]],Table1016[#All],3,FALSE)</f>
        <v>#N/A</v>
      </c>
    </row>
    <row r="32" spans="1:5" x14ac:dyDescent="0.35">
      <c r="A32" s="118">
        <v>25</v>
      </c>
      <c r="B32" s="114" t="s">
        <v>115</v>
      </c>
      <c r="C32" s="109" t="e">
        <f>VLOOKUP(Table257519913140106110151155170178182[[#This Row],[PEG]],Table1016[#All],2,FALSE)</f>
        <v>#N/A</v>
      </c>
      <c r="D32" s="117"/>
      <c r="E32" s="125" t="e">
        <f>VLOOKUP(Table257519913140106110151155170178182[[#This Row],[PEG]],Table1016[#All],3,FALSE)</f>
        <v>#N/A</v>
      </c>
    </row>
    <row r="33" spans="1:5" x14ac:dyDescent="0.35">
      <c r="A33" s="118">
        <v>26</v>
      </c>
      <c r="B33" s="114" t="s">
        <v>124</v>
      </c>
      <c r="C33" s="109" t="e">
        <f>VLOOKUP(Table257519913140106110151155170178182[[#This Row],[PEG]],Table1016[#All],2,FALSE)</f>
        <v>#N/A</v>
      </c>
      <c r="D33" s="117"/>
      <c r="E33" s="125" t="e">
        <f>VLOOKUP(Table257519913140106110151155170178182[[#This Row],[PEG]],Table1016[#All],3,FALSE)</f>
        <v>#N/A</v>
      </c>
    </row>
    <row r="34" spans="1:5" x14ac:dyDescent="0.35">
      <c r="A34" s="118">
        <v>27</v>
      </c>
      <c r="B34" s="114" t="s">
        <v>115</v>
      </c>
      <c r="C34" s="109" t="e">
        <f>VLOOKUP(Table257519913140106110151155170178182[[#This Row],[PEG]],Table1016[#All],2,FALSE)</f>
        <v>#N/A</v>
      </c>
      <c r="D34" s="117"/>
      <c r="E34" s="125" t="e">
        <f>VLOOKUP(Table257519913140106110151155170178182[[#This Row],[PEG]],Table1016[#All],3,FALSE)</f>
        <v>#N/A</v>
      </c>
    </row>
    <row r="35" spans="1:5" x14ac:dyDescent="0.35">
      <c r="A35" s="118">
        <v>28</v>
      </c>
      <c r="B35" s="114" t="s">
        <v>124</v>
      </c>
      <c r="C35" s="109" t="e">
        <f>VLOOKUP(Table257519913140106110151155170178182[[#This Row],[PEG]],Table1016[#All],2,FALSE)</f>
        <v>#N/A</v>
      </c>
      <c r="D35" s="117"/>
      <c r="E35" s="125" t="e">
        <f>VLOOKUP(Table257519913140106110151155170178182[[#This Row],[PEG]],Table1016[#All],3,FALSE)</f>
        <v>#N/A</v>
      </c>
    </row>
    <row r="36" spans="1:5" x14ac:dyDescent="0.35">
      <c r="A36" s="118">
        <v>29</v>
      </c>
      <c r="B36" s="114" t="s">
        <v>115</v>
      </c>
      <c r="C36" s="109" t="e">
        <f>VLOOKUP(Table257519913140106110151155170178182[[#This Row],[PEG]],Table1016[#All],2,FALSE)</f>
        <v>#N/A</v>
      </c>
      <c r="D36" s="117"/>
      <c r="E36" s="125" t="e">
        <f>VLOOKUP(Table257519913140106110151155170178182[[#This Row],[PEG]],Table1016[#All],3,FALSE)</f>
        <v>#N/A</v>
      </c>
    </row>
    <row r="37" spans="1:5" x14ac:dyDescent="0.35">
      <c r="A37" s="118">
        <v>30</v>
      </c>
      <c r="B37" s="114" t="s">
        <v>12</v>
      </c>
      <c r="C37" s="109" t="e">
        <f>VLOOKUP(Table257519913140106110151155170178182[[#This Row],[PEG]],Table1016[#All],2,FALSE)</f>
        <v>#N/A</v>
      </c>
      <c r="D37" s="117"/>
      <c r="E37" s="125" t="e">
        <f>VLOOKUP(Table257519913140106110151155170178182[[#This Row],[PEG]],Table1016[#All],3,FALSE)</f>
        <v>#N/A</v>
      </c>
    </row>
    <row r="38" spans="1:5" x14ac:dyDescent="0.35">
      <c r="A38" s="118">
        <v>31</v>
      </c>
      <c r="B38" s="114" t="s">
        <v>12</v>
      </c>
      <c r="C38" s="109" t="e">
        <f>VLOOKUP(Table257519913140106110151155170178182[[#This Row],[PEG]],Table1016[#All],2,FALSE)</f>
        <v>#N/A</v>
      </c>
      <c r="D38" s="117"/>
      <c r="E38" s="125" t="e">
        <f>VLOOKUP(Table257519913140106110151155170178182[[#This Row],[PEG]],Table1016[#All],3,FALSE)</f>
        <v>#N/A</v>
      </c>
    </row>
    <row r="39" spans="1:5" x14ac:dyDescent="0.35">
      <c r="A39" s="118">
        <v>32</v>
      </c>
      <c r="B39" s="114" t="s">
        <v>12</v>
      </c>
      <c r="C39" s="109" t="e">
        <f>VLOOKUP(Table257519913140106110151155170178182[[#This Row],[PEG]],Table1016[#All],2,FALSE)</f>
        <v>#N/A</v>
      </c>
      <c r="D39" s="117"/>
      <c r="E39" s="125" t="e">
        <f>VLOOKUP(Table257519913140106110151155170178182[[#This Row],[PEG]],Table1016[#All],3,FALSE)</f>
        <v>#N/A</v>
      </c>
    </row>
    <row r="40" spans="1:5" x14ac:dyDescent="0.35">
      <c r="A40" s="118">
        <v>33</v>
      </c>
      <c r="B40" s="114" t="s">
        <v>12</v>
      </c>
      <c r="C40" s="109" t="e">
        <f>VLOOKUP(Table257519913140106110151155170178182[[#This Row],[PEG]],Table1016[#All],2,FALSE)</f>
        <v>#N/A</v>
      </c>
      <c r="D40" s="117"/>
      <c r="E40" s="125" t="e">
        <f>VLOOKUP(Table257519913140106110151155170178182[[#This Row],[PEG]],Table1016[#All],3,FALSE)</f>
        <v>#N/A</v>
      </c>
    </row>
    <row r="41" spans="1:5" x14ac:dyDescent="0.35">
      <c r="A41" s="118">
        <v>34</v>
      </c>
      <c r="B41" s="114" t="s">
        <v>115</v>
      </c>
      <c r="C41" s="109" t="e">
        <f>VLOOKUP(Table257519913140106110151155170178182[[#This Row],[PEG]],Table1016[#All],2,FALSE)</f>
        <v>#N/A</v>
      </c>
      <c r="D41" s="117"/>
      <c r="E41" s="125" t="e">
        <f>VLOOKUP(Table257519913140106110151155170178182[[#This Row],[PEG]],Table1016[#All],3,FALSE)</f>
        <v>#N/A</v>
      </c>
    </row>
    <row r="42" spans="1:5" x14ac:dyDescent="0.35">
      <c r="A42" s="118">
        <v>35</v>
      </c>
      <c r="B42" s="114" t="s">
        <v>12</v>
      </c>
      <c r="C42" s="109" t="e">
        <f>VLOOKUP(Table257519913140106110151155170178182[[#This Row],[PEG]],Table1016[#All],2,FALSE)</f>
        <v>#N/A</v>
      </c>
      <c r="D42" s="115"/>
      <c r="E42" s="125" t="e">
        <f>VLOOKUP(Table257519913140106110151155170178182[[#This Row],[PEG]],Table1016[#All],3,FALSE)</f>
        <v>#N/A</v>
      </c>
    </row>
    <row r="43" spans="1:5" x14ac:dyDescent="0.35">
      <c r="A43" s="118">
        <v>36</v>
      </c>
      <c r="B43" s="114" t="s">
        <v>115</v>
      </c>
      <c r="C43" s="109" t="e">
        <f>VLOOKUP(Table257519913140106110151155170178182[[#This Row],[PEG]],Table1016[#All],2,FALSE)</f>
        <v>#N/A</v>
      </c>
      <c r="D43" s="115"/>
      <c r="E43" s="125" t="e">
        <f>VLOOKUP(Table257519913140106110151155170178182[[#This Row],[PEG]],Table1016[#All],3,FALSE)</f>
        <v>#N/A</v>
      </c>
    </row>
    <row r="44" spans="1:5" x14ac:dyDescent="0.35">
      <c r="A44" s="118">
        <v>37</v>
      </c>
      <c r="B44" s="114" t="s">
        <v>13</v>
      </c>
      <c r="C44" s="18" t="s">
        <v>13</v>
      </c>
      <c r="D44" s="115"/>
      <c r="E44" s="32"/>
    </row>
  </sheetData>
  <mergeCells count="1">
    <mergeCell ref="A1:B1"/>
  </mergeCells>
  <conditionalFormatting sqref="B8:B18">
    <cfRule type="containsText" dxfId="1325" priority="1" operator="containsText" text="Hear">
      <formula>NOT(ISERROR(SEARCH("Hear",B8)))</formula>
    </cfRule>
  </conditionalFormatting>
  <conditionalFormatting sqref="B30">
    <cfRule type="containsText" dxfId="1324" priority="4" operator="containsText" text="Hear">
      <formula>NOT(ISERROR(SEARCH("Hear",B30)))</formula>
    </cfRule>
  </conditionalFormatting>
  <conditionalFormatting sqref="B43:B44">
    <cfRule type="containsText" dxfId="1323" priority="8" operator="containsText" text="Hear">
      <formula>NOT(ISERROR(SEARCH("Hear",B43)))</formula>
    </cfRule>
  </conditionalFormatting>
  <conditionalFormatting sqref="E44">
    <cfRule type="containsText" dxfId="1322" priority="6" operator="containsText" text="WEB SERVICE">
      <formula>NOT(ISERROR(SEARCH("WEB SERVICE",E44)))</formula>
    </cfRule>
    <cfRule type="containsText" dxfId="1321" priority="7" operator="containsText" text="DB">
      <formula>NOT(ISERROR(SEARCH("DB",E44)))</formula>
    </cfRule>
  </conditionalFormatting>
  <conditionalFormatting sqref="C44">
    <cfRule type="expression" dxfId="1320" priority="9">
      <formula>$B44="HANGUP"</formula>
    </cfRule>
    <cfRule type="expression" dxfId="1319" priority="9">
      <formula>$B44="Dial"</formula>
    </cfRule>
  </conditionalFormatting>
  <conditionalFormatting sqref="C44">
    <cfRule type="expression" dxfId="1318" priority="3">
      <formula>$B44="Speak"</formula>
    </cfRule>
  </conditionalFormatting>
  <conditionalFormatting sqref="B36:B38 B40:B41">
    <cfRule type="containsText" dxfId="1317" priority="2" operator="containsText" text="Hear">
      <formula>NOT(ISERROR(SEARCH("Hear",B36)))</formula>
    </cfRule>
  </conditionalFormatting>
  <conditionalFormatting sqref="B19:B29 B31:B35 B42">
    <cfRule type="containsText" dxfId="1316" priority="5" operator="containsText" text="Hear">
      <formula>NOT(ISERROR(SEARCH("Hear",B19)))</formula>
    </cfRule>
  </conditionalFormatting>
  <hyperlinks>
    <hyperlink ref="A1" location="'Test Case Overview'!A1" display="Return to Test Case Overview" xr:uid="{7AA4E707-F7B6-42E8-B373-D9D02A6A508E}"/>
  </hyperlinks>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expression" priority="10" id="{493983C1-E0B4-41D2-86DF-9B2D21A8991E}">
            <xm:f>'TC1'!$B8="Dial"</xm:f>
            <x14:dxf>
              <font>
                <b/>
                <i val="0"/>
                <color rgb="FFFF0000"/>
              </font>
            </x14:dxf>
          </x14:cfRule>
          <x14:cfRule type="expression" priority="10" id="{5022914F-C06B-4DE5-AC57-9B1FA8FE74CA}">
            <xm:f>'TC1'!$B8="HANGUP"</xm:f>
            <x14:dxf>
              <font>
                <b/>
                <i val="0"/>
              </font>
            </x14:dxf>
          </x14:cfRule>
          <xm:sqref>C8</xm:sqref>
        </x14:conditionalFormatting>
        <x14:conditionalFormatting xmlns:xm="http://schemas.microsoft.com/office/excel/2006/main">
          <x14:cfRule type="expression" priority="11" id="{9626C05E-8F5E-4F20-BB19-9B6263824575}">
            <xm:f>'TC1'!$B8="Speak"</xm:f>
            <x14:dxf>
              <font>
                <b/>
                <i val="0"/>
                <color rgb="FFFF0000"/>
              </font>
            </x14:dxf>
          </x14:cfRule>
          <xm:sqref>C8</xm:sqref>
        </x14:conditionalFormatting>
        <x14:conditionalFormatting xmlns:xm="http://schemas.microsoft.com/office/excel/2006/main">
          <x14:cfRule type="containsText" priority="14" operator="containsText" text="Hear" id="{98B03E04-4DD8-46CD-91F0-7C310C7B78F9}">
            <xm:f>NOT(ISERROR(SEARCH("Hear",'TC3'!B34)))</xm:f>
            <x14:dxf>
              <font>
                <color theme="9" tint="-0.24994659260841701"/>
              </font>
              <fill>
                <patternFill>
                  <bgColor theme="9" tint="0.59996337778862885"/>
                </patternFill>
              </fill>
            </x14:dxf>
          </x14:cfRule>
          <xm:sqref>B41</xm:sqref>
        </x14:conditionalFormatting>
        <x14:conditionalFormatting xmlns:xm="http://schemas.microsoft.com/office/excel/2006/main">
          <x14:cfRule type="expression" priority="3003" id="{493983C1-E0B4-41D2-86DF-9B2D21A8991E}">
            <xm:f>'TC1'!$B16="Dial"</xm:f>
            <x14:dxf>
              <font>
                <b/>
                <i val="0"/>
                <color rgb="FFFF0000"/>
              </font>
            </x14:dxf>
          </x14:cfRule>
          <x14:cfRule type="expression" priority="3004" id="{5022914F-C06B-4DE5-AC57-9B1FA8FE74CA}">
            <xm:f>'TC1'!$B16="HANGUP"</xm:f>
            <x14:dxf>
              <font>
                <b/>
                <i val="0"/>
              </font>
            </x14:dxf>
          </x14:cfRule>
          <xm:sqref>C34:C43</xm:sqref>
        </x14:conditionalFormatting>
        <x14:conditionalFormatting xmlns:xm="http://schemas.microsoft.com/office/excel/2006/main">
          <x14:cfRule type="expression" priority="3005" id="{493983C1-E0B4-41D2-86DF-9B2D21A8991E}">
            <xm:f>'TC1'!#REF!="Dial"</xm:f>
            <x14:dxf>
              <font>
                <b/>
                <i val="0"/>
                <color rgb="FFFF0000"/>
              </font>
            </x14:dxf>
          </x14:cfRule>
          <x14:cfRule type="expression" priority="3006" id="{5022914F-C06B-4DE5-AC57-9B1FA8FE74CA}">
            <xm:f>'TC1'!#REF!="HANGUP"</xm:f>
            <x14:dxf>
              <font>
                <b/>
                <i val="0"/>
              </font>
            </x14:dxf>
          </x14:cfRule>
          <xm:sqref>C17:C33</xm:sqref>
        </x14:conditionalFormatting>
        <x14:conditionalFormatting xmlns:xm="http://schemas.microsoft.com/office/excel/2006/main">
          <x14:cfRule type="expression" priority="3010" id="{9626C05E-8F5E-4F20-BB19-9B6263824575}">
            <xm:f>'TC1'!$B16="Speak"</xm:f>
            <x14:dxf>
              <font>
                <b/>
                <i val="0"/>
                <color rgb="FFFF0000"/>
              </font>
            </x14:dxf>
          </x14:cfRule>
          <xm:sqref>C34:C43</xm:sqref>
        </x14:conditionalFormatting>
        <x14:conditionalFormatting xmlns:xm="http://schemas.microsoft.com/office/excel/2006/main">
          <x14:cfRule type="expression" priority="3011" id="{9626C05E-8F5E-4F20-BB19-9B6263824575}">
            <xm:f>'TC1'!#REF!="Speak"</xm:f>
            <x14:dxf>
              <font>
                <b/>
                <i val="0"/>
                <color rgb="FFFF0000"/>
              </font>
            </x14:dxf>
          </x14:cfRule>
          <xm:sqref>C17:C33</xm:sqref>
        </x14:conditionalFormatting>
        <x14:conditionalFormatting xmlns:xm="http://schemas.microsoft.com/office/excel/2006/main">
          <x14:cfRule type="containsText" priority="3015" operator="containsText" text="DB" id="{C3F3642F-B9BA-4D27-9C4E-C42F77CB9C21}">
            <xm:f>NOT(ISERROR(SEARCH("DB",'TC1'!E16)))</xm:f>
            <x14:dxf>
              <font>
                <color rgb="FF006100"/>
              </font>
              <fill>
                <patternFill>
                  <bgColor rgb="FFC6EFCE"/>
                </patternFill>
              </fill>
            </x14:dxf>
          </x14:cfRule>
          <x14:cfRule type="containsText" priority="3016" operator="containsText" text="WEB SERVICE" id="{5D08F8EA-471E-45A5-9303-08B9B73F93FE}">
            <xm:f>NOT(ISERROR(SEARCH("WEB SERVICE",'TC1'!E16)))</xm:f>
            <x14:dxf>
              <font>
                <color rgb="FF9C0006"/>
              </font>
              <fill>
                <patternFill>
                  <bgColor rgb="FFFFC7CE"/>
                </patternFill>
              </fill>
            </x14:dxf>
          </x14:cfRule>
          <xm:sqref>E34:E43</xm:sqref>
        </x14:conditionalFormatting>
        <x14:conditionalFormatting xmlns:xm="http://schemas.microsoft.com/office/excel/2006/main">
          <x14:cfRule type="containsText" priority="3017" operator="containsText" text="DB" id="{C3F3642F-B9BA-4D27-9C4E-C42F77CB9C21}">
            <xm:f>NOT(ISERROR(SEARCH("DB",'TC1'!#REF!)))</xm:f>
            <x14:dxf>
              <font>
                <color rgb="FF006100"/>
              </font>
              <fill>
                <patternFill>
                  <bgColor rgb="FFC6EFCE"/>
                </patternFill>
              </fill>
            </x14:dxf>
          </x14:cfRule>
          <x14:cfRule type="containsText" priority="3018" operator="containsText" text="WEB SERVICE" id="{5D08F8EA-471E-45A5-9303-08B9B73F93FE}">
            <xm:f>NOT(ISERROR(SEARCH("WEB SERVICE",'TC1'!#REF!)))</xm:f>
            <x14:dxf>
              <font>
                <color rgb="FF9C0006"/>
              </font>
              <fill>
                <patternFill>
                  <bgColor rgb="FFFFC7CE"/>
                </patternFill>
              </fill>
            </x14:dxf>
          </x14:cfRule>
          <xm:sqref>E17:E33</xm:sqref>
        </x14:conditionalFormatting>
        <x14:conditionalFormatting xmlns:xm="http://schemas.microsoft.com/office/excel/2006/main">
          <x14:cfRule type="expression" priority="5641" id="{493983C1-E0B4-41D2-86DF-9B2D21A8991E}">
            <xm:f>'TC1'!$B9="Dial"</xm:f>
            <x14:dxf>
              <font>
                <b/>
                <i val="0"/>
                <color rgb="FFFF0000"/>
              </font>
            </x14:dxf>
          </x14:cfRule>
          <x14:cfRule type="expression" priority="5642" id="{5022914F-C06B-4DE5-AC57-9B1FA8FE74CA}">
            <xm:f>'TC1'!$B9="HANGUP"</xm:f>
            <x14:dxf>
              <font>
                <b/>
                <i val="0"/>
              </font>
            </x14:dxf>
          </x14:cfRule>
          <xm:sqref>C12:C15</xm:sqref>
        </x14:conditionalFormatting>
        <x14:conditionalFormatting xmlns:xm="http://schemas.microsoft.com/office/excel/2006/main">
          <x14:cfRule type="expression" priority="5643" id="{493983C1-E0B4-41D2-86DF-9B2D21A8991E}">
            <xm:f>'TC1'!#REF!="Dial"</xm:f>
            <x14:dxf>
              <font>
                <b/>
                <i val="0"/>
                <color rgb="FFFF0000"/>
              </font>
            </x14:dxf>
          </x14:cfRule>
          <x14:cfRule type="expression" priority="5644" id="{5022914F-C06B-4DE5-AC57-9B1FA8FE74CA}">
            <xm:f>'TC1'!#REF!="HANGUP"</xm:f>
            <x14:dxf>
              <font>
                <b/>
                <i val="0"/>
              </font>
            </x14:dxf>
          </x14:cfRule>
          <xm:sqref>C9:C11</xm:sqref>
        </x14:conditionalFormatting>
        <x14:conditionalFormatting xmlns:xm="http://schemas.microsoft.com/office/excel/2006/main">
          <x14:cfRule type="expression" priority="5648" id="{9626C05E-8F5E-4F20-BB19-9B6263824575}">
            <xm:f>'TC1'!$B9="Speak"</xm:f>
            <x14:dxf>
              <font>
                <b/>
                <i val="0"/>
                <color rgb="FFFF0000"/>
              </font>
            </x14:dxf>
          </x14:cfRule>
          <xm:sqref>C12:C15</xm:sqref>
        </x14:conditionalFormatting>
        <x14:conditionalFormatting xmlns:xm="http://schemas.microsoft.com/office/excel/2006/main">
          <x14:cfRule type="expression" priority="5649" id="{9626C05E-8F5E-4F20-BB19-9B6263824575}">
            <xm:f>'TC1'!#REF!="Speak"</xm:f>
            <x14:dxf>
              <font>
                <b/>
                <i val="0"/>
                <color rgb="FFFF0000"/>
              </font>
            </x14:dxf>
          </x14:cfRule>
          <xm:sqref>C9:C11</xm:sqref>
        </x14:conditionalFormatting>
        <x14:conditionalFormatting xmlns:xm="http://schemas.microsoft.com/office/excel/2006/main">
          <x14:cfRule type="containsText" priority="5651" operator="containsText" text="DB" id="{C3F3642F-B9BA-4D27-9C4E-C42F77CB9C21}">
            <xm:f>NOT(ISERROR(SEARCH("DB",'TC1'!#REF!)))</xm:f>
            <x14:dxf>
              <font>
                <color rgb="FF006100"/>
              </font>
              <fill>
                <patternFill>
                  <bgColor rgb="FFC6EFCE"/>
                </patternFill>
              </fill>
            </x14:dxf>
          </x14:cfRule>
          <x14:cfRule type="containsText" priority="5652" operator="containsText" text="WEB SERVICE" id="{5D08F8EA-471E-45A5-9303-08B9B73F93FE}">
            <xm:f>NOT(ISERROR(SEARCH("WEB SERVICE",'TC1'!#REF!)))</xm:f>
            <x14:dxf>
              <font>
                <color rgb="FF9C0006"/>
              </font>
              <fill>
                <patternFill>
                  <bgColor rgb="FFFFC7CE"/>
                </patternFill>
              </fill>
            </x14:dxf>
          </x14:cfRule>
          <xm:sqref>E9:E11</xm:sqref>
        </x14:conditionalFormatting>
        <x14:conditionalFormatting xmlns:xm="http://schemas.microsoft.com/office/excel/2006/main">
          <x14:cfRule type="containsText" priority="5653" operator="containsText" text="DB" id="{C3F3642F-B9BA-4D27-9C4E-C42F77CB9C21}">
            <xm:f>NOT(ISERROR(SEARCH("DB",'TC1'!E9)))</xm:f>
            <x14:dxf>
              <font>
                <color rgb="FF006100"/>
              </font>
              <fill>
                <patternFill>
                  <bgColor rgb="FFC6EFCE"/>
                </patternFill>
              </fill>
            </x14:dxf>
          </x14:cfRule>
          <x14:cfRule type="containsText" priority="5654" operator="containsText" text="WEB SERVICE" id="{5D08F8EA-471E-45A5-9303-08B9B73F93FE}">
            <xm:f>NOT(ISERROR(SEARCH("WEB SERVICE",'TC1'!E9)))</xm:f>
            <x14:dxf>
              <font>
                <color rgb="FF9C0006"/>
              </font>
              <fill>
                <patternFill>
                  <bgColor rgb="FFFFC7CE"/>
                </patternFill>
              </fill>
            </x14:dxf>
          </x14:cfRule>
          <xm:sqref>E12:E15</xm:sqref>
        </x14:conditionalFormatting>
        <x14:conditionalFormatting xmlns:xm="http://schemas.microsoft.com/office/excel/2006/main">
          <x14:cfRule type="expression" priority="7880" id="{493983C1-E0B4-41D2-86DF-9B2D21A8991E}">
            <xm:f>'TC1'!$B15="Dial"</xm:f>
            <x14:dxf>
              <font>
                <b/>
                <i val="0"/>
                <color rgb="FFFF0000"/>
              </font>
            </x14:dxf>
          </x14:cfRule>
          <x14:cfRule type="expression" priority="7881" id="{5022914F-C06B-4DE5-AC57-9B1FA8FE74CA}">
            <xm:f>'TC1'!$B15="HANGUP"</xm:f>
            <x14:dxf>
              <font>
                <b/>
                <i val="0"/>
              </font>
            </x14:dxf>
          </x14:cfRule>
          <xm:sqref>C16</xm:sqref>
        </x14:conditionalFormatting>
        <x14:conditionalFormatting xmlns:xm="http://schemas.microsoft.com/office/excel/2006/main">
          <x14:cfRule type="expression" priority="7883" id="{9626C05E-8F5E-4F20-BB19-9B6263824575}">
            <xm:f>'TC1'!$B15="Speak"</xm:f>
            <x14:dxf>
              <font>
                <b/>
                <i val="0"/>
                <color rgb="FFFF0000"/>
              </font>
            </x14:dxf>
          </x14:cfRule>
          <xm:sqref>C16</xm:sqref>
        </x14:conditionalFormatting>
        <x14:conditionalFormatting xmlns:xm="http://schemas.microsoft.com/office/excel/2006/main">
          <x14:cfRule type="containsText" priority="7886" operator="containsText" text="DB" id="{C3F3642F-B9BA-4D27-9C4E-C42F77CB9C21}">
            <xm:f>NOT(ISERROR(SEARCH("DB",'TC1'!E15)))</xm:f>
            <x14:dxf>
              <font>
                <color rgb="FF006100"/>
              </font>
              <fill>
                <patternFill>
                  <bgColor rgb="FFC6EFCE"/>
                </patternFill>
              </fill>
            </x14:dxf>
          </x14:cfRule>
          <x14:cfRule type="containsText" priority="7887" operator="containsText" text="WEB SERVICE" id="{5D08F8EA-471E-45A5-9303-08B9B73F93FE}">
            <xm:f>NOT(ISERROR(SEARCH("WEB SERVICE",'TC1'!E15)))</xm:f>
            <x14:dxf>
              <font>
                <color rgb="FF9C0006"/>
              </font>
              <fill>
                <patternFill>
                  <bgColor rgb="FFFFC7CE"/>
                </patternFill>
              </fill>
            </x14:dxf>
          </x14:cfRule>
          <xm:sqref>E16</xm:sqref>
        </x14:conditionalFormatting>
        <x14:conditionalFormatting xmlns:xm="http://schemas.microsoft.com/office/excel/2006/main">
          <x14:cfRule type="containsText" priority="10574" operator="containsText" text="Hear" id="{7B8C1184-7063-4934-99BA-76505BB706D9}">
            <xm:f>NOT(ISERROR(SEARCH("Hear",'TC26'!#REF!)))</xm:f>
            <x14:dxf>
              <font>
                <color theme="9" tint="-0.24994659260841701"/>
              </font>
              <fill>
                <patternFill>
                  <bgColor theme="9" tint="0.59996337778862885"/>
                </patternFill>
              </fill>
            </x14:dxf>
          </x14:cfRule>
          <xm:sqref>B39</xm:sqref>
        </x14:conditionalFormatting>
      </x14:conditionalFormattings>
    </ext>
  </extLst>
</worksheet>
</file>

<file path=xl/worksheets/sheet1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A00-000000000000}">
  <sheetPr codeName="Sheet140"/>
  <dimension ref="A1:E44"/>
  <sheetViews>
    <sheetView zoomScaleNormal="100" workbookViewId="0">
      <selection sqref="A1:E44"/>
    </sheetView>
  </sheetViews>
  <sheetFormatPr defaultRowHeight="14.5" x14ac:dyDescent="0.35"/>
  <cols>
    <col min="1" max="1" width="14.453125" bestFit="1" customWidth="1"/>
    <col min="2" max="2" width="42.6328125" customWidth="1"/>
    <col min="3" max="3" width="106.1796875" customWidth="1"/>
    <col min="4" max="4" width="21.81640625" bestFit="1" customWidth="1"/>
    <col min="5" max="5" width="20.6328125" customWidth="1"/>
  </cols>
  <sheetData>
    <row r="1" spans="1:5" ht="18.5" x14ac:dyDescent="0.35">
      <c r="A1" s="192" t="s">
        <v>4</v>
      </c>
      <c r="B1" s="192"/>
      <c r="C1" s="105"/>
      <c r="D1" s="111"/>
      <c r="E1" s="97"/>
    </row>
    <row r="2" spans="1:5" x14ac:dyDescent="0.35">
      <c r="A2" s="106" t="s">
        <v>5</v>
      </c>
      <c r="B2" s="107" t="str">
        <f ca="1">MID(CELL("filename",A1),FIND("]",CELL("filename",A1))+1,LEN(CELL("filename",A1))-FIND("]",CELL("filename",A1)))</f>
        <v>TC138</v>
      </c>
      <c r="C2" s="98"/>
      <c r="D2" s="111"/>
      <c r="E2" s="97"/>
    </row>
    <row r="3" spans="1:5" x14ac:dyDescent="0.35">
      <c r="A3" s="104" t="s">
        <v>19</v>
      </c>
      <c r="B3" s="112" t="e">
        <f ca="1">VLOOKUP(B2,Table53[#All],2,FALSE)</f>
        <v>#N/A</v>
      </c>
      <c r="C3" s="98"/>
      <c r="D3" s="111"/>
      <c r="E3" s="97"/>
    </row>
    <row r="4" spans="1:5" ht="29" x14ac:dyDescent="0.35">
      <c r="A4" s="113" t="s">
        <v>20</v>
      </c>
      <c r="B4" s="99" t="e">
        <f ca="1">VLOOKUP(B2,Table53[#All],4,FALSE)</f>
        <v>#N/A</v>
      </c>
      <c r="C4" s="98"/>
      <c r="D4" s="111"/>
      <c r="E4" s="97"/>
    </row>
    <row r="5" spans="1:5" x14ac:dyDescent="0.35">
      <c r="A5" s="104" t="s">
        <v>6</v>
      </c>
      <c r="B5" s="77" t="e">
        <f ca="1">VLOOKUP(B2,Table53[#All],3,FALSE)</f>
        <v>#N/A</v>
      </c>
      <c r="C5" s="98"/>
      <c r="D5" s="111"/>
      <c r="E5" s="97"/>
    </row>
    <row r="6" spans="1:5" x14ac:dyDescent="0.35">
      <c r="A6" s="97"/>
      <c r="B6" s="97"/>
      <c r="C6" s="98"/>
      <c r="D6" s="111"/>
      <c r="E6" s="97"/>
    </row>
    <row r="7" spans="1:5" ht="15.5" x14ac:dyDescent="0.35">
      <c r="A7" s="100" t="s">
        <v>7</v>
      </c>
      <c r="B7" s="101" t="s">
        <v>8</v>
      </c>
      <c r="C7" s="102" t="s">
        <v>9</v>
      </c>
      <c r="D7" s="102" t="s">
        <v>14</v>
      </c>
      <c r="E7" s="103" t="s">
        <v>10</v>
      </c>
    </row>
    <row r="8" spans="1:5" x14ac:dyDescent="0.35">
      <c r="A8" s="118">
        <v>1</v>
      </c>
      <c r="B8" s="114" t="s">
        <v>114</v>
      </c>
      <c r="C8" s="109" t="s">
        <v>125</v>
      </c>
      <c r="D8" s="128"/>
      <c r="E8" s="125" t="s">
        <v>11</v>
      </c>
    </row>
    <row r="9" spans="1:5" x14ac:dyDescent="0.35">
      <c r="A9" s="118">
        <v>2</v>
      </c>
      <c r="B9" s="114" t="s">
        <v>12</v>
      </c>
      <c r="C9" s="109" t="e">
        <f>VLOOKUP(Table257519913140106110151155170178184[[#This Row],[PEG]],Table1016[#All],2,FALSE)</f>
        <v>#N/A</v>
      </c>
      <c r="D9" s="128"/>
      <c r="E9" s="125" t="e">
        <f>VLOOKUP(Table257519913140106110151155170178184[[#This Row],[PEG]],Table1016[#All],3,FALSE)</f>
        <v>#N/A</v>
      </c>
    </row>
    <row r="10" spans="1:5" x14ac:dyDescent="0.35">
      <c r="A10" s="118">
        <v>3</v>
      </c>
      <c r="B10" s="114" t="s">
        <v>115</v>
      </c>
      <c r="C10" s="109" t="e">
        <f>VLOOKUP(Table257519913140106110151155170178184[[#This Row],[PEG]],Table1016[#All],2,FALSE)</f>
        <v>#N/A</v>
      </c>
      <c r="D10" s="128"/>
      <c r="E10" s="125" t="e">
        <f>VLOOKUP(Table257519913140106110151155170178184[[#This Row],[PEG]],Table1016[#All],3,FALSE)</f>
        <v>#N/A</v>
      </c>
    </row>
    <row r="11" spans="1:5" x14ac:dyDescent="0.35">
      <c r="A11" s="118">
        <v>4</v>
      </c>
      <c r="B11" s="114" t="s">
        <v>115</v>
      </c>
      <c r="C11" s="109" t="e">
        <f>VLOOKUP(Table257519913140106110151155170178184[[#This Row],[PEG]],Table1016[#All],2,FALSE)</f>
        <v>#N/A</v>
      </c>
      <c r="D11" s="128"/>
      <c r="E11" s="125" t="e">
        <f>VLOOKUP(Table257519913140106110151155170178184[[#This Row],[PEG]],Table1016[#All],3,FALSE)</f>
        <v>#N/A</v>
      </c>
    </row>
    <row r="12" spans="1:5" x14ac:dyDescent="0.35">
      <c r="A12" s="118">
        <v>5</v>
      </c>
      <c r="B12" s="114" t="s">
        <v>114</v>
      </c>
      <c r="C12" s="109" t="e">
        <f>VLOOKUP(Table257519913140106110151155170178184[[#This Row],[PEG]],Table1016[#All],2,FALSE)</f>
        <v>#N/A</v>
      </c>
      <c r="D12" s="128"/>
      <c r="E12" s="125" t="e">
        <f>VLOOKUP(Table257519913140106110151155170178184[[#This Row],[PEG]],Table1016[#All],3,FALSE)</f>
        <v>#N/A</v>
      </c>
    </row>
    <row r="13" spans="1:5" x14ac:dyDescent="0.35">
      <c r="A13" s="118">
        <v>6</v>
      </c>
      <c r="B13" s="114" t="s">
        <v>115</v>
      </c>
      <c r="C13" s="109" t="e">
        <f>VLOOKUP(Table257519913140106110151155170178184[[#This Row],[PEG]],Table1016[#All],2,FALSE)</f>
        <v>#N/A</v>
      </c>
      <c r="D13" s="128"/>
      <c r="E13" s="125" t="e">
        <f>VLOOKUP(Table257519913140106110151155170178184[[#This Row],[PEG]],Table1016[#All],3,FALSE)</f>
        <v>#N/A</v>
      </c>
    </row>
    <row r="14" spans="1:5" x14ac:dyDescent="0.35">
      <c r="A14" s="118">
        <v>7</v>
      </c>
      <c r="B14" s="114" t="s">
        <v>114</v>
      </c>
      <c r="C14" s="109" t="e">
        <f>VLOOKUP(Table257519913140106110151155170178184[[#This Row],[PEG]],Table1016[#All],2,FALSE)</f>
        <v>#N/A</v>
      </c>
      <c r="D14" s="128"/>
      <c r="E14" s="125" t="e">
        <f>VLOOKUP(Table257519913140106110151155170178184[[#This Row],[PEG]],Table1016[#All],3,FALSE)</f>
        <v>#N/A</v>
      </c>
    </row>
    <row r="15" spans="1:5" x14ac:dyDescent="0.35">
      <c r="A15" s="118">
        <v>8</v>
      </c>
      <c r="B15" s="114" t="s">
        <v>115</v>
      </c>
      <c r="C15" s="109" t="e">
        <f>VLOOKUP(Table257519913140106110151155170178184[[#This Row],[PEG]],Table1016[#All],2,FALSE)</f>
        <v>#N/A</v>
      </c>
      <c r="D15" s="116"/>
      <c r="E15" s="125" t="e">
        <f>VLOOKUP(Table257519913140106110151155170178184[[#This Row],[PEG]],Table1016[#All],3,FALSE)</f>
        <v>#N/A</v>
      </c>
    </row>
    <row r="16" spans="1:5" x14ac:dyDescent="0.35">
      <c r="A16" s="118">
        <v>9</v>
      </c>
      <c r="B16" s="114" t="s">
        <v>12</v>
      </c>
      <c r="C16" s="109" t="e">
        <f>VLOOKUP(Table257519913140106110151155170178184[[#This Row],[PEG]],Table1016[#All],2,FALSE)</f>
        <v>#N/A</v>
      </c>
      <c r="D16" s="116"/>
      <c r="E16" s="125" t="e">
        <f>VLOOKUP(Table257519913140106110151155170178184[[#This Row],[PEG]],Table1016[#All],3,FALSE)</f>
        <v>#N/A</v>
      </c>
    </row>
    <row r="17" spans="1:5" x14ac:dyDescent="0.35">
      <c r="A17" s="118">
        <v>10</v>
      </c>
      <c r="B17" s="114" t="s">
        <v>12</v>
      </c>
      <c r="C17" s="109" t="e">
        <f>VLOOKUP(Table257519913140106110151155170178184[[#This Row],[PEG]],Table1016[#All],2,FALSE)</f>
        <v>#N/A</v>
      </c>
      <c r="D17" s="117"/>
      <c r="E17" s="125" t="e">
        <f>VLOOKUP(Table257519913140106110151155170178184[[#This Row],[PEG]],Table1016[#All],3,FALSE)</f>
        <v>#N/A</v>
      </c>
    </row>
    <row r="18" spans="1:5" x14ac:dyDescent="0.35">
      <c r="A18" s="118">
        <v>11</v>
      </c>
      <c r="B18" s="114" t="s">
        <v>115</v>
      </c>
      <c r="C18" s="109" t="e">
        <f>VLOOKUP(Table257519913140106110151155170178184[[#This Row],[PEG]],Table1016[#All],2,FALSE)</f>
        <v>#N/A</v>
      </c>
      <c r="D18" s="117"/>
      <c r="E18" s="125" t="e">
        <f>VLOOKUP(Table257519913140106110151155170178184[[#This Row],[PEG]],Table1016[#All],3,FALSE)</f>
        <v>#N/A</v>
      </c>
    </row>
    <row r="19" spans="1:5" x14ac:dyDescent="0.35">
      <c r="A19" s="118">
        <v>12</v>
      </c>
      <c r="B19" s="114" t="s">
        <v>115</v>
      </c>
      <c r="C19" s="109" t="e">
        <f>VLOOKUP(Table257519913140106110151155170178184[[#This Row],[PEG]],Table1016[#All],2,FALSE)</f>
        <v>#N/A</v>
      </c>
      <c r="D19" s="117"/>
      <c r="E19" s="125" t="e">
        <f>VLOOKUP(Table257519913140106110151155170178184[[#This Row],[PEG]],Table1016[#All],3,FALSE)</f>
        <v>#N/A</v>
      </c>
    </row>
    <row r="20" spans="1:5" x14ac:dyDescent="0.35">
      <c r="A20" s="118">
        <v>13</v>
      </c>
      <c r="B20" s="114" t="s">
        <v>114</v>
      </c>
      <c r="C20" s="109" t="e">
        <f>VLOOKUP(Table257519913140106110151155170178184[[#This Row],[PEG]],Table1016[#All],2,FALSE)</f>
        <v>#N/A</v>
      </c>
      <c r="D20" s="117"/>
      <c r="E20" s="125" t="e">
        <f>VLOOKUP(Table257519913140106110151155170178184[[#This Row],[PEG]],Table1016[#All],3,FALSE)</f>
        <v>#N/A</v>
      </c>
    </row>
    <row r="21" spans="1:5" x14ac:dyDescent="0.35">
      <c r="A21" s="118">
        <v>14</v>
      </c>
      <c r="B21" s="114" t="s">
        <v>12</v>
      </c>
      <c r="C21" s="109" t="e">
        <f>VLOOKUP(Table257519913140106110151155170178184[[#This Row],[PEG]],Table1016[#All],2,FALSE)</f>
        <v>#N/A</v>
      </c>
      <c r="D21" s="117"/>
      <c r="E21" s="125" t="e">
        <f>VLOOKUP(Table257519913140106110151155170178184[[#This Row],[PEG]],Table1016[#All],3,FALSE)</f>
        <v>#N/A</v>
      </c>
    </row>
    <row r="22" spans="1:5" x14ac:dyDescent="0.35">
      <c r="A22" s="118">
        <v>15</v>
      </c>
      <c r="B22" s="114" t="s">
        <v>12</v>
      </c>
      <c r="C22" s="109" t="e">
        <f>VLOOKUP(Table257519913140106110151155170178184[[#This Row],[PEG]],Table1016[#All],2,FALSE)</f>
        <v>#N/A</v>
      </c>
      <c r="D22" s="117"/>
      <c r="E22" s="125" t="e">
        <f>VLOOKUP(Table257519913140106110151155170178184[[#This Row],[PEG]],Table1016[#All],3,FALSE)</f>
        <v>#N/A</v>
      </c>
    </row>
    <row r="23" spans="1:5" x14ac:dyDescent="0.35">
      <c r="A23" s="118">
        <v>16</v>
      </c>
      <c r="B23" s="114" t="s">
        <v>115</v>
      </c>
      <c r="C23" s="109" t="e">
        <f>VLOOKUP(Table257519913140106110151155170178184[[#This Row],[PEG]],Table1016[#All],2,FALSE)</f>
        <v>#N/A</v>
      </c>
      <c r="D23" s="117"/>
      <c r="E23" s="125" t="e">
        <f>VLOOKUP(Table257519913140106110151155170178184[[#This Row],[PEG]],Table1016[#All],3,FALSE)</f>
        <v>#N/A</v>
      </c>
    </row>
    <row r="24" spans="1:5" x14ac:dyDescent="0.35">
      <c r="A24" s="118">
        <v>17</v>
      </c>
      <c r="B24" s="114" t="s">
        <v>114</v>
      </c>
      <c r="C24" s="109" t="e">
        <f>VLOOKUP(Table257519913140106110151155170178184[[#This Row],[PEG]],Table1016[#All],2,FALSE)</f>
        <v>#N/A</v>
      </c>
      <c r="D24" s="117"/>
      <c r="E24" s="125" t="e">
        <f>VLOOKUP(Table257519913140106110151155170178184[[#This Row],[PEG]],Table1016[#All],3,FALSE)</f>
        <v>#N/A</v>
      </c>
    </row>
    <row r="25" spans="1:5" x14ac:dyDescent="0.35">
      <c r="A25" s="118">
        <v>18</v>
      </c>
      <c r="B25" s="114" t="s">
        <v>12</v>
      </c>
      <c r="C25" s="109" t="e">
        <f>VLOOKUP(Table257519913140106110151155170178184[[#This Row],[PEG]],Table1016[#All],2,FALSE)</f>
        <v>#N/A</v>
      </c>
      <c r="D25" s="117"/>
      <c r="E25" s="125" t="e">
        <f>VLOOKUP(Table257519913140106110151155170178184[[#This Row],[PEG]],Table1016[#All],3,FALSE)</f>
        <v>#N/A</v>
      </c>
    </row>
    <row r="26" spans="1:5" x14ac:dyDescent="0.35">
      <c r="A26" s="118">
        <v>19</v>
      </c>
      <c r="B26" s="114" t="s">
        <v>12</v>
      </c>
      <c r="C26" s="109" t="e">
        <f>VLOOKUP(Table257519913140106110151155170178184[[#This Row],[PEG]],Table1016[#All],2,FALSE)</f>
        <v>#N/A</v>
      </c>
      <c r="D26" s="117"/>
      <c r="E26" s="125" t="e">
        <f>VLOOKUP(Table257519913140106110151155170178184[[#This Row],[PEG]],Table1016[#All],3,FALSE)</f>
        <v>#N/A</v>
      </c>
    </row>
    <row r="27" spans="1:5" x14ac:dyDescent="0.35">
      <c r="A27" s="118">
        <v>20</v>
      </c>
      <c r="B27" s="114" t="s">
        <v>115</v>
      </c>
      <c r="C27" s="109" t="e">
        <f>VLOOKUP(Table257519913140106110151155170178184[[#This Row],[PEG]],Table1016[#All],2,FALSE)</f>
        <v>#N/A</v>
      </c>
      <c r="D27" s="117"/>
      <c r="E27" s="125" t="e">
        <f>VLOOKUP(Table257519913140106110151155170178184[[#This Row],[PEG]],Table1016[#All],3,FALSE)</f>
        <v>#N/A</v>
      </c>
    </row>
    <row r="28" spans="1:5" x14ac:dyDescent="0.35">
      <c r="A28" s="118">
        <v>21</v>
      </c>
      <c r="B28" s="114" t="s">
        <v>114</v>
      </c>
      <c r="C28" s="109" t="e">
        <f>VLOOKUP(Table257519913140106110151155170178184[[#This Row],[PEG]],Table1016[#All],2,FALSE)</f>
        <v>#N/A</v>
      </c>
      <c r="D28" s="117"/>
      <c r="E28" s="125" t="e">
        <f>VLOOKUP(Table257519913140106110151155170178184[[#This Row],[PEG]],Table1016[#All],3,FALSE)</f>
        <v>#N/A</v>
      </c>
    </row>
    <row r="29" spans="1:5" x14ac:dyDescent="0.35">
      <c r="A29" s="118">
        <v>22</v>
      </c>
      <c r="B29" s="114" t="s">
        <v>12</v>
      </c>
      <c r="C29" s="109" t="e">
        <f>VLOOKUP(Table257519913140106110151155170178184[[#This Row],[PEG]],Table1016[#All],2,FALSE)</f>
        <v>#N/A</v>
      </c>
      <c r="D29" s="117"/>
      <c r="E29" s="125" t="e">
        <f>VLOOKUP(Table257519913140106110151155170178184[[#This Row],[PEG]],Table1016[#All],3,FALSE)</f>
        <v>#N/A</v>
      </c>
    </row>
    <row r="30" spans="1:5" x14ac:dyDescent="0.35">
      <c r="A30" s="118">
        <v>23</v>
      </c>
      <c r="B30" s="114" t="s">
        <v>12</v>
      </c>
      <c r="C30" s="109" t="e">
        <f>VLOOKUP(Table257519913140106110151155170178184[[#This Row],[PEG]],Table1016[#All],2,FALSE)</f>
        <v>#N/A</v>
      </c>
      <c r="D30" s="117"/>
      <c r="E30" s="125" t="e">
        <f>VLOOKUP(Table257519913140106110151155170178184[[#This Row],[PEG]],Table1016[#All],3,FALSE)</f>
        <v>#N/A</v>
      </c>
    </row>
    <row r="31" spans="1:5" x14ac:dyDescent="0.35">
      <c r="A31" s="118">
        <v>24</v>
      </c>
      <c r="B31" s="114" t="s">
        <v>115</v>
      </c>
      <c r="C31" s="109" t="e">
        <f>VLOOKUP(Table257519913140106110151155170178184[[#This Row],[PEG]],Table1016[#All],2,FALSE)</f>
        <v>#N/A</v>
      </c>
      <c r="D31" s="117"/>
      <c r="E31" s="125" t="e">
        <f>VLOOKUP(Table257519913140106110151155170178184[[#This Row],[PEG]],Table1016[#All],3,FALSE)</f>
        <v>#N/A</v>
      </c>
    </row>
    <row r="32" spans="1:5" x14ac:dyDescent="0.35">
      <c r="A32" s="118">
        <v>25</v>
      </c>
      <c r="B32" s="114" t="s">
        <v>115</v>
      </c>
      <c r="C32" s="109" t="e">
        <f>VLOOKUP(Table257519913140106110151155170178184[[#This Row],[PEG]],Table1016[#All],2,FALSE)</f>
        <v>#N/A</v>
      </c>
      <c r="D32" s="117"/>
      <c r="E32" s="125" t="e">
        <f>VLOOKUP(Table257519913140106110151155170178184[[#This Row],[PEG]],Table1016[#All],3,FALSE)</f>
        <v>#N/A</v>
      </c>
    </row>
    <row r="33" spans="1:5" x14ac:dyDescent="0.35">
      <c r="A33" s="118">
        <v>26</v>
      </c>
      <c r="B33" s="114" t="s">
        <v>124</v>
      </c>
      <c r="C33" s="109" t="e">
        <f>VLOOKUP(Table257519913140106110151155170178184[[#This Row],[PEG]],Table1016[#All],2,FALSE)</f>
        <v>#N/A</v>
      </c>
      <c r="D33" s="117"/>
      <c r="E33" s="125" t="e">
        <f>VLOOKUP(Table257519913140106110151155170178184[[#This Row],[PEG]],Table1016[#All],3,FALSE)</f>
        <v>#N/A</v>
      </c>
    </row>
    <row r="34" spans="1:5" x14ac:dyDescent="0.35">
      <c r="A34" s="118">
        <v>27</v>
      </c>
      <c r="B34" s="114" t="s">
        <v>115</v>
      </c>
      <c r="C34" s="109" t="e">
        <f>VLOOKUP(Table257519913140106110151155170178184[[#This Row],[PEG]],Table1016[#All],2,FALSE)</f>
        <v>#N/A</v>
      </c>
      <c r="D34" s="117"/>
      <c r="E34" s="125" t="e">
        <f>VLOOKUP(Table257519913140106110151155170178184[[#This Row],[PEG]],Table1016[#All],3,FALSE)</f>
        <v>#N/A</v>
      </c>
    </row>
    <row r="35" spans="1:5" x14ac:dyDescent="0.35">
      <c r="A35" s="118">
        <v>28</v>
      </c>
      <c r="B35" s="114" t="s">
        <v>124</v>
      </c>
      <c r="C35" s="109" t="e">
        <f>VLOOKUP(Table257519913140106110151155170178184[[#This Row],[PEG]],Table1016[#All],2,FALSE)</f>
        <v>#N/A</v>
      </c>
      <c r="D35" s="117"/>
      <c r="E35" s="125" t="e">
        <f>VLOOKUP(Table257519913140106110151155170178184[[#This Row],[PEG]],Table1016[#All],3,FALSE)</f>
        <v>#N/A</v>
      </c>
    </row>
    <row r="36" spans="1:5" x14ac:dyDescent="0.35">
      <c r="A36" s="118">
        <v>29</v>
      </c>
      <c r="B36" s="114" t="s">
        <v>115</v>
      </c>
      <c r="C36" s="109" t="e">
        <f>VLOOKUP(Table257519913140106110151155170178184[[#This Row],[PEG]],Table1016[#All],2,FALSE)</f>
        <v>#N/A</v>
      </c>
      <c r="D36" s="117"/>
      <c r="E36" s="125" t="e">
        <f>VLOOKUP(Table257519913140106110151155170178184[[#This Row],[PEG]],Table1016[#All],3,FALSE)</f>
        <v>#N/A</v>
      </c>
    </row>
    <row r="37" spans="1:5" x14ac:dyDescent="0.35">
      <c r="A37" s="118">
        <v>30</v>
      </c>
      <c r="B37" s="114" t="s">
        <v>12</v>
      </c>
      <c r="C37" s="109" t="e">
        <f>VLOOKUP(Table257519913140106110151155170178184[[#This Row],[PEG]],Table1016[#All],2,FALSE)</f>
        <v>#N/A</v>
      </c>
      <c r="D37" s="117"/>
      <c r="E37" s="125" t="e">
        <f>VLOOKUP(Table257519913140106110151155170178184[[#This Row],[PEG]],Table1016[#All],3,FALSE)</f>
        <v>#N/A</v>
      </c>
    </row>
    <row r="38" spans="1:5" x14ac:dyDescent="0.35">
      <c r="A38" s="118">
        <v>31</v>
      </c>
      <c r="B38" s="114" t="s">
        <v>12</v>
      </c>
      <c r="C38" s="109" t="e">
        <f>VLOOKUP(Table257519913140106110151155170178184[[#This Row],[PEG]],Table1016[#All],2,FALSE)</f>
        <v>#N/A</v>
      </c>
      <c r="D38" s="117"/>
      <c r="E38" s="125" t="e">
        <f>VLOOKUP(Table257519913140106110151155170178184[[#This Row],[PEG]],Table1016[#All],3,FALSE)</f>
        <v>#N/A</v>
      </c>
    </row>
    <row r="39" spans="1:5" x14ac:dyDescent="0.35">
      <c r="A39" s="118">
        <v>32</v>
      </c>
      <c r="B39" s="114" t="s">
        <v>12</v>
      </c>
      <c r="C39" s="109" t="e">
        <f>VLOOKUP(Table257519913140106110151155170178184[[#This Row],[PEG]],Table1016[#All],2,FALSE)</f>
        <v>#N/A</v>
      </c>
      <c r="D39" s="117"/>
      <c r="E39" s="125" t="e">
        <f>VLOOKUP(Table257519913140106110151155170178184[[#This Row],[PEG]],Table1016[#All],3,FALSE)</f>
        <v>#N/A</v>
      </c>
    </row>
    <row r="40" spans="1:5" x14ac:dyDescent="0.35">
      <c r="A40" s="118">
        <v>33</v>
      </c>
      <c r="B40" s="114" t="s">
        <v>12</v>
      </c>
      <c r="C40" s="109" t="e">
        <f>VLOOKUP(Table257519913140106110151155170178184[[#This Row],[PEG]],Table1016[#All],2,FALSE)</f>
        <v>#N/A</v>
      </c>
      <c r="D40" s="117"/>
      <c r="E40" s="125" t="e">
        <f>VLOOKUP(Table257519913140106110151155170178184[[#This Row],[PEG]],Table1016[#All],3,FALSE)</f>
        <v>#N/A</v>
      </c>
    </row>
    <row r="41" spans="1:5" x14ac:dyDescent="0.35">
      <c r="A41" s="118">
        <v>34</v>
      </c>
      <c r="B41" s="114" t="s">
        <v>115</v>
      </c>
      <c r="C41" s="109" t="e">
        <f>VLOOKUP(Table257519913140106110151155170178184[[#This Row],[PEG]],Table1016[#All],2,FALSE)</f>
        <v>#N/A</v>
      </c>
      <c r="D41" s="117"/>
      <c r="E41" s="125" t="e">
        <f>VLOOKUP(Table257519913140106110151155170178184[[#This Row],[PEG]],Table1016[#All],3,FALSE)</f>
        <v>#N/A</v>
      </c>
    </row>
    <row r="42" spans="1:5" x14ac:dyDescent="0.35">
      <c r="A42" s="118">
        <v>35</v>
      </c>
      <c r="B42" s="114" t="s">
        <v>12</v>
      </c>
      <c r="C42" s="109" t="e">
        <f>VLOOKUP(Table257519913140106110151155170178184[[#This Row],[PEG]],Table1016[#All],2,FALSE)</f>
        <v>#N/A</v>
      </c>
      <c r="D42" s="115"/>
      <c r="E42" s="125" t="e">
        <f>VLOOKUP(Table257519913140106110151155170178184[[#This Row],[PEG]],Table1016[#All],3,FALSE)</f>
        <v>#N/A</v>
      </c>
    </row>
    <row r="43" spans="1:5" x14ac:dyDescent="0.35">
      <c r="A43" s="118">
        <v>36</v>
      </c>
      <c r="B43" s="114" t="s">
        <v>115</v>
      </c>
      <c r="C43" s="109" t="e">
        <f>VLOOKUP(Table257519913140106110151155170178184[[#This Row],[PEG]],Table1016[#All],2,FALSE)</f>
        <v>#N/A</v>
      </c>
      <c r="D43" s="115"/>
      <c r="E43" s="125" t="e">
        <f>VLOOKUP(Table257519913140106110151155170178184[[#This Row],[PEG]],Table1016[#All],3,FALSE)</f>
        <v>#N/A</v>
      </c>
    </row>
    <row r="44" spans="1:5" x14ac:dyDescent="0.35">
      <c r="A44" s="118">
        <v>37</v>
      </c>
      <c r="B44" s="114" t="s">
        <v>13</v>
      </c>
      <c r="C44" s="18" t="s">
        <v>13</v>
      </c>
      <c r="D44" s="115"/>
      <c r="E44" s="32"/>
    </row>
  </sheetData>
  <mergeCells count="1">
    <mergeCell ref="A1:B1"/>
  </mergeCells>
  <conditionalFormatting sqref="B8:B18">
    <cfRule type="containsText" dxfId="1285" priority="1" operator="containsText" text="Hear">
      <formula>NOT(ISERROR(SEARCH("Hear",B8)))</formula>
    </cfRule>
  </conditionalFormatting>
  <conditionalFormatting sqref="B30">
    <cfRule type="containsText" dxfId="1284" priority="4" operator="containsText" text="Hear">
      <formula>NOT(ISERROR(SEARCH("Hear",B30)))</formula>
    </cfRule>
  </conditionalFormatting>
  <conditionalFormatting sqref="B43:B44">
    <cfRule type="containsText" dxfId="1283" priority="8" operator="containsText" text="Hear">
      <formula>NOT(ISERROR(SEARCH("Hear",B43)))</formula>
    </cfRule>
  </conditionalFormatting>
  <conditionalFormatting sqref="E44">
    <cfRule type="containsText" dxfId="1282" priority="6" operator="containsText" text="WEB SERVICE">
      <formula>NOT(ISERROR(SEARCH("WEB SERVICE",E44)))</formula>
    </cfRule>
    <cfRule type="containsText" dxfId="1281" priority="7" operator="containsText" text="DB">
      <formula>NOT(ISERROR(SEARCH("DB",E44)))</formula>
    </cfRule>
  </conditionalFormatting>
  <conditionalFormatting sqref="C44">
    <cfRule type="expression" dxfId="1280" priority="9">
      <formula>$B44="HANGUP"</formula>
    </cfRule>
    <cfRule type="expression" dxfId="1279" priority="9">
      <formula>$B44="Dial"</formula>
    </cfRule>
  </conditionalFormatting>
  <conditionalFormatting sqref="C44">
    <cfRule type="expression" dxfId="1278" priority="3">
      <formula>$B44="Speak"</formula>
    </cfRule>
  </conditionalFormatting>
  <conditionalFormatting sqref="B36:B38 B40:B41">
    <cfRule type="containsText" dxfId="1277" priority="2" operator="containsText" text="Hear">
      <formula>NOT(ISERROR(SEARCH("Hear",B36)))</formula>
    </cfRule>
  </conditionalFormatting>
  <conditionalFormatting sqref="B19:B29 B31:B35 B42">
    <cfRule type="containsText" dxfId="1276" priority="5" operator="containsText" text="Hear">
      <formula>NOT(ISERROR(SEARCH("Hear",B19)))</formula>
    </cfRule>
  </conditionalFormatting>
  <hyperlinks>
    <hyperlink ref="A1" location="'Test Case Overview'!A1" display="Return to Test Case Overview" xr:uid="{9D2F793A-CAC1-45E7-82C9-197AF20FCB8D}"/>
  </hyperlinks>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expression" priority="10" id="{F5BBBC74-2560-48B2-AEC6-E96374AFE48A}">
            <xm:f>'TC1'!$B8="Dial"</xm:f>
            <x14:dxf>
              <font>
                <b/>
                <i val="0"/>
                <color rgb="FFFF0000"/>
              </font>
            </x14:dxf>
          </x14:cfRule>
          <x14:cfRule type="expression" priority="10" id="{246F04D6-CE2D-4EF3-9243-344290045228}">
            <xm:f>'TC1'!$B8="HANGUP"</xm:f>
            <x14:dxf>
              <font>
                <b/>
                <i val="0"/>
              </font>
            </x14:dxf>
          </x14:cfRule>
          <xm:sqref>C8</xm:sqref>
        </x14:conditionalFormatting>
        <x14:conditionalFormatting xmlns:xm="http://schemas.microsoft.com/office/excel/2006/main">
          <x14:cfRule type="expression" priority="11" id="{BDB14B5E-EAF8-4154-9379-9AF5117504FB}">
            <xm:f>'TC1'!$B8="Speak"</xm:f>
            <x14:dxf>
              <font>
                <b/>
                <i val="0"/>
                <color rgb="FFFF0000"/>
              </font>
            </x14:dxf>
          </x14:cfRule>
          <xm:sqref>C8</xm:sqref>
        </x14:conditionalFormatting>
        <x14:conditionalFormatting xmlns:xm="http://schemas.microsoft.com/office/excel/2006/main">
          <x14:cfRule type="containsText" priority="14" operator="containsText" text="Hear" id="{74684245-D2BC-481F-B569-3A77DEC42027}">
            <xm:f>NOT(ISERROR(SEARCH("Hear",'TC3'!B34)))</xm:f>
            <x14:dxf>
              <font>
                <color theme="9" tint="-0.24994659260841701"/>
              </font>
              <fill>
                <patternFill>
                  <bgColor theme="9" tint="0.59996337778862885"/>
                </patternFill>
              </fill>
            </x14:dxf>
          </x14:cfRule>
          <xm:sqref>B41</xm:sqref>
        </x14:conditionalFormatting>
        <x14:conditionalFormatting xmlns:xm="http://schemas.microsoft.com/office/excel/2006/main">
          <x14:cfRule type="expression" priority="3023" id="{F5BBBC74-2560-48B2-AEC6-E96374AFE48A}">
            <xm:f>'TC1'!$B16="Dial"</xm:f>
            <x14:dxf>
              <font>
                <b/>
                <i val="0"/>
                <color rgb="FFFF0000"/>
              </font>
            </x14:dxf>
          </x14:cfRule>
          <x14:cfRule type="expression" priority="3024" id="{246F04D6-CE2D-4EF3-9243-344290045228}">
            <xm:f>'TC1'!$B16="HANGUP"</xm:f>
            <x14:dxf>
              <font>
                <b/>
                <i val="0"/>
              </font>
            </x14:dxf>
          </x14:cfRule>
          <xm:sqref>C34:C43</xm:sqref>
        </x14:conditionalFormatting>
        <x14:conditionalFormatting xmlns:xm="http://schemas.microsoft.com/office/excel/2006/main">
          <x14:cfRule type="expression" priority="3025" id="{F5BBBC74-2560-48B2-AEC6-E96374AFE48A}">
            <xm:f>'TC1'!#REF!="Dial"</xm:f>
            <x14:dxf>
              <font>
                <b/>
                <i val="0"/>
                <color rgb="FFFF0000"/>
              </font>
            </x14:dxf>
          </x14:cfRule>
          <x14:cfRule type="expression" priority="3026" id="{246F04D6-CE2D-4EF3-9243-344290045228}">
            <xm:f>'TC1'!#REF!="HANGUP"</xm:f>
            <x14:dxf>
              <font>
                <b/>
                <i val="0"/>
              </font>
            </x14:dxf>
          </x14:cfRule>
          <xm:sqref>C17:C33</xm:sqref>
        </x14:conditionalFormatting>
        <x14:conditionalFormatting xmlns:xm="http://schemas.microsoft.com/office/excel/2006/main">
          <x14:cfRule type="expression" priority="3030" id="{BDB14B5E-EAF8-4154-9379-9AF5117504FB}">
            <xm:f>'TC1'!$B16="Speak"</xm:f>
            <x14:dxf>
              <font>
                <b/>
                <i val="0"/>
                <color rgb="FFFF0000"/>
              </font>
            </x14:dxf>
          </x14:cfRule>
          <xm:sqref>C34:C43</xm:sqref>
        </x14:conditionalFormatting>
        <x14:conditionalFormatting xmlns:xm="http://schemas.microsoft.com/office/excel/2006/main">
          <x14:cfRule type="expression" priority="3031" id="{BDB14B5E-EAF8-4154-9379-9AF5117504FB}">
            <xm:f>'TC1'!#REF!="Speak"</xm:f>
            <x14:dxf>
              <font>
                <b/>
                <i val="0"/>
                <color rgb="FFFF0000"/>
              </font>
            </x14:dxf>
          </x14:cfRule>
          <xm:sqref>C17:C33</xm:sqref>
        </x14:conditionalFormatting>
        <x14:conditionalFormatting xmlns:xm="http://schemas.microsoft.com/office/excel/2006/main">
          <x14:cfRule type="containsText" priority="3035" operator="containsText" text="DB" id="{A0087F36-7896-43D2-9D6E-250C8A7371B6}">
            <xm:f>NOT(ISERROR(SEARCH("DB",'TC1'!E16)))</xm:f>
            <x14:dxf>
              <font>
                <color rgb="FF006100"/>
              </font>
              <fill>
                <patternFill>
                  <bgColor rgb="FFC6EFCE"/>
                </patternFill>
              </fill>
            </x14:dxf>
          </x14:cfRule>
          <x14:cfRule type="containsText" priority="3036" operator="containsText" text="WEB SERVICE" id="{F52C6BE8-3ECF-4B8C-B248-1002E53A3300}">
            <xm:f>NOT(ISERROR(SEARCH("WEB SERVICE",'TC1'!E16)))</xm:f>
            <x14:dxf>
              <font>
                <color rgb="FF9C0006"/>
              </font>
              <fill>
                <patternFill>
                  <bgColor rgb="FFFFC7CE"/>
                </patternFill>
              </fill>
            </x14:dxf>
          </x14:cfRule>
          <xm:sqref>E34:E43</xm:sqref>
        </x14:conditionalFormatting>
        <x14:conditionalFormatting xmlns:xm="http://schemas.microsoft.com/office/excel/2006/main">
          <x14:cfRule type="containsText" priority="3037" operator="containsText" text="DB" id="{A0087F36-7896-43D2-9D6E-250C8A7371B6}">
            <xm:f>NOT(ISERROR(SEARCH("DB",'TC1'!#REF!)))</xm:f>
            <x14:dxf>
              <font>
                <color rgb="FF006100"/>
              </font>
              <fill>
                <patternFill>
                  <bgColor rgb="FFC6EFCE"/>
                </patternFill>
              </fill>
            </x14:dxf>
          </x14:cfRule>
          <x14:cfRule type="containsText" priority="3038" operator="containsText" text="WEB SERVICE" id="{F52C6BE8-3ECF-4B8C-B248-1002E53A3300}">
            <xm:f>NOT(ISERROR(SEARCH("WEB SERVICE",'TC1'!#REF!)))</xm:f>
            <x14:dxf>
              <font>
                <color rgb="FF9C0006"/>
              </font>
              <fill>
                <patternFill>
                  <bgColor rgb="FFFFC7CE"/>
                </patternFill>
              </fill>
            </x14:dxf>
          </x14:cfRule>
          <xm:sqref>E17:E33</xm:sqref>
        </x14:conditionalFormatting>
        <x14:conditionalFormatting xmlns:xm="http://schemas.microsoft.com/office/excel/2006/main">
          <x14:cfRule type="expression" priority="5659" id="{F5BBBC74-2560-48B2-AEC6-E96374AFE48A}">
            <xm:f>'TC1'!$B9="Dial"</xm:f>
            <x14:dxf>
              <font>
                <b/>
                <i val="0"/>
                <color rgb="FFFF0000"/>
              </font>
            </x14:dxf>
          </x14:cfRule>
          <x14:cfRule type="expression" priority="5660" id="{246F04D6-CE2D-4EF3-9243-344290045228}">
            <xm:f>'TC1'!$B9="HANGUP"</xm:f>
            <x14:dxf>
              <font>
                <b/>
                <i val="0"/>
              </font>
            </x14:dxf>
          </x14:cfRule>
          <xm:sqref>C12:C15</xm:sqref>
        </x14:conditionalFormatting>
        <x14:conditionalFormatting xmlns:xm="http://schemas.microsoft.com/office/excel/2006/main">
          <x14:cfRule type="expression" priority="5661" id="{F5BBBC74-2560-48B2-AEC6-E96374AFE48A}">
            <xm:f>'TC1'!#REF!="Dial"</xm:f>
            <x14:dxf>
              <font>
                <b/>
                <i val="0"/>
                <color rgb="FFFF0000"/>
              </font>
            </x14:dxf>
          </x14:cfRule>
          <x14:cfRule type="expression" priority="5662" id="{246F04D6-CE2D-4EF3-9243-344290045228}">
            <xm:f>'TC1'!#REF!="HANGUP"</xm:f>
            <x14:dxf>
              <font>
                <b/>
                <i val="0"/>
              </font>
            </x14:dxf>
          </x14:cfRule>
          <xm:sqref>C9:C11</xm:sqref>
        </x14:conditionalFormatting>
        <x14:conditionalFormatting xmlns:xm="http://schemas.microsoft.com/office/excel/2006/main">
          <x14:cfRule type="expression" priority="5666" id="{BDB14B5E-EAF8-4154-9379-9AF5117504FB}">
            <xm:f>'TC1'!$B9="Speak"</xm:f>
            <x14:dxf>
              <font>
                <b/>
                <i val="0"/>
                <color rgb="FFFF0000"/>
              </font>
            </x14:dxf>
          </x14:cfRule>
          <xm:sqref>C12:C15</xm:sqref>
        </x14:conditionalFormatting>
        <x14:conditionalFormatting xmlns:xm="http://schemas.microsoft.com/office/excel/2006/main">
          <x14:cfRule type="expression" priority="5667" id="{BDB14B5E-EAF8-4154-9379-9AF5117504FB}">
            <xm:f>'TC1'!#REF!="Speak"</xm:f>
            <x14:dxf>
              <font>
                <b/>
                <i val="0"/>
                <color rgb="FFFF0000"/>
              </font>
            </x14:dxf>
          </x14:cfRule>
          <xm:sqref>C9:C11</xm:sqref>
        </x14:conditionalFormatting>
        <x14:conditionalFormatting xmlns:xm="http://schemas.microsoft.com/office/excel/2006/main">
          <x14:cfRule type="containsText" priority="5669" operator="containsText" text="DB" id="{A0087F36-7896-43D2-9D6E-250C8A7371B6}">
            <xm:f>NOT(ISERROR(SEARCH("DB",'TC1'!#REF!)))</xm:f>
            <x14:dxf>
              <font>
                <color rgb="FF006100"/>
              </font>
              <fill>
                <patternFill>
                  <bgColor rgb="FFC6EFCE"/>
                </patternFill>
              </fill>
            </x14:dxf>
          </x14:cfRule>
          <x14:cfRule type="containsText" priority="5670" operator="containsText" text="WEB SERVICE" id="{F52C6BE8-3ECF-4B8C-B248-1002E53A3300}">
            <xm:f>NOT(ISERROR(SEARCH("WEB SERVICE",'TC1'!#REF!)))</xm:f>
            <x14:dxf>
              <font>
                <color rgb="FF9C0006"/>
              </font>
              <fill>
                <patternFill>
                  <bgColor rgb="FFFFC7CE"/>
                </patternFill>
              </fill>
            </x14:dxf>
          </x14:cfRule>
          <xm:sqref>E9:E11</xm:sqref>
        </x14:conditionalFormatting>
        <x14:conditionalFormatting xmlns:xm="http://schemas.microsoft.com/office/excel/2006/main">
          <x14:cfRule type="containsText" priority="5671" operator="containsText" text="DB" id="{A0087F36-7896-43D2-9D6E-250C8A7371B6}">
            <xm:f>NOT(ISERROR(SEARCH("DB",'TC1'!E9)))</xm:f>
            <x14:dxf>
              <font>
                <color rgb="FF006100"/>
              </font>
              <fill>
                <patternFill>
                  <bgColor rgb="FFC6EFCE"/>
                </patternFill>
              </fill>
            </x14:dxf>
          </x14:cfRule>
          <x14:cfRule type="containsText" priority="5672" operator="containsText" text="WEB SERVICE" id="{F52C6BE8-3ECF-4B8C-B248-1002E53A3300}">
            <xm:f>NOT(ISERROR(SEARCH("WEB SERVICE",'TC1'!E9)))</xm:f>
            <x14:dxf>
              <font>
                <color rgb="FF9C0006"/>
              </font>
              <fill>
                <patternFill>
                  <bgColor rgb="FFFFC7CE"/>
                </patternFill>
              </fill>
            </x14:dxf>
          </x14:cfRule>
          <xm:sqref>E12:E15</xm:sqref>
        </x14:conditionalFormatting>
        <x14:conditionalFormatting xmlns:xm="http://schemas.microsoft.com/office/excel/2006/main">
          <x14:cfRule type="expression" priority="7895" id="{F5BBBC74-2560-48B2-AEC6-E96374AFE48A}">
            <xm:f>'TC1'!$B15="Dial"</xm:f>
            <x14:dxf>
              <font>
                <b/>
                <i val="0"/>
                <color rgb="FFFF0000"/>
              </font>
            </x14:dxf>
          </x14:cfRule>
          <x14:cfRule type="expression" priority="7896" id="{246F04D6-CE2D-4EF3-9243-344290045228}">
            <xm:f>'TC1'!$B15="HANGUP"</xm:f>
            <x14:dxf>
              <font>
                <b/>
                <i val="0"/>
              </font>
            </x14:dxf>
          </x14:cfRule>
          <xm:sqref>C16</xm:sqref>
        </x14:conditionalFormatting>
        <x14:conditionalFormatting xmlns:xm="http://schemas.microsoft.com/office/excel/2006/main">
          <x14:cfRule type="expression" priority="7898" id="{BDB14B5E-EAF8-4154-9379-9AF5117504FB}">
            <xm:f>'TC1'!$B15="Speak"</xm:f>
            <x14:dxf>
              <font>
                <b/>
                <i val="0"/>
                <color rgb="FFFF0000"/>
              </font>
            </x14:dxf>
          </x14:cfRule>
          <xm:sqref>C16</xm:sqref>
        </x14:conditionalFormatting>
        <x14:conditionalFormatting xmlns:xm="http://schemas.microsoft.com/office/excel/2006/main">
          <x14:cfRule type="containsText" priority="7901" operator="containsText" text="DB" id="{A0087F36-7896-43D2-9D6E-250C8A7371B6}">
            <xm:f>NOT(ISERROR(SEARCH("DB",'TC1'!E15)))</xm:f>
            <x14:dxf>
              <font>
                <color rgb="FF006100"/>
              </font>
              <fill>
                <patternFill>
                  <bgColor rgb="FFC6EFCE"/>
                </patternFill>
              </fill>
            </x14:dxf>
          </x14:cfRule>
          <x14:cfRule type="containsText" priority="7902" operator="containsText" text="WEB SERVICE" id="{F52C6BE8-3ECF-4B8C-B248-1002E53A3300}">
            <xm:f>NOT(ISERROR(SEARCH("WEB SERVICE",'TC1'!E15)))</xm:f>
            <x14:dxf>
              <font>
                <color rgb="FF9C0006"/>
              </font>
              <fill>
                <patternFill>
                  <bgColor rgb="FFFFC7CE"/>
                </patternFill>
              </fill>
            </x14:dxf>
          </x14:cfRule>
          <xm:sqref>E16</xm:sqref>
        </x14:conditionalFormatting>
        <x14:conditionalFormatting xmlns:xm="http://schemas.microsoft.com/office/excel/2006/main">
          <x14:cfRule type="containsText" priority="10594" operator="containsText" text="Hear" id="{EAB3B021-6D73-4A46-A6E4-CB613F43DCF2}">
            <xm:f>NOT(ISERROR(SEARCH("Hear",'TC26'!#REF!)))</xm:f>
            <x14:dxf>
              <font>
                <color theme="9" tint="-0.24994659260841701"/>
              </font>
              <fill>
                <patternFill>
                  <bgColor theme="9" tint="0.59996337778862885"/>
                </patternFill>
              </fill>
            </x14:dxf>
          </x14:cfRule>
          <xm:sqref>B39</xm:sqref>
        </x14:conditionalFormatting>
      </x14:conditionalFormatting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5"/>
  <dimension ref="A1:E52"/>
  <sheetViews>
    <sheetView topLeftCell="A16" zoomScaleNormal="100" workbookViewId="0">
      <selection activeCell="D30" sqref="D30"/>
    </sheetView>
  </sheetViews>
  <sheetFormatPr defaultRowHeight="14.5" x14ac:dyDescent="0.35"/>
  <cols>
    <col min="1" max="1" width="14.453125" style="97" bestFit="1" customWidth="1"/>
    <col min="2" max="2" width="42.6328125" style="97" customWidth="1"/>
    <col min="3" max="3" width="106.1796875" style="98" customWidth="1"/>
    <col min="4" max="4" width="21.81640625" style="111" bestFit="1" customWidth="1"/>
    <col min="5" max="5" width="20.6328125" style="97" customWidth="1"/>
  </cols>
  <sheetData>
    <row r="1" spans="1:5" ht="18.5" x14ac:dyDescent="0.35">
      <c r="A1" s="192" t="s">
        <v>4</v>
      </c>
      <c r="B1" s="192"/>
      <c r="C1" s="105"/>
    </row>
    <row r="2" spans="1:5" x14ac:dyDescent="0.35">
      <c r="A2" s="106" t="s">
        <v>5</v>
      </c>
      <c r="B2" s="107" t="str">
        <f ca="1">MID(CELL("filename",A1),FIND("]",CELL("filename",A1))+1,LEN(CELL("filename",A1))-FIND("]",CELL("filename",A1)))</f>
        <v>TC13</v>
      </c>
    </row>
    <row r="3" spans="1:5" x14ac:dyDescent="0.35">
      <c r="A3" s="104" t="s">
        <v>19</v>
      </c>
      <c r="B3" s="112">
        <f ca="1">VLOOKUP(B2,Table1[#All],2,FALSE)</f>
        <v>0</v>
      </c>
    </row>
    <row r="4" spans="1:5" ht="29" x14ac:dyDescent="0.35">
      <c r="A4" s="113" t="s">
        <v>20</v>
      </c>
      <c r="B4" s="99" t="str">
        <f ca="1">VLOOKUP(B2,Table1[#All],4,FALSE)</f>
        <v>Future Acct, Current Due, Make Payment, Checking</v>
      </c>
    </row>
    <row r="5" spans="1:5" x14ac:dyDescent="0.35">
      <c r="A5" s="104" t="s">
        <v>6</v>
      </c>
      <c r="B5" s="93" t="str">
        <f ca="1">VLOOKUP(B2,Table1[#All],3,FALSE)</f>
        <v>NACHA - YES</v>
      </c>
    </row>
    <row r="7" spans="1:5" ht="15.5" x14ac:dyDescent="0.35">
      <c r="A7" s="100" t="s">
        <v>7</v>
      </c>
      <c r="B7" s="101" t="s">
        <v>8</v>
      </c>
      <c r="C7" s="102" t="s">
        <v>9</v>
      </c>
      <c r="D7" s="102" t="s">
        <v>14</v>
      </c>
      <c r="E7" s="103" t="s">
        <v>10</v>
      </c>
    </row>
    <row r="8" spans="1:5" x14ac:dyDescent="0.35">
      <c r="A8" s="118">
        <v>1</v>
      </c>
      <c r="B8" s="114" t="s">
        <v>114</v>
      </c>
      <c r="C8" s="127" t="s">
        <v>240</v>
      </c>
      <c r="D8" s="128"/>
      <c r="E8" s="125" t="s">
        <v>11</v>
      </c>
    </row>
    <row r="9" spans="1:5" x14ac:dyDescent="0.35">
      <c r="A9" s="118">
        <v>2</v>
      </c>
      <c r="B9" s="114" t="s">
        <v>115</v>
      </c>
      <c r="C9" s="109" t="str">
        <f>VLOOKUP(Table25755252691024253334[[#This Row],[PEG]],Table1016[#All],2,FALSE)</f>
        <v>To get started, tell me your Account Number</v>
      </c>
      <c r="D9" s="141" t="s">
        <v>245</v>
      </c>
      <c r="E9" s="125" t="str">
        <f>VLOOKUP(Table25755252691024253334[[#This Row],[PEG]],Table1016[#All],3,FALSE)</f>
        <v>Prompt</v>
      </c>
    </row>
    <row r="10" spans="1:5" x14ac:dyDescent="0.35">
      <c r="A10" s="118">
        <v>3</v>
      </c>
      <c r="B10" s="114" t="s">
        <v>124</v>
      </c>
      <c r="C10" s="109" t="s">
        <v>412</v>
      </c>
      <c r="D10" s="151"/>
      <c r="E10" s="125" t="e">
        <f>VLOOKUP(Table25755252691024253334[[#This Row],[PEG]],Table1016[#All],3,FALSE)</f>
        <v>#N/A</v>
      </c>
    </row>
    <row r="11" spans="1:5" ht="174" x14ac:dyDescent="0.35">
      <c r="A11" s="118">
        <v>4</v>
      </c>
      <c r="B11" s="114" t="s">
        <v>12</v>
      </c>
      <c r="C11" s="109" t="str">
        <f>VLOOKUP(Table25755252691024253334[[#This Row],[PEG]],Table1016[#All],2,FALSE)</f>
        <v>SAP HANA – SAP01_GetMember
inputs:
idnumber = iIdnumber	T
idtype 	= iIdtype
outputs:
~ Billing Reference
~ Enrollment Details
~ Billing Details
~ Last Payment
~ Recurring Payment Method
~ Stored Payment Method</v>
      </c>
      <c r="D11" s="141" t="s">
        <v>371</v>
      </c>
      <c r="E11" s="125" t="str">
        <f>VLOOKUP(Table25755252691024253334[[#This Row],[PEG]],Table1016[#All],3,FALSE)</f>
        <v>DB</v>
      </c>
    </row>
    <row r="12" spans="1:5" x14ac:dyDescent="0.35">
      <c r="A12" s="118">
        <v>5</v>
      </c>
      <c r="B12" s="114" t="s">
        <v>115</v>
      </c>
      <c r="C12" s="109" t="str">
        <f>VLOOKUP(Table25755252691024253334[[#This Row],[PEG]],Table1016[#All],2,FALSE)</f>
        <v>Thanks, I found your account!</v>
      </c>
      <c r="D12" s="141" t="s">
        <v>248</v>
      </c>
      <c r="E12" s="125" t="str">
        <f>VLOOKUP(Table25755252691024253334[[#This Row],[PEG]],Table1016[#All],3,FALSE)</f>
        <v>Prompt</v>
      </c>
    </row>
    <row r="13" spans="1:5" x14ac:dyDescent="0.35">
      <c r="A13" s="118">
        <v>6</v>
      </c>
      <c r="B13" s="114" t="s">
        <v>115</v>
      </c>
      <c r="C13" s="109" t="str">
        <f>VLOOKUP(Table25755252691024253334[[#This Row],[PEG]],Table1016[#All],2,FALSE)</f>
        <v>Your one-time initial payment of &lt;SAP01_CurrentDue&gt; is due by &lt;SAP01_Duedate&gt;</v>
      </c>
      <c r="D13" s="142" t="s">
        <v>256</v>
      </c>
      <c r="E13" s="125" t="str">
        <f>VLOOKUP(Table25755252691024253334[[#This Row],[PEG]],Table1016[#All],3,FALSE)</f>
        <v>Prompt</v>
      </c>
    </row>
    <row r="14" spans="1:5" x14ac:dyDescent="0.35">
      <c r="A14" s="118">
        <v>7</v>
      </c>
      <c r="B14" s="114" t="s">
        <v>115</v>
      </c>
      <c r="C14" s="130" t="str">
        <f>VLOOKUP(Table25755252691024253334[[#This Row],[PEG]],Table1016[#All],2,FALSE)</f>
        <v>Would you like to pay this in full today?</v>
      </c>
      <c r="D14" s="142" t="s">
        <v>260</v>
      </c>
      <c r="E14" s="125" t="str">
        <f>VLOOKUP(Table25755252691024253334[[#This Row],[PEG]],Table1016[#All],3,FALSE)</f>
        <v>Prompt</v>
      </c>
    </row>
    <row r="15" spans="1:5" x14ac:dyDescent="0.35">
      <c r="A15" s="118">
        <v>8</v>
      </c>
      <c r="B15" s="114" t="s">
        <v>124</v>
      </c>
      <c r="C15" s="109" t="s">
        <v>402</v>
      </c>
      <c r="D15" s="143"/>
      <c r="E15" s="125" t="e">
        <f>VLOOKUP(Table25755252691024253334[[#This Row],[PEG]],Table1016[#All],3,FALSE)</f>
        <v>#N/A</v>
      </c>
    </row>
    <row r="16" spans="1:5" x14ac:dyDescent="0.35">
      <c r="A16" s="118">
        <v>9</v>
      </c>
      <c r="B16" s="114" t="s">
        <v>115</v>
      </c>
      <c r="C16" s="109" t="str">
        <f>VLOOKUP(Table25755252691024253334[[#This Row],[PEG]],Table1016[#All],2,FALSE)</f>
        <v>Ok, are you using Credit, Debit, Checking or Savings?</v>
      </c>
      <c r="D16" s="143" t="s">
        <v>286</v>
      </c>
      <c r="E16" s="125" t="str">
        <f>VLOOKUP(Table25755252691024253334[[#This Row],[PEG]],Table1016[#All],3,FALSE)</f>
        <v>Prompt</v>
      </c>
    </row>
    <row r="17" spans="1:5" x14ac:dyDescent="0.35">
      <c r="A17" s="118">
        <v>10</v>
      </c>
      <c r="B17" s="114" t="s">
        <v>124</v>
      </c>
      <c r="C17" s="109" t="s">
        <v>395</v>
      </c>
      <c r="D17" s="143"/>
      <c r="E17" s="125" t="e">
        <f>VLOOKUP(Table25755252691024253334[[#This Row],[PEG]],Table1016[#All],3,FALSE)</f>
        <v>#N/A</v>
      </c>
    </row>
    <row r="18" spans="1:5" x14ac:dyDescent="0.35">
      <c r="A18" s="118">
        <v>11</v>
      </c>
      <c r="B18" s="114" t="s">
        <v>115</v>
      </c>
      <c r="C18" s="109" t="str">
        <f>VLOOKUP(Table25755252691024253334[[#This Row],[PEG]],Table1016[#All],2,FALSE)</f>
        <v>Tell me your 9-digit routing number.</v>
      </c>
      <c r="D18" s="143" t="s">
        <v>289</v>
      </c>
      <c r="E18" s="125" t="str">
        <f>VLOOKUP(Table25755252691024253334[[#This Row],[PEG]],Table1016[#All],3,FALSE)</f>
        <v>Prompt</v>
      </c>
    </row>
    <row r="19" spans="1:5" x14ac:dyDescent="0.35">
      <c r="A19" s="118">
        <v>12</v>
      </c>
      <c r="B19" s="114" t="s">
        <v>124</v>
      </c>
      <c r="C19" s="109" t="s">
        <v>417</v>
      </c>
      <c r="D19" s="143"/>
      <c r="E19" s="125" t="e">
        <f>VLOOKUP(Table25755252691024253334[[#This Row],[PEG]],Table1016[#All],3,FALSE)</f>
        <v>#N/A</v>
      </c>
    </row>
    <row r="20" spans="1:5" x14ac:dyDescent="0.35">
      <c r="A20" s="118">
        <v>13</v>
      </c>
      <c r="B20" s="114" t="s">
        <v>115</v>
      </c>
      <c r="C20" s="109" t="str">
        <f>VLOOKUP(Table25755252691024253334[[#This Row],[PEG]],Table1016[#All],2,FALSE)</f>
        <v>Is &lt;ivrBankKey&gt; the right number?</v>
      </c>
      <c r="D20" s="143" t="s">
        <v>292</v>
      </c>
      <c r="E20" s="125" t="str">
        <f>VLOOKUP(Table25755252691024253334[[#This Row],[PEG]],Table1016[#All],3,FALSE)</f>
        <v>Prompt</v>
      </c>
    </row>
    <row r="21" spans="1:5" x14ac:dyDescent="0.35">
      <c r="A21" s="118">
        <v>14</v>
      </c>
      <c r="B21" s="114" t="s">
        <v>124</v>
      </c>
      <c r="C21" s="109" t="s">
        <v>388</v>
      </c>
      <c r="D21" s="143"/>
      <c r="E21" s="125" t="e">
        <f>VLOOKUP(Table25755252691024253334[[#This Row],[PEG]],Table1016[#All],3,FALSE)</f>
        <v>#N/A</v>
      </c>
    </row>
    <row r="22" spans="1:5" x14ac:dyDescent="0.35">
      <c r="A22" s="118">
        <v>15</v>
      </c>
      <c r="B22" s="114" t="s">
        <v>115</v>
      </c>
      <c r="C22" s="109" t="str">
        <f>VLOOKUP(Table25755252691024253334[[#This Row],[PEG]],Table1016[#All],2,FALSE)</f>
        <v>Now what is your checking account number.</v>
      </c>
      <c r="D22" s="143" t="s">
        <v>295</v>
      </c>
      <c r="E22" s="125" t="str">
        <f>VLOOKUP(Table25755252691024253334[[#This Row],[PEG]],Table1016[#All],3,FALSE)</f>
        <v>Prompt</v>
      </c>
    </row>
    <row r="23" spans="1:5" s="97" customFormat="1" x14ac:dyDescent="0.35">
      <c r="A23" s="118">
        <v>16</v>
      </c>
      <c r="B23" s="114" t="s">
        <v>124</v>
      </c>
      <c r="C23" s="109" t="s">
        <v>418</v>
      </c>
      <c r="D23" s="143"/>
      <c r="E23" s="125" t="e">
        <f>VLOOKUP(Table25755252691024253334[[#This Row],[PEG]],Table1016[#All],3,FALSE)</f>
        <v>#N/A</v>
      </c>
    </row>
    <row r="24" spans="1:5" s="97" customFormat="1" x14ac:dyDescent="0.35">
      <c r="A24" s="118">
        <v>17</v>
      </c>
      <c r="B24" s="114" t="s">
        <v>115</v>
      </c>
      <c r="C24" s="109" t="str">
        <f>VLOOKUP(Table25755252691024253334[[#This Row],[PEG]],Table1016[#All],2,FALSE)</f>
        <v>Is &lt;ivrBankAcct&gt; the right number?</v>
      </c>
      <c r="D24" s="143" t="s">
        <v>301</v>
      </c>
      <c r="E24" s="125">
        <f>VLOOKUP(Table25755252691024253334[[#This Row],[PEG]],Table1016[#All],3,FALSE)</f>
        <v>0</v>
      </c>
    </row>
    <row r="25" spans="1:5" s="97" customFormat="1" x14ac:dyDescent="0.35">
      <c r="A25" s="118">
        <v>18</v>
      </c>
      <c r="B25" s="114" t="s">
        <v>124</v>
      </c>
      <c r="C25" s="109" t="s">
        <v>388</v>
      </c>
      <c r="D25" s="143"/>
      <c r="E25" s="125" t="e">
        <f>VLOOKUP(Table25755252691024253334[[#This Row],[PEG]],Table1016[#All],3,FALSE)</f>
        <v>#N/A</v>
      </c>
    </row>
    <row r="26" spans="1:5" s="97" customFormat="1" ht="43.5" x14ac:dyDescent="0.35">
      <c r="A26" s="118">
        <v>19</v>
      </c>
      <c r="B26" s="114" t="s">
        <v>115</v>
      </c>
      <c r="C26" s="109" t="str">
        <f>VLOOKUP(Table25755252691024253334[[#This Row],[PEG]],Table1016[#All],2,FALSE)</f>
        <v>Today &lt;SAP01_SystemDate&gt; I’d like to confirm that you &lt;SAP01_NameFirst&gt; &lt;SAP01_NameLast&gt; are authorizing a payment in the amount of &lt;ivrPmtAmt&gt;
to be processed as an electronic funds transfer, or draft drawn from your account.  Do you agree?</v>
      </c>
      <c r="D26" s="143" t="s">
        <v>304</v>
      </c>
      <c r="E26" s="125" t="str">
        <f>VLOOKUP(Table25755252691024253334[[#This Row],[PEG]],Table1016[#All],3,FALSE)</f>
        <v>Prompt</v>
      </c>
    </row>
    <row r="27" spans="1:5" s="97" customFormat="1" x14ac:dyDescent="0.35">
      <c r="A27" s="118">
        <v>20</v>
      </c>
      <c r="B27" s="114" t="s">
        <v>124</v>
      </c>
      <c r="C27" s="109" t="s">
        <v>388</v>
      </c>
      <c r="D27" s="143"/>
      <c r="E27" s="125" t="e">
        <f>VLOOKUP(Table25755252691024253334[[#This Row],[PEG]],Table1016[#All],3,FALSE)</f>
        <v>#N/A</v>
      </c>
    </row>
    <row r="28" spans="1:5" s="97" customFormat="1" ht="43.5" x14ac:dyDescent="0.35">
      <c r="A28" s="118">
        <v>21</v>
      </c>
      <c r="B28" s="114" t="s">
        <v>115</v>
      </c>
      <c r="C28" s="109" t="str">
        <f>VLOOKUP(Table25755252691024253334[[#This Row],[PEG]],Table1016[#All],2,FALSE)</f>
        <v>If your payment is returned unpaid, you authorize us or our service provider to collect the payment and your State’s return item fee of &lt;SAP01_NSFAmount&gt; by electronic funds transfer(s) or draft(s) drawn from your account.  Do you agree and authorize the payment?</v>
      </c>
      <c r="D28" s="143" t="s">
        <v>307</v>
      </c>
      <c r="E28" s="125" t="str">
        <f>VLOOKUP(Table25755252691024253334[[#This Row],[PEG]],Table1016[#All],3,FALSE)</f>
        <v>Prompt</v>
      </c>
    </row>
    <row r="29" spans="1:5" s="97" customFormat="1" x14ac:dyDescent="0.35">
      <c r="A29" s="118">
        <v>22</v>
      </c>
      <c r="B29" s="114" t="s">
        <v>124</v>
      </c>
      <c r="C29" s="109" t="s">
        <v>388</v>
      </c>
      <c r="D29" s="143"/>
      <c r="E29" s="125" t="e">
        <f>VLOOKUP(Table25755252691024253334[[#This Row],[PEG]],Table1016[#All],3,FALSE)</f>
        <v>#N/A</v>
      </c>
    </row>
    <row r="30" spans="1:5" x14ac:dyDescent="0.35">
      <c r="A30" s="118">
        <v>23</v>
      </c>
      <c r="B30" s="114" t="s">
        <v>115</v>
      </c>
      <c r="C30" s="109" t="str">
        <f>VLOOKUP(Table25755252691024253334[[#This Row],[PEG]],Table1016[#All],2,FALSE)</f>
        <v>Before I give you the confirmation number, would you like to use this account to setup recurring monthly payments?</v>
      </c>
      <c r="D30" s="143" t="s">
        <v>310</v>
      </c>
      <c r="E30" s="125" t="str">
        <f>VLOOKUP(Table25755252691024253334[[#This Row],[PEG]],Table1016[#All],3,FALSE)</f>
        <v>Prompt</v>
      </c>
    </row>
    <row r="31" spans="1:5" x14ac:dyDescent="0.35">
      <c r="A31" s="118">
        <v>24</v>
      </c>
      <c r="B31" s="114" t="s">
        <v>124</v>
      </c>
      <c r="C31" s="109" t="s">
        <v>388</v>
      </c>
      <c r="D31" s="143"/>
      <c r="E31" s="125" t="e">
        <f>VLOOKUP(Table25755252691024253334[[#This Row],[PEG]],Table1016[#All],3,FALSE)</f>
        <v>#N/A</v>
      </c>
    </row>
    <row r="32" spans="1:5" ht="188.5" x14ac:dyDescent="0.35">
      <c r="A32" s="118">
        <v>25</v>
      </c>
      <c r="B32" s="114" t="s">
        <v>12</v>
      </c>
      <c r="C32" s="109" t="str">
        <f>VLOOKUP(Table25755252691024253334[[#This Row],[PEG]],Table1016[#All],2,FALSE)</f>
        <v xml:space="preserve">SAP HANA - SAP02_EFTPaymentNotification
inputs: 
Businesspartner = SAP01_Partner 
Insobject = SAP01_Insobject 
BankKey = ivrBankKey 
BankAcct = ivrBankAcct 
Accountholder = ivrAccountHolder 
BankAccountType = ivrBankAccountType 
RecurringBank = ivrRecurringBank  
StoredBank = ivrPmtMethodStored 
PaymentAmount = ivrPmtAmt 
outputs: 
SAP02_ConfirmationNum Payment Confirmation Number (i.e. 300000000105) </v>
      </c>
      <c r="D32" s="143" t="s">
        <v>373</v>
      </c>
      <c r="E32" s="125" t="str">
        <f>VLOOKUP(Table25755252691024253334[[#This Row],[PEG]],Table1016[#All],3,FALSE)</f>
        <v>DB</v>
      </c>
    </row>
    <row r="33" spans="1:5" ht="29" x14ac:dyDescent="0.35">
      <c r="A33" s="118">
        <v>26</v>
      </c>
      <c r="B33" s="114" t="s">
        <v>115</v>
      </c>
      <c r="C33" s="109" t="str">
        <f>VLOOKUP(Table25755252691024253334[[#This Row],[PEG]],Table1016[#All],2,FALSE)</f>
        <v>Recurring payments in the amount of &lt;SAP01_CurrentDue&gt;, will be deducted on the last day of each month starting in &lt;the month following the SAP01_Duedate&gt;.</v>
      </c>
      <c r="D33" s="143" t="s">
        <v>339</v>
      </c>
      <c r="E33" s="125" t="str">
        <f>VLOOKUP(Table25755252691024253334[[#This Row],[PEG]],Table1016[#All],3,FALSE)</f>
        <v>Prompt</v>
      </c>
    </row>
    <row r="34" spans="1:5" x14ac:dyDescent="0.35">
      <c r="A34" s="118">
        <v>27</v>
      </c>
      <c r="B34" s="114" t="s">
        <v>13</v>
      </c>
      <c r="C34" s="109" t="s">
        <v>13</v>
      </c>
      <c r="D34" s="143"/>
      <c r="E34" s="125" t="e">
        <f>VLOOKUP(Table25755252691024253334[[#This Row],[PEG]],Table1016[#All],3,FALSE)</f>
        <v>#N/A</v>
      </c>
    </row>
    <row r="35" spans="1:5" x14ac:dyDescent="0.35">
      <c r="C35" s="26"/>
      <c r="D35" s="111" t="s">
        <v>0</v>
      </c>
    </row>
    <row r="36" spans="1:5" x14ac:dyDescent="0.35">
      <c r="C36" s="26"/>
    </row>
    <row r="37" spans="1:5" x14ac:dyDescent="0.35">
      <c r="C37" s="26"/>
    </row>
    <row r="38" spans="1:5" x14ac:dyDescent="0.35">
      <c r="C38" s="26"/>
    </row>
    <row r="39" spans="1:5" x14ac:dyDescent="0.35">
      <c r="C39" s="26"/>
    </row>
    <row r="40" spans="1:5" x14ac:dyDescent="0.35">
      <c r="C40" s="26"/>
    </row>
    <row r="41" spans="1:5" x14ac:dyDescent="0.35">
      <c r="C41" s="26"/>
    </row>
    <row r="42" spans="1:5" x14ac:dyDescent="0.35">
      <c r="C42" s="26"/>
    </row>
    <row r="43" spans="1:5" x14ac:dyDescent="0.35">
      <c r="C43" s="26"/>
    </row>
    <row r="44" spans="1:5" x14ac:dyDescent="0.35">
      <c r="C44" s="26"/>
    </row>
    <row r="45" spans="1:5" x14ac:dyDescent="0.35">
      <c r="C45" s="26"/>
    </row>
    <row r="46" spans="1:5" x14ac:dyDescent="0.35">
      <c r="C46" s="26"/>
    </row>
    <row r="47" spans="1:5" x14ac:dyDescent="0.35">
      <c r="C47" s="26"/>
    </row>
    <row r="48" spans="1:5" x14ac:dyDescent="0.35">
      <c r="C48" s="26"/>
    </row>
    <row r="49" spans="3:3" x14ac:dyDescent="0.35">
      <c r="C49" s="26"/>
    </row>
    <row r="50" spans="3:3" x14ac:dyDescent="0.35">
      <c r="C50" s="27"/>
    </row>
    <row r="51" spans="3:3" x14ac:dyDescent="0.35">
      <c r="C51" s="27"/>
    </row>
    <row r="52" spans="3:3" x14ac:dyDescent="0.35">
      <c r="C52" s="27"/>
    </row>
  </sheetData>
  <mergeCells count="1">
    <mergeCell ref="A1:B1"/>
  </mergeCells>
  <conditionalFormatting sqref="C35:C9991 C9:C13">
    <cfRule type="expression" dxfId="5712" priority="46">
      <formula>$B9="Dial"</formula>
    </cfRule>
    <cfRule type="expression" dxfId="5711" priority="48">
      <formula>$B9="HANGUP"</formula>
    </cfRule>
  </conditionalFormatting>
  <conditionalFormatting sqref="B8:B34">
    <cfRule type="containsText" dxfId="5710" priority="19" operator="containsText" text="Hear">
      <formula>NOT(ISERROR(SEARCH("Hear",B8)))</formula>
    </cfRule>
  </conditionalFormatting>
  <conditionalFormatting sqref="C15 C27 C17:C24 C29:C34">
    <cfRule type="expression" dxfId="5709" priority="20">
      <formula>$B15="Dial"</formula>
    </cfRule>
    <cfRule type="expression" dxfId="5708" priority="22">
      <formula>$B15="HANGUP"</formula>
    </cfRule>
  </conditionalFormatting>
  <conditionalFormatting sqref="C15 C27 C17:C24 C29:C34 C9:C13">
    <cfRule type="expression" dxfId="5707" priority="21">
      <formula>$B9="Speak"</formula>
    </cfRule>
  </conditionalFormatting>
  <conditionalFormatting sqref="C14">
    <cfRule type="expression" dxfId="5706" priority="17">
      <formula>$B14="Dial"</formula>
    </cfRule>
    <cfRule type="expression" dxfId="5705" priority="18">
      <formula>$B14="HANGUP"</formula>
    </cfRule>
  </conditionalFormatting>
  <conditionalFormatting sqref="C8">
    <cfRule type="expression" dxfId="5704" priority="13">
      <formula>$B8="Dial"</formula>
    </cfRule>
    <cfRule type="expression" dxfId="5703" priority="14">
      <formula>$B8="HANGUP"</formula>
    </cfRule>
  </conditionalFormatting>
  <conditionalFormatting sqref="C16">
    <cfRule type="expression" dxfId="5702" priority="10">
      <formula>$B16="Dial"</formula>
    </cfRule>
    <cfRule type="expression" dxfId="5701" priority="12">
      <formula>$B16="HANGUP"</formula>
    </cfRule>
  </conditionalFormatting>
  <conditionalFormatting sqref="C16">
    <cfRule type="expression" dxfId="5700" priority="11">
      <formula>$B16="Speak"</formula>
    </cfRule>
  </conditionalFormatting>
  <conditionalFormatting sqref="C26">
    <cfRule type="expression" dxfId="5699" priority="7">
      <formula>$B26="Dial"</formula>
    </cfRule>
    <cfRule type="expression" dxfId="5698" priority="9">
      <formula>$B26="HANGUP"</formula>
    </cfRule>
  </conditionalFormatting>
  <conditionalFormatting sqref="C26">
    <cfRule type="expression" dxfId="5697" priority="8">
      <formula>$B26="Speak"</formula>
    </cfRule>
  </conditionalFormatting>
  <conditionalFormatting sqref="C28">
    <cfRule type="expression" dxfId="5696" priority="4">
      <formula>$B28="Dial"</formula>
    </cfRule>
    <cfRule type="expression" dxfId="5695" priority="6">
      <formula>$B28="HANGUP"</formula>
    </cfRule>
  </conditionalFormatting>
  <conditionalFormatting sqref="C28">
    <cfRule type="expression" dxfId="5694" priority="5">
      <formula>$B28="Speak"</formula>
    </cfRule>
  </conditionalFormatting>
  <conditionalFormatting sqref="C25">
    <cfRule type="expression" dxfId="5693" priority="1">
      <formula>$B25="Dial"</formula>
    </cfRule>
    <cfRule type="expression" dxfId="5692" priority="3">
      <formula>$B25="HANGUP"</formula>
    </cfRule>
  </conditionalFormatting>
  <conditionalFormatting sqref="C25">
    <cfRule type="expression" dxfId="5691" priority="2">
      <formula>$B25="Speak"</formula>
    </cfRule>
  </conditionalFormatting>
  <hyperlinks>
    <hyperlink ref="A1" location="'Test Case Overview'!A1" display="Return to Test Case Overview" xr:uid="{00000000-0004-0000-0D00-000000000000}"/>
  </hyperlinks>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containsText" priority="750" operator="containsText" text="WEB SERVICE" id="{D29DFCFA-85BF-4285-BF26-1A88E4C131D5}">
            <xm:f>NOT(ISERROR(SEARCH("WEB SERVICE",'TC1'!E16)))</xm:f>
            <x14:dxf>
              <font>
                <color rgb="FF9C0006"/>
              </font>
              <fill>
                <patternFill>
                  <bgColor rgb="FFFFC7CE"/>
                </patternFill>
              </fill>
            </x14:dxf>
          </x14:cfRule>
          <x14:cfRule type="containsText" priority="751" operator="containsText" text="DB" id="{F29C0973-02C1-4697-9994-65968E7F5E62}">
            <xm:f>NOT(ISERROR(SEARCH("DB",'TC1'!E16)))</xm:f>
            <x14:dxf>
              <font>
                <color rgb="FF006100"/>
              </font>
              <fill>
                <patternFill>
                  <bgColor rgb="FFC6EFCE"/>
                </patternFill>
              </fill>
            </x14:dxf>
          </x14:cfRule>
          <xm:sqref>E31:E34</xm:sqref>
        </x14:conditionalFormatting>
        <x14:conditionalFormatting xmlns:xm="http://schemas.microsoft.com/office/excel/2006/main">
          <x14:cfRule type="containsText" priority="752" operator="containsText" text="WEB SERVICE" id="{D29DFCFA-85BF-4285-BF26-1A88E4C131D5}">
            <xm:f>NOT(ISERROR(SEARCH("WEB SERVICE",'TC1'!#REF!)))</xm:f>
            <x14:dxf>
              <font>
                <color rgb="FF9C0006"/>
              </font>
              <fill>
                <patternFill>
                  <bgColor rgb="FFFFC7CE"/>
                </patternFill>
              </fill>
            </x14:dxf>
          </x14:cfRule>
          <x14:cfRule type="containsText" priority="753" operator="containsText" text="DB" id="{F29C0973-02C1-4697-9994-65968E7F5E62}">
            <xm:f>NOT(ISERROR(SEARCH("DB",'TC1'!#REF!)))</xm:f>
            <x14:dxf>
              <font>
                <color rgb="FF006100"/>
              </font>
              <fill>
                <patternFill>
                  <bgColor rgb="FFC6EFCE"/>
                </patternFill>
              </fill>
            </x14:dxf>
          </x14:cfRule>
          <xm:sqref>E14:E30</xm:sqref>
        </x14:conditionalFormatting>
        <x14:conditionalFormatting xmlns:xm="http://schemas.microsoft.com/office/excel/2006/main">
          <x14:cfRule type="containsText" priority="3604" operator="containsText" text="WEB SERVICE" id="{D29DFCFA-85BF-4285-BF26-1A88E4C131D5}">
            <xm:f>NOT(ISERROR(SEARCH("WEB SERVICE",'TC1'!E9)))</xm:f>
            <x14:dxf>
              <font>
                <color rgb="FF9C0006"/>
              </font>
              <fill>
                <patternFill>
                  <bgColor rgb="FFFFC7CE"/>
                </patternFill>
              </fill>
            </x14:dxf>
          </x14:cfRule>
          <x14:cfRule type="containsText" priority="3605" operator="containsText" text="DB" id="{F29C0973-02C1-4697-9994-65968E7F5E62}">
            <xm:f>NOT(ISERROR(SEARCH("DB",'TC1'!E9)))</xm:f>
            <x14:dxf>
              <font>
                <color rgb="FF006100"/>
              </font>
              <fill>
                <patternFill>
                  <bgColor rgb="FFC6EFCE"/>
                </patternFill>
              </fill>
            </x14:dxf>
          </x14:cfRule>
          <xm:sqref>E9:E12</xm:sqref>
        </x14:conditionalFormatting>
        <x14:conditionalFormatting xmlns:xm="http://schemas.microsoft.com/office/excel/2006/main">
          <x14:cfRule type="containsText" priority="6176" operator="containsText" text="WEB SERVICE" id="{D29DFCFA-85BF-4285-BF26-1A88E4C131D5}">
            <xm:f>NOT(ISERROR(SEARCH("WEB SERVICE",'TC1'!E15)))</xm:f>
            <x14:dxf>
              <font>
                <color rgb="FF9C0006"/>
              </font>
              <fill>
                <patternFill>
                  <bgColor rgb="FFFFC7CE"/>
                </patternFill>
              </fill>
            </x14:dxf>
          </x14:cfRule>
          <x14:cfRule type="containsText" priority="6177" operator="containsText" text="DB" id="{F29C0973-02C1-4697-9994-65968E7F5E62}">
            <xm:f>NOT(ISERROR(SEARCH("DB",'TC1'!E15)))</xm:f>
            <x14:dxf>
              <font>
                <color rgb="FF006100"/>
              </font>
              <fill>
                <patternFill>
                  <bgColor rgb="FFC6EFCE"/>
                </patternFill>
              </fill>
            </x14:dxf>
          </x14:cfRule>
          <xm:sqref>E13</xm:sqref>
        </x14:conditionalFormatting>
      </x14:conditionalFormattings>
    </ext>
  </extLst>
</worksheet>
</file>

<file path=xl/worksheets/sheet1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B00-000000000000}">
  <sheetPr codeName="Sheet141"/>
  <dimension ref="A1:E44"/>
  <sheetViews>
    <sheetView zoomScaleNormal="100" workbookViewId="0">
      <selection sqref="A1:E44"/>
    </sheetView>
  </sheetViews>
  <sheetFormatPr defaultRowHeight="14.5" x14ac:dyDescent="0.35"/>
  <cols>
    <col min="1" max="1" width="14.453125" bestFit="1" customWidth="1"/>
    <col min="2" max="2" width="42.6328125" customWidth="1"/>
    <col min="3" max="3" width="106.1796875" customWidth="1"/>
    <col min="4" max="4" width="21.81640625" bestFit="1" customWidth="1"/>
    <col min="5" max="5" width="20.6328125" customWidth="1"/>
  </cols>
  <sheetData>
    <row r="1" spans="1:5" ht="18.5" x14ac:dyDescent="0.35">
      <c r="A1" s="192" t="s">
        <v>4</v>
      </c>
      <c r="B1" s="192"/>
      <c r="C1" s="105"/>
      <c r="D1" s="111"/>
      <c r="E1" s="97"/>
    </row>
    <row r="2" spans="1:5" x14ac:dyDescent="0.35">
      <c r="A2" s="106" t="s">
        <v>5</v>
      </c>
      <c r="B2" s="107" t="str">
        <f ca="1">MID(CELL("filename",A1),FIND("]",CELL("filename",A1))+1,LEN(CELL("filename",A1))-FIND("]",CELL("filename",A1)))</f>
        <v>TC139</v>
      </c>
      <c r="C2" s="98"/>
      <c r="D2" s="111"/>
      <c r="E2" s="97"/>
    </row>
    <row r="3" spans="1:5" x14ac:dyDescent="0.35">
      <c r="A3" s="104" t="s">
        <v>19</v>
      </c>
      <c r="B3" s="112" t="e">
        <f ca="1">VLOOKUP(B2,Table53[#All],2,FALSE)</f>
        <v>#N/A</v>
      </c>
      <c r="C3" s="98"/>
      <c r="D3" s="111"/>
      <c r="E3" s="97"/>
    </row>
    <row r="4" spans="1:5" ht="29" x14ac:dyDescent="0.35">
      <c r="A4" s="113" t="s">
        <v>20</v>
      </c>
      <c r="B4" s="99" t="e">
        <f ca="1">VLOOKUP(B2,Table53[#All],4,FALSE)</f>
        <v>#N/A</v>
      </c>
      <c r="C4" s="98"/>
      <c r="D4" s="111"/>
      <c r="E4" s="97"/>
    </row>
    <row r="5" spans="1:5" x14ac:dyDescent="0.35">
      <c r="A5" s="104" t="s">
        <v>6</v>
      </c>
      <c r="B5" s="77" t="e">
        <f ca="1">VLOOKUP(B2,Table53[#All],3,FALSE)</f>
        <v>#N/A</v>
      </c>
      <c r="C5" s="98"/>
      <c r="D5" s="111"/>
      <c r="E5" s="97"/>
    </row>
    <row r="6" spans="1:5" x14ac:dyDescent="0.35">
      <c r="A6" s="97"/>
      <c r="B6" s="97"/>
      <c r="C6" s="98"/>
      <c r="D6" s="111"/>
      <c r="E6" s="97"/>
    </row>
    <row r="7" spans="1:5" ht="15.5" x14ac:dyDescent="0.35">
      <c r="A7" s="100" t="s">
        <v>7</v>
      </c>
      <c r="B7" s="101" t="s">
        <v>8</v>
      </c>
      <c r="C7" s="102" t="s">
        <v>9</v>
      </c>
      <c r="D7" s="102" t="s">
        <v>14</v>
      </c>
      <c r="E7" s="103" t="s">
        <v>10</v>
      </c>
    </row>
    <row r="8" spans="1:5" x14ac:dyDescent="0.35">
      <c r="A8" s="118">
        <v>1</v>
      </c>
      <c r="B8" s="114" t="s">
        <v>114</v>
      </c>
      <c r="C8" s="109" t="s">
        <v>125</v>
      </c>
      <c r="D8" s="128"/>
      <c r="E8" s="125" t="s">
        <v>11</v>
      </c>
    </row>
    <row r="9" spans="1:5" x14ac:dyDescent="0.35">
      <c r="A9" s="118">
        <v>2</v>
      </c>
      <c r="B9" s="114" t="s">
        <v>12</v>
      </c>
      <c r="C9" s="109" t="e">
        <f>VLOOKUP(Table257519913140106110151155170178186[[#This Row],[PEG]],Table1016[#All],2,FALSE)</f>
        <v>#N/A</v>
      </c>
      <c r="D9" s="128"/>
      <c r="E9" s="125" t="e">
        <f>VLOOKUP(Table257519913140106110151155170178186[[#This Row],[PEG]],Table1016[#All],3,FALSE)</f>
        <v>#N/A</v>
      </c>
    </row>
    <row r="10" spans="1:5" x14ac:dyDescent="0.35">
      <c r="A10" s="118">
        <v>3</v>
      </c>
      <c r="B10" s="114" t="s">
        <v>115</v>
      </c>
      <c r="C10" s="109" t="e">
        <f>VLOOKUP(Table257519913140106110151155170178186[[#This Row],[PEG]],Table1016[#All],2,FALSE)</f>
        <v>#N/A</v>
      </c>
      <c r="D10" s="128"/>
      <c r="E10" s="125" t="e">
        <f>VLOOKUP(Table257519913140106110151155170178186[[#This Row],[PEG]],Table1016[#All],3,FALSE)</f>
        <v>#N/A</v>
      </c>
    </row>
    <row r="11" spans="1:5" x14ac:dyDescent="0.35">
      <c r="A11" s="118">
        <v>4</v>
      </c>
      <c r="B11" s="114" t="s">
        <v>115</v>
      </c>
      <c r="C11" s="109" t="e">
        <f>VLOOKUP(Table257519913140106110151155170178186[[#This Row],[PEG]],Table1016[#All],2,FALSE)</f>
        <v>#N/A</v>
      </c>
      <c r="D11" s="128"/>
      <c r="E11" s="125" t="e">
        <f>VLOOKUP(Table257519913140106110151155170178186[[#This Row],[PEG]],Table1016[#All],3,FALSE)</f>
        <v>#N/A</v>
      </c>
    </row>
    <row r="12" spans="1:5" x14ac:dyDescent="0.35">
      <c r="A12" s="118">
        <v>5</v>
      </c>
      <c r="B12" s="114" t="s">
        <v>114</v>
      </c>
      <c r="C12" s="109" t="e">
        <f>VLOOKUP(Table257519913140106110151155170178186[[#This Row],[PEG]],Table1016[#All],2,FALSE)</f>
        <v>#N/A</v>
      </c>
      <c r="D12" s="128"/>
      <c r="E12" s="125" t="e">
        <f>VLOOKUP(Table257519913140106110151155170178186[[#This Row],[PEG]],Table1016[#All],3,FALSE)</f>
        <v>#N/A</v>
      </c>
    </row>
    <row r="13" spans="1:5" x14ac:dyDescent="0.35">
      <c r="A13" s="118">
        <v>6</v>
      </c>
      <c r="B13" s="114" t="s">
        <v>115</v>
      </c>
      <c r="C13" s="109" t="e">
        <f>VLOOKUP(Table257519913140106110151155170178186[[#This Row],[PEG]],Table1016[#All],2,FALSE)</f>
        <v>#N/A</v>
      </c>
      <c r="D13" s="128"/>
      <c r="E13" s="125" t="e">
        <f>VLOOKUP(Table257519913140106110151155170178186[[#This Row],[PEG]],Table1016[#All],3,FALSE)</f>
        <v>#N/A</v>
      </c>
    </row>
    <row r="14" spans="1:5" x14ac:dyDescent="0.35">
      <c r="A14" s="118">
        <v>7</v>
      </c>
      <c r="B14" s="114" t="s">
        <v>114</v>
      </c>
      <c r="C14" s="109" t="e">
        <f>VLOOKUP(Table257519913140106110151155170178186[[#This Row],[PEG]],Table1016[#All],2,FALSE)</f>
        <v>#N/A</v>
      </c>
      <c r="D14" s="128"/>
      <c r="E14" s="125" t="e">
        <f>VLOOKUP(Table257519913140106110151155170178186[[#This Row],[PEG]],Table1016[#All],3,FALSE)</f>
        <v>#N/A</v>
      </c>
    </row>
    <row r="15" spans="1:5" x14ac:dyDescent="0.35">
      <c r="A15" s="118">
        <v>8</v>
      </c>
      <c r="B15" s="114" t="s">
        <v>115</v>
      </c>
      <c r="C15" s="109" t="e">
        <f>VLOOKUP(Table257519913140106110151155170178186[[#This Row],[PEG]],Table1016[#All],2,FALSE)</f>
        <v>#N/A</v>
      </c>
      <c r="D15" s="116"/>
      <c r="E15" s="125" t="e">
        <f>VLOOKUP(Table257519913140106110151155170178186[[#This Row],[PEG]],Table1016[#All],3,FALSE)</f>
        <v>#N/A</v>
      </c>
    </row>
    <row r="16" spans="1:5" x14ac:dyDescent="0.35">
      <c r="A16" s="118">
        <v>9</v>
      </c>
      <c r="B16" s="114" t="s">
        <v>12</v>
      </c>
      <c r="C16" s="109" t="e">
        <f>VLOOKUP(Table257519913140106110151155170178186[[#This Row],[PEG]],Table1016[#All],2,FALSE)</f>
        <v>#N/A</v>
      </c>
      <c r="D16" s="116"/>
      <c r="E16" s="125" t="e">
        <f>VLOOKUP(Table257519913140106110151155170178186[[#This Row],[PEG]],Table1016[#All],3,FALSE)</f>
        <v>#N/A</v>
      </c>
    </row>
    <row r="17" spans="1:5" x14ac:dyDescent="0.35">
      <c r="A17" s="118">
        <v>10</v>
      </c>
      <c r="B17" s="114" t="s">
        <v>12</v>
      </c>
      <c r="C17" s="109" t="e">
        <f>VLOOKUP(Table257519913140106110151155170178186[[#This Row],[PEG]],Table1016[#All],2,FALSE)</f>
        <v>#N/A</v>
      </c>
      <c r="D17" s="117"/>
      <c r="E17" s="125" t="e">
        <f>VLOOKUP(Table257519913140106110151155170178186[[#This Row],[PEG]],Table1016[#All],3,FALSE)</f>
        <v>#N/A</v>
      </c>
    </row>
    <row r="18" spans="1:5" x14ac:dyDescent="0.35">
      <c r="A18" s="118">
        <v>11</v>
      </c>
      <c r="B18" s="114" t="s">
        <v>115</v>
      </c>
      <c r="C18" s="109" t="e">
        <f>VLOOKUP(Table257519913140106110151155170178186[[#This Row],[PEG]],Table1016[#All],2,FALSE)</f>
        <v>#N/A</v>
      </c>
      <c r="D18" s="117"/>
      <c r="E18" s="125" t="e">
        <f>VLOOKUP(Table257519913140106110151155170178186[[#This Row],[PEG]],Table1016[#All],3,FALSE)</f>
        <v>#N/A</v>
      </c>
    </row>
    <row r="19" spans="1:5" x14ac:dyDescent="0.35">
      <c r="A19" s="118">
        <v>12</v>
      </c>
      <c r="B19" s="114" t="s">
        <v>115</v>
      </c>
      <c r="C19" s="109" t="e">
        <f>VLOOKUP(Table257519913140106110151155170178186[[#This Row],[PEG]],Table1016[#All],2,FALSE)</f>
        <v>#N/A</v>
      </c>
      <c r="D19" s="117"/>
      <c r="E19" s="125" t="e">
        <f>VLOOKUP(Table257519913140106110151155170178186[[#This Row],[PEG]],Table1016[#All],3,FALSE)</f>
        <v>#N/A</v>
      </c>
    </row>
    <row r="20" spans="1:5" x14ac:dyDescent="0.35">
      <c r="A20" s="118">
        <v>13</v>
      </c>
      <c r="B20" s="114" t="s">
        <v>114</v>
      </c>
      <c r="C20" s="109" t="e">
        <f>VLOOKUP(Table257519913140106110151155170178186[[#This Row],[PEG]],Table1016[#All],2,FALSE)</f>
        <v>#N/A</v>
      </c>
      <c r="D20" s="117"/>
      <c r="E20" s="125" t="e">
        <f>VLOOKUP(Table257519913140106110151155170178186[[#This Row],[PEG]],Table1016[#All],3,FALSE)</f>
        <v>#N/A</v>
      </c>
    </row>
    <row r="21" spans="1:5" x14ac:dyDescent="0.35">
      <c r="A21" s="118">
        <v>14</v>
      </c>
      <c r="B21" s="114" t="s">
        <v>12</v>
      </c>
      <c r="C21" s="109" t="e">
        <f>VLOOKUP(Table257519913140106110151155170178186[[#This Row],[PEG]],Table1016[#All],2,FALSE)</f>
        <v>#N/A</v>
      </c>
      <c r="D21" s="117"/>
      <c r="E21" s="125" t="e">
        <f>VLOOKUP(Table257519913140106110151155170178186[[#This Row],[PEG]],Table1016[#All],3,FALSE)</f>
        <v>#N/A</v>
      </c>
    </row>
    <row r="22" spans="1:5" x14ac:dyDescent="0.35">
      <c r="A22" s="118">
        <v>15</v>
      </c>
      <c r="B22" s="114" t="s">
        <v>12</v>
      </c>
      <c r="C22" s="109" t="e">
        <f>VLOOKUP(Table257519913140106110151155170178186[[#This Row],[PEG]],Table1016[#All],2,FALSE)</f>
        <v>#N/A</v>
      </c>
      <c r="D22" s="117"/>
      <c r="E22" s="125" t="e">
        <f>VLOOKUP(Table257519913140106110151155170178186[[#This Row],[PEG]],Table1016[#All],3,FALSE)</f>
        <v>#N/A</v>
      </c>
    </row>
    <row r="23" spans="1:5" x14ac:dyDescent="0.35">
      <c r="A23" s="118">
        <v>16</v>
      </c>
      <c r="B23" s="114" t="s">
        <v>115</v>
      </c>
      <c r="C23" s="109" t="e">
        <f>VLOOKUP(Table257519913140106110151155170178186[[#This Row],[PEG]],Table1016[#All],2,FALSE)</f>
        <v>#N/A</v>
      </c>
      <c r="D23" s="117"/>
      <c r="E23" s="125" t="e">
        <f>VLOOKUP(Table257519913140106110151155170178186[[#This Row],[PEG]],Table1016[#All],3,FALSE)</f>
        <v>#N/A</v>
      </c>
    </row>
    <row r="24" spans="1:5" x14ac:dyDescent="0.35">
      <c r="A24" s="118">
        <v>17</v>
      </c>
      <c r="B24" s="114" t="s">
        <v>114</v>
      </c>
      <c r="C24" s="109" t="e">
        <f>VLOOKUP(Table257519913140106110151155170178186[[#This Row],[PEG]],Table1016[#All],2,FALSE)</f>
        <v>#N/A</v>
      </c>
      <c r="D24" s="117"/>
      <c r="E24" s="125" t="e">
        <f>VLOOKUP(Table257519913140106110151155170178186[[#This Row],[PEG]],Table1016[#All],3,FALSE)</f>
        <v>#N/A</v>
      </c>
    </row>
    <row r="25" spans="1:5" x14ac:dyDescent="0.35">
      <c r="A25" s="118">
        <v>18</v>
      </c>
      <c r="B25" s="114" t="s">
        <v>12</v>
      </c>
      <c r="C25" s="109" t="e">
        <f>VLOOKUP(Table257519913140106110151155170178186[[#This Row],[PEG]],Table1016[#All],2,FALSE)</f>
        <v>#N/A</v>
      </c>
      <c r="D25" s="117"/>
      <c r="E25" s="125" t="e">
        <f>VLOOKUP(Table257519913140106110151155170178186[[#This Row],[PEG]],Table1016[#All],3,FALSE)</f>
        <v>#N/A</v>
      </c>
    </row>
    <row r="26" spans="1:5" x14ac:dyDescent="0.35">
      <c r="A26" s="118">
        <v>19</v>
      </c>
      <c r="B26" s="114" t="s">
        <v>12</v>
      </c>
      <c r="C26" s="109" t="e">
        <f>VLOOKUP(Table257519913140106110151155170178186[[#This Row],[PEG]],Table1016[#All],2,FALSE)</f>
        <v>#N/A</v>
      </c>
      <c r="D26" s="117"/>
      <c r="E26" s="125" t="e">
        <f>VLOOKUP(Table257519913140106110151155170178186[[#This Row],[PEG]],Table1016[#All],3,FALSE)</f>
        <v>#N/A</v>
      </c>
    </row>
    <row r="27" spans="1:5" x14ac:dyDescent="0.35">
      <c r="A27" s="118">
        <v>20</v>
      </c>
      <c r="B27" s="114" t="s">
        <v>115</v>
      </c>
      <c r="C27" s="109" t="e">
        <f>VLOOKUP(Table257519913140106110151155170178186[[#This Row],[PEG]],Table1016[#All],2,FALSE)</f>
        <v>#N/A</v>
      </c>
      <c r="D27" s="117"/>
      <c r="E27" s="125" t="e">
        <f>VLOOKUP(Table257519913140106110151155170178186[[#This Row],[PEG]],Table1016[#All],3,FALSE)</f>
        <v>#N/A</v>
      </c>
    </row>
    <row r="28" spans="1:5" x14ac:dyDescent="0.35">
      <c r="A28" s="118">
        <v>21</v>
      </c>
      <c r="B28" s="114" t="s">
        <v>114</v>
      </c>
      <c r="C28" s="109" t="e">
        <f>VLOOKUP(Table257519913140106110151155170178186[[#This Row],[PEG]],Table1016[#All],2,FALSE)</f>
        <v>#N/A</v>
      </c>
      <c r="D28" s="117"/>
      <c r="E28" s="125" t="e">
        <f>VLOOKUP(Table257519913140106110151155170178186[[#This Row],[PEG]],Table1016[#All],3,FALSE)</f>
        <v>#N/A</v>
      </c>
    </row>
    <row r="29" spans="1:5" x14ac:dyDescent="0.35">
      <c r="A29" s="118">
        <v>22</v>
      </c>
      <c r="B29" s="114" t="s">
        <v>12</v>
      </c>
      <c r="C29" s="109" t="e">
        <f>VLOOKUP(Table257519913140106110151155170178186[[#This Row],[PEG]],Table1016[#All],2,FALSE)</f>
        <v>#N/A</v>
      </c>
      <c r="D29" s="117"/>
      <c r="E29" s="125" t="e">
        <f>VLOOKUP(Table257519913140106110151155170178186[[#This Row],[PEG]],Table1016[#All],3,FALSE)</f>
        <v>#N/A</v>
      </c>
    </row>
    <row r="30" spans="1:5" x14ac:dyDescent="0.35">
      <c r="A30" s="118">
        <v>23</v>
      </c>
      <c r="B30" s="114" t="s">
        <v>12</v>
      </c>
      <c r="C30" s="109" t="e">
        <f>VLOOKUP(Table257519913140106110151155170178186[[#This Row],[PEG]],Table1016[#All],2,FALSE)</f>
        <v>#N/A</v>
      </c>
      <c r="D30" s="117"/>
      <c r="E30" s="125" t="e">
        <f>VLOOKUP(Table257519913140106110151155170178186[[#This Row],[PEG]],Table1016[#All],3,FALSE)</f>
        <v>#N/A</v>
      </c>
    </row>
    <row r="31" spans="1:5" x14ac:dyDescent="0.35">
      <c r="A31" s="118">
        <v>24</v>
      </c>
      <c r="B31" s="114" t="s">
        <v>115</v>
      </c>
      <c r="C31" s="109" t="e">
        <f>VLOOKUP(Table257519913140106110151155170178186[[#This Row],[PEG]],Table1016[#All],2,FALSE)</f>
        <v>#N/A</v>
      </c>
      <c r="D31" s="117"/>
      <c r="E31" s="125" t="e">
        <f>VLOOKUP(Table257519913140106110151155170178186[[#This Row],[PEG]],Table1016[#All],3,FALSE)</f>
        <v>#N/A</v>
      </c>
    </row>
    <row r="32" spans="1:5" x14ac:dyDescent="0.35">
      <c r="A32" s="118">
        <v>25</v>
      </c>
      <c r="B32" s="114" t="s">
        <v>115</v>
      </c>
      <c r="C32" s="109" t="e">
        <f>VLOOKUP(Table257519913140106110151155170178186[[#This Row],[PEG]],Table1016[#All],2,FALSE)</f>
        <v>#N/A</v>
      </c>
      <c r="D32" s="117"/>
      <c r="E32" s="125" t="e">
        <f>VLOOKUP(Table257519913140106110151155170178186[[#This Row],[PEG]],Table1016[#All],3,FALSE)</f>
        <v>#N/A</v>
      </c>
    </row>
    <row r="33" spans="1:5" x14ac:dyDescent="0.35">
      <c r="A33" s="118">
        <v>26</v>
      </c>
      <c r="B33" s="114" t="s">
        <v>124</v>
      </c>
      <c r="C33" s="109" t="e">
        <f>VLOOKUP(Table257519913140106110151155170178186[[#This Row],[PEG]],Table1016[#All],2,FALSE)</f>
        <v>#N/A</v>
      </c>
      <c r="D33" s="117"/>
      <c r="E33" s="125" t="e">
        <f>VLOOKUP(Table257519913140106110151155170178186[[#This Row],[PEG]],Table1016[#All],3,FALSE)</f>
        <v>#N/A</v>
      </c>
    </row>
    <row r="34" spans="1:5" x14ac:dyDescent="0.35">
      <c r="A34" s="118">
        <v>27</v>
      </c>
      <c r="B34" s="114" t="s">
        <v>115</v>
      </c>
      <c r="C34" s="109" t="e">
        <f>VLOOKUP(Table257519913140106110151155170178186[[#This Row],[PEG]],Table1016[#All],2,FALSE)</f>
        <v>#N/A</v>
      </c>
      <c r="D34" s="117"/>
      <c r="E34" s="125" t="e">
        <f>VLOOKUP(Table257519913140106110151155170178186[[#This Row],[PEG]],Table1016[#All],3,FALSE)</f>
        <v>#N/A</v>
      </c>
    </row>
    <row r="35" spans="1:5" x14ac:dyDescent="0.35">
      <c r="A35" s="118">
        <v>28</v>
      </c>
      <c r="B35" s="114" t="s">
        <v>124</v>
      </c>
      <c r="C35" s="109" t="e">
        <f>VLOOKUP(Table257519913140106110151155170178186[[#This Row],[PEG]],Table1016[#All],2,FALSE)</f>
        <v>#N/A</v>
      </c>
      <c r="D35" s="117"/>
      <c r="E35" s="125" t="e">
        <f>VLOOKUP(Table257519913140106110151155170178186[[#This Row],[PEG]],Table1016[#All],3,FALSE)</f>
        <v>#N/A</v>
      </c>
    </row>
    <row r="36" spans="1:5" x14ac:dyDescent="0.35">
      <c r="A36" s="118">
        <v>29</v>
      </c>
      <c r="B36" s="114" t="s">
        <v>115</v>
      </c>
      <c r="C36" s="109" t="e">
        <f>VLOOKUP(Table257519913140106110151155170178186[[#This Row],[PEG]],Table1016[#All],2,FALSE)</f>
        <v>#N/A</v>
      </c>
      <c r="D36" s="117"/>
      <c r="E36" s="125" t="e">
        <f>VLOOKUP(Table257519913140106110151155170178186[[#This Row],[PEG]],Table1016[#All],3,FALSE)</f>
        <v>#N/A</v>
      </c>
    </row>
    <row r="37" spans="1:5" x14ac:dyDescent="0.35">
      <c r="A37" s="118">
        <v>30</v>
      </c>
      <c r="B37" s="114" t="s">
        <v>12</v>
      </c>
      <c r="C37" s="109" t="e">
        <f>VLOOKUP(Table257519913140106110151155170178186[[#This Row],[PEG]],Table1016[#All],2,FALSE)</f>
        <v>#N/A</v>
      </c>
      <c r="D37" s="117"/>
      <c r="E37" s="125" t="e">
        <f>VLOOKUP(Table257519913140106110151155170178186[[#This Row],[PEG]],Table1016[#All],3,FALSE)</f>
        <v>#N/A</v>
      </c>
    </row>
    <row r="38" spans="1:5" x14ac:dyDescent="0.35">
      <c r="A38" s="118">
        <v>31</v>
      </c>
      <c r="B38" s="114" t="s">
        <v>12</v>
      </c>
      <c r="C38" s="109" t="e">
        <f>VLOOKUP(Table257519913140106110151155170178186[[#This Row],[PEG]],Table1016[#All],2,FALSE)</f>
        <v>#N/A</v>
      </c>
      <c r="D38" s="117"/>
      <c r="E38" s="125" t="e">
        <f>VLOOKUP(Table257519913140106110151155170178186[[#This Row],[PEG]],Table1016[#All],3,FALSE)</f>
        <v>#N/A</v>
      </c>
    </row>
    <row r="39" spans="1:5" x14ac:dyDescent="0.35">
      <c r="A39" s="118">
        <v>32</v>
      </c>
      <c r="B39" s="114" t="s">
        <v>12</v>
      </c>
      <c r="C39" s="109" t="e">
        <f>VLOOKUP(Table257519913140106110151155170178186[[#This Row],[PEG]],Table1016[#All],2,FALSE)</f>
        <v>#N/A</v>
      </c>
      <c r="D39" s="117"/>
      <c r="E39" s="125" t="e">
        <f>VLOOKUP(Table257519913140106110151155170178186[[#This Row],[PEG]],Table1016[#All],3,FALSE)</f>
        <v>#N/A</v>
      </c>
    </row>
    <row r="40" spans="1:5" x14ac:dyDescent="0.35">
      <c r="A40" s="118">
        <v>33</v>
      </c>
      <c r="B40" s="114" t="s">
        <v>12</v>
      </c>
      <c r="C40" s="109" t="e">
        <f>VLOOKUP(Table257519913140106110151155170178186[[#This Row],[PEG]],Table1016[#All],2,FALSE)</f>
        <v>#N/A</v>
      </c>
      <c r="D40" s="117"/>
      <c r="E40" s="125" t="e">
        <f>VLOOKUP(Table257519913140106110151155170178186[[#This Row],[PEG]],Table1016[#All],3,FALSE)</f>
        <v>#N/A</v>
      </c>
    </row>
    <row r="41" spans="1:5" x14ac:dyDescent="0.35">
      <c r="A41" s="118">
        <v>34</v>
      </c>
      <c r="B41" s="114" t="s">
        <v>115</v>
      </c>
      <c r="C41" s="109" t="e">
        <f>VLOOKUP(Table257519913140106110151155170178186[[#This Row],[PEG]],Table1016[#All],2,FALSE)</f>
        <v>#N/A</v>
      </c>
      <c r="D41" s="117"/>
      <c r="E41" s="125" t="e">
        <f>VLOOKUP(Table257519913140106110151155170178186[[#This Row],[PEG]],Table1016[#All],3,FALSE)</f>
        <v>#N/A</v>
      </c>
    </row>
    <row r="42" spans="1:5" x14ac:dyDescent="0.35">
      <c r="A42" s="118">
        <v>35</v>
      </c>
      <c r="B42" s="114" t="s">
        <v>12</v>
      </c>
      <c r="C42" s="109" t="e">
        <f>VLOOKUP(Table257519913140106110151155170178186[[#This Row],[PEG]],Table1016[#All],2,FALSE)</f>
        <v>#N/A</v>
      </c>
      <c r="D42" s="115"/>
      <c r="E42" s="125" t="e">
        <f>VLOOKUP(Table257519913140106110151155170178186[[#This Row],[PEG]],Table1016[#All],3,FALSE)</f>
        <v>#N/A</v>
      </c>
    </row>
    <row r="43" spans="1:5" x14ac:dyDescent="0.35">
      <c r="A43" s="118">
        <v>36</v>
      </c>
      <c r="B43" s="114" t="s">
        <v>115</v>
      </c>
      <c r="C43" s="109" t="e">
        <f>VLOOKUP(Table257519913140106110151155170178186[[#This Row],[PEG]],Table1016[#All],2,FALSE)</f>
        <v>#N/A</v>
      </c>
      <c r="D43" s="115"/>
      <c r="E43" s="125" t="e">
        <f>VLOOKUP(Table257519913140106110151155170178186[[#This Row],[PEG]],Table1016[#All],3,FALSE)</f>
        <v>#N/A</v>
      </c>
    </row>
    <row r="44" spans="1:5" x14ac:dyDescent="0.35">
      <c r="A44" s="118">
        <v>37</v>
      </c>
      <c r="B44" s="114" t="s">
        <v>13</v>
      </c>
      <c r="C44" s="18" t="s">
        <v>13</v>
      </c>
      <c r="D44" s="115"/>
      <c r="E44" s="32"/>
    </row>
  </sheetData>
  <mergeCells count="1">
    <mergeCell ref="A1:B1"/>
  </mergeCells>
  <conditionalFormatting sqref="B8:B18">
    <cfRule type="containsText" dxfId="1245" priority="1" operator="containsText" text="Hear">
      <formula>NOT(ISERROR(SEARCH("Hear",B8)))</formula>
    </cfRule>
  </conditionalFormatting>
  <conditionalFormatting sqref="B30">
    <cfRule type="containsText" dxfId="1244" priority="4" operator="containsText" text="Hear">
      <formula>NOT(ISERROR(SEARCH("Hear",B30)))</formula>
    </cfRule>
  </conditionalFormatting>
  <conditionalFormatting sqref="B43:B44">
    <cfRule type="containsText" dxfId="1243" priority="8" operator="containsText" text="Hear">
      <formula>NOT(ISERROR(SEARCH("Hear",B43)))</formula>
    </cfRule>
  </conditionalFormatting>
  <conditionalFormatting sqref="E44">
    <cfRule type="containsText" dxfId="1242" priority="6" operator="containsText" text="WEB SERVICE">
      <formula>NOT(ISERROR(SEARCH("WEB SERVICE",E44)))</formula>
    </cfRule>
    <cfRule type="containsText" dxfId="1241" priority="7" operator="containsText" text="DB">
      <formula>NOT(ISERROR(SEARCH("DB",E44)))</formula>
    </cfRule>
  </conditionalFormatting>
  <conditionalFormatting sqref="C44">
    <cfRule type="expression" dxfId="1240" priority="9">
      <formula>$B44="HANGUP"</formula>
    </cfRule>
    <cfRule type="expression" dxfId="1239" priority="9">
      <formula>$B44="Dial"</formula>
    </cfRule>
  </conditionalFormatting>
  <conditionalFormatting sqref="C44">
    <cfRule type="expression" dxfId="1238" priority="3">
      <formula>$B44="Speak"</formula>
    </cfRule>
  </conditionalFormatting>
  <conditionalFormatting sqref="B36:B38 B40:B41">
    <cfRule type="containsText" dxfId="1237" priority="2" operator="containsText" text="Hear">
      <formula>NOT(ISERROR(SEARCH("Hear",B36)))</formula>
    </cfRule>
  </conditionalFormatting>
  <conditionalFormatting sqref="B19:B29 B31:B35 B42">
    <cfRule type="containsText" dxfId="1236" priority="5" operator="containsText" text="Hear">
      <formula>NOT(ISERROR(SEARCH("Hear",B19)))</formula>
    </cfRule>
  </conditionalFormatting>
  <hyperlinks>
    <hyperlink ref="A1" location="'Test Case Overview'!A1" display="Return to Test Case Overview" xr:uid="{E95AF3E7-2600-4116-B3F8-B050B3ECF884}"/>
  </hyperlinks>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expression" priority="10" id="{63855DAE-DD19-4E58-A210-17CE0FDDED50}">
            <xm:f>'TC1'!$B8="Dial"</xm:f>
            <x14:dxf>
              <font>
                <b/>
                <i val="0"/>
                <color rgb="FFFF0000"/>
              </font>
            </x14:dxf>
          </x14:cfRule>
          <x14:cfRule type="expression" priority="10" id="{75D75DEB-4125-4726-A4C7-13AA0E2D4A46}">
            <xm:f>'TC1'!$B8="HANGUP"</xm:f>
            <x14:dxf>
              <font>
                <b/>
                <i val="0"/>
              </font>
            </x14:dxf>
          </x14:cfRule>
          <xm:sqref>C8</xm:sqref>
        </x14:conditionalFormatting>
        <x14:conditionalFormatting xmlns:xm="http://schemas.microsoft.com/office/excel/2006/main">
          <x14:cfRule type="expression" priority="11" id="{9667B622-9884-408F-9B3C-62C5D5C236FE}">
            <xm:f>'TC1'!$B8="Speak"</xm:f>
            <x14:dxf>
              <font>
                <b/>
                <i val="0"/>
                <color rgb="FFFF0000"/>
              </font>
            </x14:dxf>
          </x14:cfRule>
          <xm:sqref>C8</xm:sqref>
        </x14:conditionalFormatting>
        <x14:conditionalFormatting xmlns:xm="http://schemas.microsoft.com/office/excel/2006/main">
          <x14:cfRule type="containsText" priority="14" operator="containsText" text="Hear" id="{8B89FF06-6391-408E-98B7-2486D869DC87}">
            <xm:f>NOT(ISERROR(SEARCH("Hear",'TC3'!B34)))</xm:f>
            <x14:dxf>
              <font>
                <color theme="9" tint="-0.24994659260841701"/>
              </font>
              <fill>
                <patternFill>
                  <bgColor theme="9" tint="0.59996337778862885"/>
                </patternFill>
              </fill>
            </x14:dxf>
          </x14:cfRule>
          <xm:sqref>B41</xm:sqref>
        </x14:conditionalFormatting>
        <x14:conditionalFormatting xmlns:xm="http://schemas.microsoft.com/office/excel/2006/main">
          <x14:cfRule type="expression" priority="3043" id="{63855DAE-DD19-4E58-A210-17CE0FDDED50}">
            <xm:f>'TC1'!$B16="Dial"</xm:f>
            <x14:dxf>
              <font>
                <b/>
                <i val="0"/>
                <color rgb="FFFF0000"/>
              </font>
            </x14:dxf>
          </x14:cfRule>
          <x14:cfRule type="expression" priority="3044" id="{75D75DEB-4125-4726-A4C7-13AA0E2D4A46}">
            <xm:f>'TC1'!$B16="HANGUP"</xm:f>
            <x14:dxf>
              <font>
                <b/>
                <i val="0"/>
              </font>
            </x14:dxf>
          </x14:cfRule>
          <xm:sqref>C34:C43</xm:sqref>
        </x14:conditionalFormatting>
        <x14:conditionalFormatting xmlns:xm="http://schemas.microsoft.com/office/excel/2006/main">
          <x14:cfRule type="expression" priority="3045" id="{63855DAE-DD19-4E58-A210-17CE0FDDED50}">
            <xm:f>'TC1'!#REF!="Dial"</xm:f>
            <x14:dxf>
              <font>
                <b/>
                <i val="0"/>
                <color rgb="FFFF0000"/>
              </font>
            </x14:dxf>
          </x14:cfRule>
          <x14:cfRule type="expression" priority="3046" id="{75D75DEB-4125-4726-A4C7-13AA0E2D4A46}">
            <xm:f>'TC1'!#REF!="HANGUP"</xm:f>
            <x14:dxf>
              <font>
                <b/>
                <i val="0"/>
              </font>
            </x14:dxf>
          </x14:cfRule>
          <xm:sqref>C17:C33</xm:sqref>
        </x14:conditionalFormatting>
        <x14:conditionalFormatting xmlns:xm="http://schemas.microsoft.com/office/excel/2006/main">
          <x14:cfRule type="expression" priority="3050" id="{9667B622-9884-408F-9B3C-62C5D5C236FE}">
            <xm:f>'TC1'!$B16="Speak"</xm:f>
            <x14:dxf>
              <font>
                <b/>
                <i val="0"/>
                <color rgb="FFFF0000"/>
              </font>
            </x14:dxf>
          </x14:cfRule>
          <xm:sqref>C34:C43</xm:sqref>
        </x14:conditionalFormatting>
        <x14:conditionalFormatting xmlns:xm="http://schemas.microsoft.com/office/excel/2006/main">
          <x14:cfRule type="expression" priority="3051" id="{9667B622-9884-408F-9B3C-62C5D5C236FE}">
            <xm:f>'TC1'!#REF!="Speak"</xm:f>
            <x14:dxf>
              <font>
                <b/>
                <i val="0"/>
                <color rgb="FFFF0000"/>
              </font>
            </x14:dxf>
          </x14:cfRule>
          <xm:sqref>C17:C33</xm:sqref>
        </x14:conditionalFormatting>
        <x14:conditionalFormatting xmlns:xm="http://schemas.microsoft.com/office/excel/2006/main">
          <x14:cfRule type="containsText" priority="3055" operator="containsText" text="DB" id="{CDB50CF6-C701-4128-8A39-006320A2AF2E}">
            <xm:f>NOT(ISERROR(SEARCH("DB",'TC1'!E16)))</xm:f>
            <x14:dxf>
              <font>
                <color rgb="FF006100"/>
              </font>
              <fill>
                <patternFill>
                  <bgColor rgb="FFC6EFCE"/>
                </patternFill>
              </fill>
            </x14:dxf>
          </x14:cfRule>
          <x14:cfRule type="containsText" priority="3056" operator="containsText" text="WEB SERVICE" id="{99933C97-45EB-4E21-A19C-75EBC6BFA91F}">
            <xm:f>NOT(ISERROR(SEARCH("WEB SERVICE",'TC1'!E16)))</xm:f>
            <x14:dxf>
              <font>
                <color rgb="FF9C0006"/>
              </font>
              <fill>
                <patternFill>
                  <bgColor rgb="FFFFC7CE"/>
                </patternFill>
              </fill>
            </x14:dxf>
          </x14:cfRule>
          <xm:sqref>E34:E43</xm:sqref>
        </x14:conditionalFormatting>
        <x14:conditionalFormatting xmlns:xm="http://schemas.microsoft.com/office/excel/2006/main">
          <x14:cfRule type="containsText" priority="3057" operator="containsText" text="DB" id="{CDB50CF6-C701-4128-8A39-006320A2AF2E}">
            <xm:f>NOT(ISERROR(SEARCH("DB",'TC1'!#REF!)))</xm:f>
            <x14:dxf>
              <font>
                <color rgb="FF006100"/>
              </font>
              <fill>
                <patternFill>
                  <bgColor rgb="FFC6EFCE"/>
                </patternFill>
              </fill>
            </x14:dxf>
          </x14:cfRule>
          <x14:cfRule type="containsText" priority="3058" operator="containsText" text="WEB SERVICE" id="{99933C97-45EB-4E21-A19C-75EBC6BFA91F}">
            <xm:f>NOT(ISERROR(SEARCH("WEB SERVICE",'TC1'!#REF!)))</xm:f>
            <x14:dxf>
              <font>
                <color rgb="FF9C0006"/>
              </font>
              <fill>
                <patternFill>
                  <bgColor rgb="FFFFC7CE"/>
                </patternFill>
              </fill>
            </x14:dxf>
          </x14:cfRule>
          <xm:sqref>E17:E33</xm:sqref>
        </x14:conditionalFormatting>
        <x14:conditionalFormatting xmlns:xm="http://schemas.microsoft.com/office/excel/2006/main">
          <x14:cfRule type="expression" priority="5677" id="{63855DAE-DD19-4E58-A210-17CE0FDDED50}">
            <xm:f>'TC1'!$B9="Dial"</xm:f>
            <x14:dxf>
              <font>
                <b/>
                <i val="0"/>
                <color rgb="FFFF0000"/>
              </font>
            </x14:dxf>
          </x14:cfRule>
          <x14:cfRule type="expression" priority="5678" id="{75D75DEB-4125-4726-A4C7-13AA0E2D4A46}">
            <xm:f>'TC1'!$B9="HANGUP"</xm:f>
            <x14:dxf>
              <font>
                <b/>
                <i val="0"/>
              </font>
            </x14:dxf>
          </x14:cfRule>
          <xm:sqref>C12:C15</xm:sqref>
        </x14:conditionalFormatting>
        <x14:conditionalFormatting xmlns:xm="http://schemas.microsoft.com/office/excel/2006/main">
          <x14:cfRule type="expression" priority="5679" id="{63855DAE-DD19-4E58-A210-17CE0FDDED50}">
            <xm:f>'TC1'!#REF!="Dial"</xm:f>
            <x14:dxf>
              <font>
                <b/>
                <i val="0"/>
                <color rgb="FFFF0000"/>
              </font>
            </x14:dxf>
          </x14:cfRule>
          <x14:cfRule type="expression" priority="5680" id="{75D75DEB-4125-4726-A4C7-13AA0E2D4A46}">
            <xm:f>'TC1'!#REF!="HANGUP"</xm:f>
            <x14:dxf>
              <font>
                <b/>
                <i val="0"/>
              </font>
            </x14:dxf>
          </x14:cfRule>
          <xm:sqref>C9:C11</xm:sqref>
        </x14:conditionalFormatting>
        <x14:conditionalFormatting xmlns:xm="http://schemas.microsoft.com/office/excel/2006/main">
          <x14:cfRule type="expression" priority="5684" id="{9667B622-9884-408F-9B3C-62C5D5C236FE}">
            <xm:f>'TC1'!$B9="Speak"</xm:f>
            <x14:dxf>
              <font>
                <b/>
                <i val="0"/>
                <color rgb="FFFF0000"/>
              </font>
            </x14:dxf>
          </x14:cfRule>
          <xm:sqref>C12:C15</xm:sqref>
        </x14:conditionalFormatting>
        <x14:conditionalFormatting xmlns:xm="http://schemas.microsoft.com/office/excel/2006/main">
          <x14:cfRule type="expression" priority="5685" id="{9667B622-9884-408F-9B3C-62C5D5C236FE}">
            <xm:f>'TC1'!#REF!="Speak"</xm:f>
            <x14:dxf>
              <font>
                <b/>
                <i val="0"/>
                <color rgb="FFFF0000"/>
              </font>
            </x14:dxf>
          </x14:cfRule>
          <xm:sqref>C9:C11</xm:sqref>
        </x14:conditionalFormatting>
        <x14:conditionalFormatting xmlns:xm="http://schemas.microsoft.com/office/excel/2006/main">
          <x14:cfRule type="containsText" priority="5687" operator="containsText" text="DB" id="{CDB50CF6-C701-4128-8A39-006320A2AF2E}">
            <xm:f>NOT(ISERROR(SEARCH("DB",'TC1'!#REF!)))</xm:f>
            <x14:dxf>
              <font>
                <color rgb="FF006100"/>
              </font>
              <fill>
                <patternFill>
                  <bgColor rgb="FFC6EFCE"/>
                </patternFill>
              </fill>
            </x14:dxf>
          </x14:cfRule>
          <x14:cfRule type="containsText" priority="5688" operator="containsText" text="WEB SERVICE" id="{99933C97-45EB-4E21-A19C-75EBC6BFA91F}">
            <xm:f>NOT(ISERROR(SEARCH("WEB SERVICE",'TC1'!#REF!)))</xm:f>
            <x14:dxf>
              <font>
                <color rgb="FF9C0006"/>
              </font>
              <fill>
                <patternFill>
                  <bgColor rgb="FFFFC7CE"/>
                </patternFill>
              </fill>
            </x14:dxf>
          </x14:cfRule>
          <xm:sqref>E9:E11</xm:sqref>
        </x14:conditionalFormatting>
        <x14:conditionalFormatting xmlns:xm="http://schemas.microsoft.com/office/excel/2006/main">
          <x14:cfRule type="containsText" priority="5689" operator="containsText" text="DB" id="{CDB50CF6-C701-4128-8A39-006320A2AF2E}">
            <xm:f>NOT(ISERROR(SEARCH("DB",'TC1'!E9)))</xm:f>
            <x14:dxf>
              <font>
                <color rgb="FF006100"/>
              </font>
              <fill>
                <patternFill>
                  <bgColor rgb="FFC6EFCE"/>
                </patternFill>
              </fill>
            </x14:dxf>
          </x14:cfRule>
          <x14:cfRule type="containsText" priority="5690" operator="containsText" text="WEB SERVICE" id="{99933C97-45EB-4E21-A19C-75EBC6BFA91F}">
            <xm:f>NOT(ISERROR(SEARCH("WEB SERVICE",'TC1'!E9)))</xm:f>
            <x14:dxf>
              <font>
                <color rgb="FF9C0006"/>
              </font>
              <fill>
                <patternFill>
                  <bgColor rgb="FFFFC7CE"/>
                </patternFill>
              </fill>
            </x14:dxf>
          </x14:cfRule>
          <xm:sqref>E12:E15</xm:sqref>
        </x14:conditionalFormatting>
        <x14:conditionalFormatting xmlns:xm="http://schemas.microsoft.com/office/excel/2006/main">
          <x14:cfRule type="expression" priority="7910" id="{63855DAE-DD19-4E58-A210-17CE0FDDED50}">
            <xm:f>'TC1'!$B15="Dial"</xm:f>
            <x14:dxf>
              <font>
                <b/>
                <i val="0"/>
                <color rgb="FFFF0000"/>
              </font>
            </x14:dxf>
          </x14:cfRule>
          <x14:cfRule type="expression" priority="7911" id="{75D75DEB-4125-4726-A4C7-13AA0E2D4A46}">
            <xm:f>'TC1'!$B15="HANGUP"</xm:f>
            <x14:dxf>
              <font>
                <b/>
                <i val="0"/>
              </font>
            </x14:dxf>
          </x14:cfRule>
          <xm:sqref>C16</xm:sqref>
        </x14:conditionalFormatting>
        <x14:conditionalFormatting xmlns:xm="http://schemas.microsoft.com/office/excel/2006/main">
          <x14:cfRule type="expression" priority="7913" id="{9667B622-9884-408F-9B3C-62C5D5C236FE}">
            <xm:f>'TC1'!$B15="Speak"</xm:f>
            <x14:dxf>
              <font>
                <b/>
                <i val="0"/>
                <color rgb="FFFF0000"/>
              </font>
            </x14:dxf>
          </x14:cfRule>
          <xm:sqref>C16</xm:sqref>
        </x14:conditionalFormatting>
        <x14:conditionalFormatting xmlns:xm="http://schemas.microsoft.com/office/excel/2006/main">
          <x14:cfRule type="containsText" priority="7916" operator="containsText" text="DB" id="{CDB50CF6-C701-4128-8A39-006320A2AF2E}">
            <xm:f>NOT(ISERROR(SEARCH("DB",'TC1'!E15)))</xm:f>
            <x14:dxf>
              <font>
                <color rgb="FF006100"/>
              </font>
              <fill>
                <patternFill>
                  <bgColor rgb="FFC6EFCE"/>
                </patternFill>
              </fill>
            </x14:dxf>
          </x14:cfRule>
          <x14:cfRule type="containsText" priority="7917" operator="containsText" text="WEB SERVICE" id="{99933C97-45EB-4E21-A19C-75EBC6BFA91F}">
            <xm:f>NOT(ISERROR(SEARCH("WEB SERVICE",'TC1'!E15)))</xm:f>
            <x14:dxf>
              <font>
                <color rgb="FF9C0006"/>
              </font>
              <fill>
                <patternFill>
                  <bgColor rgb="FFFFC7CE"/>
                </patternFill>
              </fill>
            </x14:dxf>
          </x14:cfRule>
          <xm:sqref>E16</xm:sqref>
        </x14:conditionalFormatting>
        <x14:conditionalFormatting xmlns:xm="http://schemas.microsoft.com/office/excel/2006/main">
          <x14:cfRule type="containsText" priority="10614" operator="containsText" text="Hear" id="{4125279C-0C23-47FD-9450-F0562FAAE693}">
            <xm:f>NOT(ISERROR(SEARCH("Hear",'TC26'!#REF!)))</xm:f>
            <x14:dxf>
              <font>
                <color theme="9" tint="-0.24994659260841701"/>
              </font>
              <fill>
                <patternFill>
                  <bgColor theme="9" tint="0.59996337778862885"/>
                </patternFill>
              </fill>
            </x14:dxf>
          </x14:cfRule>
          <xm:sqref>B39</xm:sqref>
        </x14:conditionalFormatting>
      </x14:conditionalFormattings>
    </ext>
  </extLst>
</worksheet>
</file>

<file path=xl/worksheets/sheet1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C00-000000000000}">
  <sheetPr codeName="Sheet142"/>
  <dimension ref="A1:E44"/>
  <sheetViews>
    <sheetView zoomScaleNormal="100" workbookViewId="0">
      <selection sqref="A1:E44"/>
    </sheetView>
  </sheetViews>
  <sheetFormatPr defaultRowHeight="14.5" x14ac:dyDescent="0.35"/>
  <cols>
    <col min="1" max="1" width="14.453125" bestFit="1" customWidth="1"/>
    <col min="2" max="2" width="42.6328125" customWidth="1"/>
    <col min="3" max="3" width="106.1796875" customWidth="1"/>
    <col min="4" max="4" width="21.81640625" bestFit="1" customWidth="1"/>
    <col min="5" max="5" width="20.6328125" customWidth="1"/>
  </cols>
  <sheetData>
    <row r="1" spans="1:5" ht="18.5" x14ac:dyDescent="0.35">
      <c r="A1" s="192" t="s">
        <v>4</v>
      </c>
      <c r="B1" s="192"/>
      <c r="C1" s="105"/>
      <c r="D1" s="111"/>
      <c r="E1" s="97"/>
    </row>
    <row r="2" spans="1:5" x14ac:dyDescent="0.35">
      <c r="A2" s="106" t="s">
        <v>5</v>
      </c>
      <c r="B2" s="107" t="str">
        <f ca="1">MID(CELL("filename",A1),FIND("]",CELL("filename",A1))+1,LEN(CELL("filename",A1))-FIND("]",CELL("filename",A1)))</f>
        <v>TC140</v>
      </c>
      <c r="C2" s="98"/>
      <c r="D2" s="111"/>
      <c r="E2" s="97"/>
    </row>
    <row r="3" spans="1:5" x14ac:dyDescent="0.35">
      <c r="A3" s="104" t="s">
        <v>19</v>
      </c>
      <c r="B3" s="112" t="e">
        <f ca="1">VLOOKUP(B2,Table53[#All],2,FALSE)</f>
        <v>#N/A</v>
      </c>
      <c r="C3" s="98"/>
      <c r="D3" s="111"/>
      <c r="E3" s="97"/>
    </row>
    <row r="4" spans="1:5" ht="29" x14ac:dyDescent="0.35">
      <c r="A4" s="113" t="s">
        <v>20</v>
      </c>
      <c r="B4" s="99" t="e">
        <f ca="1">VLOOKUP(B2,Table53[#All],4,FALSE)</f>
        <v>#N/A</v>
      </c>
      <c r="C4" s="98"/>
      <c r="D4" s="111"/>
      <c r="E4" s="97"/>
    </row>
    <row r="5" spans="1:5" x14ac:dyDescent="0.35">
      <c r="A5" s="104" t="s">
        <v>6</v>
      </c>
      <c r="B5" s="77" t="e">
        <f ca="1">VLOOKUP(B2,Table53[#All],3,FALSE)</f>
        <v>#N/A</v>
      </c>
      <c r="C5" s="98"/>
      <c r="D5" s="111"/>
      <c r="E5" s="97"/>
    </row>
    <row r="6" spans="1:5" x14ac:dyDescent="0.35">
      <c r="A6" s="97"/>
      <c r="B6" s="97"/>
      <c r="C6" s="98"/>
      <c r="D6" s="111"/>
      <c r="E6" s="97"/>
    </row>
    <row r="7" spans="1:5" ht="15.5" x14ac:dyDescent="0.35">
      <c r="A7" s="100" t="s">
        <v>7</v>
      </c>
      <c r="B7" s="101" t="s">
        <v>8</v>
      </c>
      <c r="C7" s="102" t="s">
        <v>9</v>
      </c>
      <c r="D7" s="102" t="s">
        <v>14</v>
      </c>
      <c r="E7" s="103" t="s">
        <v>10</v>
      </c>
    </row>
    <row r="8" spans="1:5" x14ac:dyDescent="0.35">
      <c r="A8" s="118">
        <v>1</v>
      </c>
      <c r="B8" s="114" t="s">
        <v>114</v>
      </c>
      <c r="C8" s="109" t="s">
        <v>125</v>
      </c>
      <c r="D8" s="128"/>
      <c r="E8" s="125" t="s">
        <v>11</v>
      </c>
    </row>
    <row r="9" spans="1:5" x14ac:dyDescent="0.35">
      <c r="A9" s="118">
        <v>2</v>
      </c>
      <c r="B9" s="114" t="s">
        <v>12</v>
      </c>
      <c r="C9" s="109" t="e">
        <f>VLOOKUP(Table257519913140106110151155170178188[[#This Row],[PEG]],Table1016[#All],2,FALSE)</f>
        <v>#N/A</v>
      </c>
      <c r="D9" s="128"/>
      <c r="E9" s="125" t="e">
        <f>VLOOKUP(Table257519913140106110151155170178188[[#This Row],[PEG]],Table1016[#All],3,FALSE)</f>
        <v>#N/A</v>
      </c>
    </row>
    <row r="10" spans="1:5" x14ac:dyDescent="0.35">
      <c r="A10" s="118">
        <v>3</v>
      </c>
      <c r="B10" s="114" t="s">
        <v>115</v>
      </c>
      <c r="C10" s="109" t="e">
        <f>VLOOKUP(Table257519913140106110151155170178188[[#This Row],[PEG]],Table1016[#All],2,FALSE)</f>
        <v>#N/A</v>
      </c>
      <c r="D10" s="128"/>
      <c r="E10" s="125" t="e">
        <f>VLOOKUP(Table257519913140106110151155170178188[[#This Row],[PEG]],Table1016[#All],3,FALSE)</f>
        <v>#N/A</v>
      </c>
    </row>
    <row r="11" spans="1:5" x14ac:dyDescent="0.35">
      <c r="A11" s="118">
        <v>4</v>
      </c>
      <c r="B11" s="114" t="s">
        <v>115</v>
      </c>
      <c r="C11" s="109" t="e">
        <f>VLOOKUP(Table257519913140106110151155170178188[[#This Row],[PEG]],Table1016[#All],2,FALSE)</f>
        <v>#N/A</v>
      </c>
      <c r="D11" s="128"/>
      <c r="E11" s="125" t="e">
        <f>VLOOKUP(Table257519913140106110151155170178188[[#This Row],[PEG]],Table1016[#All],3,FALSE)</f>
        <v>#N/A</v>
      </c>
    </row>
    <row r="12" spans="1:5" x14ac:dyDescent="0.35">
      <c r="A12" s="118">
        <v>5</v>
      </c>
      <c r="B12" s="114" t="s">
        <v>114</v>
      </c>
      <c r="C12" s="109" t="e">
        <f>VLOOKUP(Table257519913140106110151155170178188[[#This Row],[PEG]],Table1016[#All],2,FALSE)</f>
        <v>#N/A</v>
      </c>
      <c r="D12" s="128"/>
      <c r="E12" s="125" t="e">
        <f>VLOOKUP(Table257519913140106110151155170178188[[#This Row],[PEG]],Table1016[#All],3,FALSE)</f>
        <v>#N/A</v>
      </c>
    </row>
    <row r="13" spans="1:5" x14ac:dyDescent="0.35">
      <c r="A13" s="118">
        <v>6</v>
      </c>
      <c r="B13" s="114" t="s">
        <v>115</v>
      </c>
      <c r="C13" s="109" t="e">
        <f>VLOOKUP(Table257519913140106110151155170178188[[#This Row],[PEG]],Table1016[#All],2,FALSE)</f>
        <v>#N/A</v>
      </c>
      <c r="D13" s="128"/>
      <c r="E13" s="125" t="e">
        <f>VLOOKUP(Table257519913140106110151155170178188[[#This Row],[PEG]],Table1016[#All],3,FALSE)</f>
        <v>#N/A</v>
      </c>
    </row>
    <row r="14" spans="1:5" x14ac:dyDescent="0.35">
      <c r="A14" s="118">
        <v>7</v>
      </c>
      <c r="B14" s="114" t="s">
        <v>114</v>
      </c>
      <c r="C14" s="109" t="e">
        <f>VLOOKUP(Table257519913140106110151155170178188[[#This Row],[PEG]],Table1016[#All],2,FALSE)</f>
        <v>#N/A</v>
      </c>
      <c r="D14" s="128"/>
      <c r="E14" s="125" t="e">
        <f>VLOOKUP(Table257519913140106110151155170178188[[#This Row],[PEG]],Table1016[#All],3,FALSE)</f>
        <v>#N/A</v>
      </c>
    </row>
    <row r="15" spans="1:5" x14ac:dyDescent="0.35">
      <c r="A15" s="118">
        <v>8</v>
      </c>
      <c r="B15" s="114" t="s">
        <v>115</v>
      </c>
      <c r="C15" s="109" t="e">
        <f>VLOOKUP(Table257519913140106110151155170178188[[#This Row],[PEG]],Table1016[#All],2,FALSE)</f>
        <v>#N/A</v>
      </c>
      <c r="D15" s="116"/>
      <c r="E15" s="125" t="e">
        <f>VLOOKUP(Table257519913140106110151155170178188[[#This Row],[PEG]],Table1016[#All],3,FALSE)</f>
        <v>#N/A</v>
      </c>
    </row>
    <row r="16" spans="1:5" x14ac:dyDescent="0.35">
      <c r="A16" s="118">
        <v>9</v>
      </c>
      <c r="B16" s="114" t="s">
        <v>12</v>
      </c>
      <c r="C16" s="109" t="e">
        <f>VLOOKUP(Table257519913140106110151155170178188[[#This Row],[PEG]],Table1016[#All],2,FALSE)</f>
        <v>#N/A</v>
      </c>
      <c r="D16" s="116"/>
      <c r="E16" s="125" t="e">
        <f>VLOOKUP(Table257519913140106110151155170178188[[#This Row],[PEG]],Table1016[#All],3,FALSE)</f>
        <v>#N/A</v>
      </c>
    </row>
    <row r="17" spans="1:5" x14ac:dyDescent="0.35">
      <c r="A17" s="118">
        <v>10</v>
      </c>
      <c r="B17" s="114" t="s">
        <v>12</v>
      </c>
      <c r="C17" s="109" t="e">
        <f>VLOOKUP(Table257519913140106110151155170178188[[#This Row],[PEG]],Table1016[#All],2,FALSE)</f>
        <v>#N/A</v>
      </c>
      <c r="D17" s="117"/>
      <c r="E17" s="125" t="e">
        <f>VLOOKUP(Table257519913140106110151155170178188[[#This Row],[PEG]],Table1016[#All],3,FALSE)</f>
        <v>#N/A</v>
      </c>
    </row>
    <row r="18" spans="1:5" x14ac:dyDescent="0.35">
      <c r="A18" s="118">
        <v>11</v>
      </c>
      <c r="B18" s="114" t="s">
        <v>115</v>
      </c>
      <c r="C18" s="109" t="e">
        <f>VLOOKUP(Table257519913140106110151155170178188[[#This Row],[PEG]],Table1016[#All],2,FALSE)</f>
        <v>#N/A</v>
      </c>
      <c r="D18" s="117"/>
      <c r="E18" s="125" t="e">
        <f>VLOOKUP(Table257519913140106110151155170178188[[#This Row],[PEG]],Table1016[#All],3,FALSE)</f>
        <v>#N/A</v>
      </c>
    </row>
    <row r="19" spans="1:5" x14ac:dyDescent="0.35">
      <c r="A19" s="118">
        <v>12</v>
      </c>
      <c r="B19" s="114" t="s">
        <v>115</v>
      </c>
      <c r="C19" s="109" t="e">
        <f>VLOOKUP(Table257519913140106110151155170178188[[#This Row],[PEG]],Table1016[#All],2,FALSE)</f>
        <v>#N/A</v>
      </c>
      <c r="D19" s="117"/>
      <c r="E19" s="125" t="e">
        <f>VLOOKUP(Table257519913140106110151155170178188[[#This Row],[PEG]],Table1016[#All],3,FALSE)</f>
        <v>#N/A</v>
      </c>
    </row>
    <row r="20" spans="1:5" x14ac:dyDescent="0.35">
      <c r="A20" s="118">
        <v>13</v>
      </c>
      <c r="B20" s="114" t="s">
        <v>114</v>
      </c>
      <c r="C20" s="109" t="e">
        <f>VLOOKUP(Table257519913140106110151155170178188[[#This Row],[PEG]],Table1016[#All],2,FALSE)</f>
        <v>#N/A</v>
      </c>
      <c r="D20" s="117"/>
      <c r="E20" s="125" t="e">
        <f>VLOOKUP(Table257519913140106110151155170178188[[#This Row],[PEG]],Table1016[#All],3,FALSE)</f>
        <v>#N/A</v>
      </c>
    </row>
    <row r="21" spans="1:5" x14ac:dyDescent="0.35">
      <c r="A21" s="118">
        <v>14</v>
      </c>
      <c r="B21" s="114" t="s">
        <v>12</v>
      </c>
      <c r="C21" s="109" t="e">
        <f>VLOOKUP(Table257519913140106110151155170178188[[#This Row],[PEG]],Table1016[#All],2,FALSE)</f>
        <v>#N/A</v>
      </c>
      <c r="D21" s="117"/>
      <c r="E21" s="125" t="e">
        <f>VLOOKUP(Table257519913140106110151155170178188[[#This Row],[PEG]],Table1016[#All],3,FALSE)</f>
        <v>#N/A</v>
      </c>
    </row>
    <row r="22" spans="1:5" x14ac:dyDescent="0.35">
      <c r="A22" s="118">
        <v>15</v>
      </c>
      <c r="B22" s="114" t="s">
        <v>12</v>
      </c>
      <c r="C22" s="109" t="e">
        <f>VLOOKUP(Table257519913140106110151155170178188[[#This Row],[PEG]],Table1016[#All],2,FALSE)</f>
        <v>#N/A</v>
      </c>
      <c r="D22" s="117"/>
      <c r="E22" s="125" t="e">
        <f>VLOOKUP(Table257519913140106110151155170178188[[#This Row],[PEG]],Table1016[#All],3,FALSE)</f>
        <v>#N/A</v>
      </c>
    </row>
    <row r="23" spans="1:5" x14ac:dyDescent="0.35">
      <c r="A23" s="118">
        <v>16</v>
      </c>
      <c r="B23" s="114" t="s">
        <v>115</v>
      </c>
      <c r="C23" s="109" t="e">
        <f>VLOOKUP(Table257519913140106110151155170178188[[#This Row],[PEG]],Table1016[#All],2,FALSE)</f>
        <v>#N/A</v>
      </c>
      <c r="D23" s="117"/>
      <c r="E23" s="125" t="e">
        <f>VLOOKUP(Table257519913140106110151155170178188[[#This Row],[PEG]],Table1016[#All],3,FALSE)</f>
        <v>#N/A</v>
      </c>
    </row>
    <row r="24" spans="1:5" x14ac:dyDescent="0.35">
      <c r="A24" s="118">
        <v>17</v>
      </c>
      <c r="B24" s="114" t="s">
        <v>114</v>
      </c>
      <c r="C24" s="109" t="e">
        <f>VLOOKUP(Table257519913140106110151155170178188[[#This Row],[PEG]],Table1016[#All],2,FALSE)</f>
        <v>#N/A</v>
      </c>
      <c r="D24" s="117"/>
      <c r="E24" s="125" t="e">
        <f>VLOOKUP(Table257519913140106110151155170178188[[#This Row],[PEG]],Table1016[#All],3,FALSE)</f>
        <v>#N/A</v>
      </c>
    </row>
    <row r="25" spans="1:5" x14ac:dyDescent="0.35">
      <c r="A25" s="118">
        <v>18</v>
      </c>
      <c r="B25" s="114" t="s">
        <v>12</v>
      </c>
      <c r="C25" s="109" t="e">
        <f>VLOOKUP(Table257519913140106110151155170178188[[#This Row],[PEG]],Table1016[#All],2,FALSE)</f>
        <v>#N/A</v>
      </c>
      <c r="D25" s="117"/>
      <c r="E25" s="125" t="e">
        <f>VLOOKUP(Table257519913140106110151155170178188[[#This Row],[PEG]],Table1016[#All],3,FALSE)</f>
        <v>#N/A</v>
      </c>
    </row>
    <row r="26" spans="1:5" x14ac:dyDescent="0.35">
      <c r="A26" s="118">
        <v>19</v>
      </c>
      <c r="B26" s="114" t="s">
        <v>12</v>
      </c>
      <c r="C26" s="109" t="e">
        <f>VLOOKUP(Table257519913140106110151155170178188[[#This Row],[PEG]],Table1016[#All],2,FALSE)</f>
        <v>#N/A</v>
      </c>
      <c r="D26" s="117"/>
      <c r="E26" s="125" t="e">
        <f>VLOOKUP(Table257519913140106110151155170178188[[#This Row],[PEG]],Table1016[#All],3,FALSE)</f>
        <v>#N/A</v>
      </c>
    </row>
    <row r="27" spans="1:5" x14ac:dyDescent="0.35">
      <c r="A27" s="118">
        <v>20</v>
      </c>
      <c r="B27" s="114" t="s">
        <v>115</v>
      </c>
      <c r="C27" s="109" t="e">
        <f>VLOOKUP(Table257519913140106110151155170178188[[#This Row],[PEG]],Table1016[#All],2,FALSE)</f>
        <v>#N/A</v>
      </c>
      <c r="D27" s="117"/>
      <c r="E27" s="125" t="e">
        <f>VLOOKUP(Table257519913140106110151155170178188[[#This Row],[PEG]],Table1016[#All],3,FALSE)</f>
        <v>#N/A</v>
      </c>
    </row>
    <row r="28" spans="1:5" x14ac:dyDescent="0.35">
      <c r="A28" s="118">
        <v>21</v>
      </c>
      <c r="B28" s="114" t="s">
        <v>114</v>
      </c>
      <c r="C28" s="109" t="e">
        <f>VLOOKUP(Table257519913140106110151155170178188[[#This Row],[PEG]],Table1016[#All],2,FALSE)</f>
        <v>#N/A</v>
      </c>
      <c r="D28" s="117"/>
      <c r="E28" s="125" t="e">
        <f>VLOOKUP(Table257519913140106110151155170178188[[#This Row],[PEG]],Table1016[#All],3,FALSE)</f>
        <v>#N/A</v>
      </c>
    </row>
    <row r="29" spans="1:5" x14ac:dyDescent="0.35">
      <c r="A29" s="118">
        <v>22</v>
      </c>
      <c r="B29" s="114" t="s">
        <v>12</v>
      </c>
      <c r="C29" s="109" t="e">
        <f>VLOOKUP(Table257519913140106110151155170178188[[#This Row],[PEG]],Table1016[#All],2,FALSE)</f>
        <v>#N/A</v>
      </c>
      <c r="D29" s="117"/>
      <c r="E29" s="125" t="e">
        <f>VLOOKUP(Table257519913140106110151155170178188[[#This Row],[PEG]],Table1016[#All],3,FALSE)</f>
        <v>#N/A</v>
      </c>
    </row>
    <row r="30" spans="1:5" x14ac:dyDescent="0.35">
      <c r="A30" s="118">
        <v>23</v>
      </c>
      <c r="B30" s="114" t="s">
        <v>12</v>
      </c>
      <c r="C30" s="109" t="e">
        <f>VLOOKUP(Table257519913140106110151155170178188[[#This Row],[PEG]],Table1016[#All],2,FALSE)</f>
        <v>#N/A</v>
      </c>
      <c r="D30" s="117"/>
      <c r="E30" s="125" t="e">
        <f>VLOOKUP(Table257519913140106110151155170178188[[#This Row],[PEG]],Table1016[#All],3,FALSE)</f>
        <v>#N/A</v>
      </c>
    </row>
    <row r="31" spans="1:5" x14ac:dyDescent="0.35">
      <c r="A31" s="118">
        <v>24</v>
      </c>
      <c r="B31" s="114" t="s">
        <v>115</v>
      </c>
      <c r="C31" s="109" t="e">
        <f>VLOOKUP(Table257519913140106110151155170178188[[#This Row],[PEG]],Table1016[#All],2,FALSE)</f>
        <v>#N/A</v>
      </c>
      <c r="D31" s="117"/>
      <c r="E31" s="125" t="e">
        <f>VLOOKUP(Table257519913140106110151155170178188[[#This Row],[PEG]],Table1016[#All],3,FALSE)</f>
        <v>#N/A</v>
      </c>
    </row>
    <row r="32" spans="1:5" x14ac:dyDescent="0.35">
      <c r="A32" s="118">
        <v>25</v>
      </c>
      <c r="B32" s="114" t="s">
        <v>115</v>
      </c>
      <c r="C32" s="109" t="e">
        <f>VLOOKUP(Table257519913140106110151155170178188[[#This Row],[PEG]],Table1016[#All],2,FALSE)</f>
        <v>#N/A</v>
      </c>
      <c r="D32" s="117"/>
      <c r="E32" s="125" t="e">
        <f>VLOOKUP(Table257519913140106110151155170178188[[#This Row],[PEG]],Table1016[#All],3,FALSE)</f>
        <v>#N/A</v>
      </c>
    </row>
    <row r="33" spans="1:5" x14ac:dyDescent="0.35">
      <c r="A33" s="118">
        <v>26</v>
      </c>
      <c r="B33" s="114" t="s">
        <v>124</v>
      </c>
      <c r="C33" s="109" t="e">
        <f>VLOOKUP(Table257519913140106110151155170178188[[#This Row],[PEG]],Table1016[#All],2,FALSE)</f>
        <v>#N/A</v>
      </c>
      <c r="D33" s="117"/>
      <c r="E33" s="125" t="e">
        <f>VLOOKUP(Table257519913140106110151155170178188[[#This Row],[PEG]],Table1016[#All],3,FALSE)</f>
        <v>#N/A</v>
      </c>
    </row>
    <row r="34" spans="1:5" x14ac:dyDescent="0.35">
      <c r="A34" s="118">
        <v>27</v>
      </c>
      <c r="B34" s="114" t="s">
        <v>115</v>
      </c>
      <c r="C34" s="109" t="e">
        <f>VLOOKUP(Table257519913140106110151155170178188[[#This Row],[PEG]],Table1016[#All],2,FALSE)</f>
        <v>#N/A</v>
      </c>
      <c r="D34" s="117"/>
      <c r="E34" s="125" t="e">
        <f>VLOOKUP(Table257519913140106110151155170178188[[#This Row],[PEG]],Table1016[#All],3,FALSE)</f>
        <v>#N/A</v>
      </c>
    </row>
    <row r="35" spans="1:5" x14ac:dyDescent="0.35">
      <c r="A35" s="118">
        <v>28</v>
      </c>
      <c r="B35" s="114" t="s">
        <v>124</v>
      </c>
      <c r="C35" s="109" t="e">
        <f>VLOOKUP(Table257519913140106110151155170178188[[#This Row],[PEG]],Table1016[#All],2,FALSE)</f>
        <v>#N/A</v>
      </c>
      <c r="D35" s="117"/>
      <c r="E35" s="125" t="e">
        <f>VLOOKUP(Table257519913140106110151155170178188[[#This Row],[PEG]],Table1016[#All],3,FALSE)</f>
        <v>#N/A</v>
      </c>
    </row>
    <row r="36" spans="1:5" x14ac:dyDescent="0.35">
      <c r="A36" s="118">
        <v>29</v>
      </c>
      <c r="B36" s="114" t="s">
        <v>115</v>
      </c>
      <c r="C36" s="109" t="e">
        <f>VLOOKUP(Table257519913140106110151155170178188[[#This Row],[PEG]],Table1016[#All],2,FALSE)</f>
        <v>#N/A</v>
      </c>
      <c r="D36" s="117"/>
      <c r="E36" s="125" t="e">
        <f>VLOOKUP(Table257519913140106110151155170178188[[#This Row],[PEG]],Table1016[#All],3,FALSE)</f>
        <v>#N/A</v>
      </c>
    </row>
    <row r="37" spans="1:5" x14ac:dyDescent="0.35">
      <c r="A37" s="118">
        <v>30</v>
      </c>
      <c r="B37" s="114" t="s">
        <v>12</v>
      </c>
      <c r="C37" s="109" t="e">
        <f>VLOOKUP(Table257519913140106110151155170178188[[#This Row],[PEG]],Table1016[#All],2,FALSE)</f>
        <v>#N/A</v>
      </c>
      <c r="D37" s="117"/>
      <c r="E37" s="125" t="e">
        <f>VLOOKUP(Table257519913140106110151155170178188[[#This Row],[PEG]],Table1016[#All],3,FALSE)</f>
        <v>#N/A</v>
      </c>
    </row>
    <row r="38" spans="1:5" x14ac:dyDescent="0.35">
      <c r="A38" s="118">
        <v>31</v>
      </c>
      <c r="B38" s="114" t="s">
        <v>12</v>
      </c>
      <c r="C38" s="109" t="e">
        <f>VLOOKUP(Table257519913140106110151155170178188[[#This Row],[PEG]],Table1016[#All],2,FALSE)</f>
        <v>#N/A</v>
      </c>
      <c r="D38" s="117"/>
      <c r="E38" s="125" t="e">
        <f>VLOOKUP(Table257519913140106110151155170178188[[#This Row],[PEG]],Table1016[#All],3,FALSE)</f>
        <v>#N/A</v>
      </c>
    </row>
    <row r="39" spans="1:5" x14ac:dyDescent="0.35">
      <c r="A39" s="118">
        <v>32</v>
      </c>
      <c r="B39" s="114" t="s">
        <v>12</v>
      </c>
      <c r="C39" s="109" t="e">
        <f>VLOOKUP(Table257519913140106110151155170178188[[#This Row],[PEG]],Table1016[#All],2,FALSE)</f>
        <v>#N/A</v>
      </c>
      <c r="D39" s="117"/>
      <c r="E39" s="125" t="e">
        <f>VLOOKUP(Table257519913140106110151155170178188[[#This Row],[PEG]],Table1016[#All],3,FALSE)</f>
        <v>#N/A</v>
      </c>
    </row>
    <row r="40" spans="1:5" x14ac:dyDescent="0.35">
      <c r="A40" s="118">
        <v>33</v>
      </c>
      <c r="B40" s="114" t="s">
        <v>12</v>
      </c>
      <c r="C40" s="109" t="e">
        <f>VLOOKUP(Table257519913140106110151155170178188[[#This Row],[PEG]],Table1016[#All],2,FALSE)</f>
        <v>#N/A</v>
      </c>
      <c r="D40" s="117"/>
      <c r="E40" s="125" t="e">
        <f>VLOOKUP(Table257519913140106110151155170178188[[#This Row],[PEG]],Table1016[#All],3,FALSE)</f>
        <v>#N/A</v>
      </c>
    </row>
    <row r="41" spans="1:5" x14ac:dyDescent="0.35">
      <c r="A41" s="118">
        <v>34</v>
      </c>
      <c r="B41" s="114" t="s">
        <v>115</v>
      </c>
      <c r="C41" s="109" t="e">
        <f>VLOOKUP(Table257519913140106110151155170178188[[#This Row],[PEG]],Table1016[#All],2,FALSE)</f>
        <v>#N/A</v>
      </c>
      <c r="D41" s="117"/>
      <c r="E41" s="125" t="e">
        <f>VLOOKUP(Table257519913140106110151155170178188[[#This Row],[PEG]],Table1016[#All],3,FALSE)</f>
        <v>#N/A</v>
      </c>
    </row>
    <row r="42" spans="1:5" x14ac:dyDescent="0.35">
      <c r="A42" s="118">
        <v>35</v>
      </c>
      <c r="B42" s="114" t="s">
        <v>12</v>
      </c>
      <c r="C42" s="109" t="e">
        <f>VLOOKUP(Table257519913140106110151155170178188[[#This Row],[PEG]],Table1016[#All],2,FALSE)</f>
        <v>#N/A</v>
      </c>
      <c r="D42" s="115"/>
      <c r="E42" s="125" t="e">
        <f>VLOOKUP(Table257519913140106110151155170178188[[#This Row],[PEG]],Table1016[#All],3,FALSE)</f>
        <v>#N/A</v>
      </c>
    </row>
    <row r="43" spans="1:5" x14ac:dyDescent="0.35">
      <c r="A43" s="118">
        <v>36</v>
      </c>
      <c r="B43" s="114" t="s">
        <v>115</v>
      </c>
      <c r="C43" s="109" t="e">
        <f>VLOOKUP(Table257519913140106110151155170178188[[#This Row],[PEG]],Table1016[#All],2,FALSE)</f>
        <v>#N/A</v>
      </c>
      <c r="D43" s="115"/>
      <c r="E43" s="125" t="e">
        <f>VLOOKUP(Table257519913140106110151155170178188[[#This Row],[PEG]],Table1016[#All],3,FALSE)</f>
        <v>#N/A</v>
      </c>
    </row>
    <row r="44" spans="1:5" x14ac:dyDescent="0.35">
      <c r="A44" s="118">
        <v>37</v>
      </c>
      <c r="B44" s="114" t="s">
        <v>13</v>
      </c>
      <c r="C44" s="18" t="s">
        <v>13</v>
      </c>
      <c r="D44" s="115"/>
      <c r="E44" s="32"/>
    </row>
  </sheetData>
  <mergeCells count="1">
    <mergeCell ref="A1:B1"/>
  </mergeCells>
  <conditionalFormatting sqref="B8:B18">
    <cfRule type="containsText" dxfId="1205" priority="1" operator="containsText" text="Hear">
      <formula>NOT(ISERROR(SEARCH("Hear",B8)))</formula>
    </cfRule>
  </conditionalFormatting>
  <conditionalFormatting sqref="B30">
    <cfRule type="containsText" dxfId="1204" priority="4" operator="containsText" text="Hear">
      <formula>NOT(ISERROR(SEARCH("Hear",B30)))</formula>
    </cfRule>
  </conditionalFormatting>
  <conditionalFormatting sqref="B43:B44">
    <cfRule type="containsText" dxfId="1203" priority="8" operator="containsText" text="Hear">
      <formula>NOT(ISERROR(SEARCH("Hear",B43)))</formula>
    </cfRule>
  </conditionalFormatting>
  <conditionalFormatting sqref="E44">
    <cfRule type="containsText" dxfId="1202" priority="6" operator="containsText" text="WEB SERVICE">
      <formula>NOT(ISERROR(SEARCH("WEB SERVICE",E44)))</formula>
    </cfRule>
    <cfRule type="containsText" dxfId="1201" priority="7" operator="containsText" text="DB">
      <formula>NOT(ISERROR(SEARCH("DB",E44)))</formula>
    </cfRule>
  </conditionalFormatting>
  <conditionalFormatting sqref="C44">
    <cfRule type="expression" dxfId="1200" priority="9">
      <formula>$B44="HANGUP"</formula>
    </cfRule>
    <cfRule type="expression" dxfId="1199" priority="9">
      <formula>$B44="Dial"</formula>
    </cfRule>
  </conditionalFormatting>
  <conditionalFormatting sqref="C44">
    <cfRule type="expression" dxfId="1198" priority="3">
      <formula>$B44="Speak"</formula>
    </cfRule>
  </conditionalFormatting>
  <conditionalFormatting sqref="B36:B38 B40:B41">
    <cfRule type="containsText" dxfId="1197" priority="2" operator="containsText" text="Hear">
      <formula>NOT(ISERROR(SEARCH("Hear",B36)))</formula>
    </cfRule>
  </conditionalFormatting>
  <conditionalFormatting sqref="B19:B29 B31:B35 B42">
    <cfRule type="containsText" dxfId="1196" priority="5" operator="containsText" text="Hear">
      <formula>NOT(ISERROR(SEARCH("Hear",B19)))</formula>
    </cfRule>
  </conditionalFormatting>
  <hyperlinks>
    <hyperlink ref="A1" location="'Test Case Overview'!A1" display="Return to Test Case Overview" xr:uid="{C8E5C5AB-843D-440B-94AC-E7788BB7CE5E}"/>
  </hyperlinks>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expression" priority="10" id="{3A47C30C-6FCE-4FC4-AA7E-063B6432201D}">
            <xm:f>'TC1'!$B8="Dial"</xm:f>
            <x14:dxf>
              <font>
                <b/>
                <i val="0"/>
                <color rgb="FFFF0000"/>
              </font>
            </x14:dxf>
          </x14:cfRule>
          <x14:cfRule type="expression" priority="10" id="{72D1E8D4-BD66-45A4-9F16-019AACD1BA1C}">
            <xm:f>'TC1'!$B8="HANGUP"</xm:f>
            <x14:dxf>
              <font>
                <b/>
                <i val="0"/>
              </font>
            </x14:dxf>
          </x14:cfRule>
          <xm:sqref>C8</xm:sqref>
        </x14:conditionalFormatting>
        <x14:conditionalFormatting xmlns:xm="http://schemas.microsoft.com/office/excel/2006/main">
          <x14:cfRule type="expression" priority="11" id="{6B452177-DA84-4C9A-AC72-9E096E54C29B}">
            <xm:f>'TC1'!$B8="Speak"</xm:f>
            <x14:dxf>
              <font>
                <b/>
                <i val="0"/>
                <color rgb="FFFF0000"/>
              </font>
            </x14:dxf>
          </x14:cfRule>
          <xm:sqref>C8</xm:sqref>
        </x14:conditionalFormatting>
        <x14:conditionalFormatting xmlns:xm="http://schemas.microsoft.com/office/excel/2006/main">
          <x14:cfRule type="containsText" priority="14" operator="containsText" text="Hear" id="{C615E3E2-31B8-49E5-AFA1-31CFD8571EB2}">
            <xm:f>NOT(ISERROR(SEARCH("Hear",'TC3'!B34)))</xm:f>
            <x14:dxf>
              <font>
                <color theme="9" tint="-0.24994659260841701"/>
              </font>
              <fill>
                <patternFill>
                  <bgColor theme="9" tint="0.59996337778862885"/>
                </patternFill>
              </fill>
            </x14:dxf>
          </x14:cfRule>
          <xm:sqref>B41</xm:sqref>
        </x14:conditionalFormatting>
        <x14:conditionalFormatting xmlns:xm="http://schemas.microsoft.com/office/excel/2006/main">
          <x14:cfRule type="expression" priority="3063" id="{3A47C30C-6FCE-4FC4-AA7E-063B6432201D}">
            <xm:f>'TC1'!$B16="Dial"</xm:f>
            <x14:dxf>
              <font>
                <b/>
                <i val="0"/>
                <color rgb="FFFF0000"/>
              </font>
            </x14:dxf>
          </x14:cfRule>
          <x14:cfRule type="expression" priority="3064" id="{72D1E8D4-BD66-45A4-9F16-019AACD1BA1C}">
            <xm:f>'TC1'!$B16="HANGUP"</xm:f>
            <x14:dxf>
              <font>
                <b/>
                <i val="0"/>
              </font>
            </x14:dxf>
          </x14:cfRule>
          <xm:sqref>C34:C43</xm:sqref>
        </x14:conditionalFormatting>
        <x14:conditionalFormatting xmlns:xm="http://schemas.microsoft.com/office/excel/2006/main">
          <x14:cfRule type="expression" priority="3065" id="{3A47C30C-6FCE-4FC4-AA7E-063B6432201D}">
            <xm:f>'TC1'!#REF!="Dial"</xm:f>
            <x14:dxf>
              <font>
                <b/>
                <i val="0"/>
                <color rgb="FFFF0000"/>
              </font>
            </x14:dxf>
          </x14:cfRule>
          <x14:cfRule type="expression" priority="3066" id="{72D1E8D4-BD66-45A4-9F16-019AACD1BA1C}">
            <xm:f>'TC1'!#REF!="HANGUP"</xm:f>
            <x14:dxf>
              <font>
                <b/>
                <i val="0"/>
              </font>
            </x14:dxf>
          </x14:cfRule>
          <xm:sqref>C17:C33</xm:sqref>
        </x14:conditionalFormatting>
        <x14:conditionalFormatting xmlns:xm="http://schemas.microsoft.com/office/excel/2006/main">
          <x14:cfRule type="expression" priority="3070" id="{6B452177-DA84-4C9A-AC72-9E096E54C29B}">
            <xm:f>'TC1'!$B16="Speak"</xm:f>
            <x14:dxf>
              <font>
                <b/>
                <i val="0"/>
                <color rgb="FFFF0000"/>
              </font>
            </x14:dxf>
          </x14:cfRule>
          <xm:sqref>C34:C43</xm:sqref>
        </x14:conditionalFormatting>
        <x14:conditionalFormatting xmlns:xm="http://schemas.microsoft.com/office/excel/2006/main">
          <x14:cfRule type="expression" priority="3071" id="{6B452177-DA84-4C9A-AC72-9E096E54C29B}">
            <xm:f>'TC1'!#REF!="Speak"</xm:f>
            <x14:dxf>
              <font>
                <b/>
                <i val="0"/>
                <color rgb="FFFF0000"/>
              </font>
            </x14:dxf>
          </x14:cfRule>
          <xm:sqref>C17:C33</xm:sqref>
        </x14:conditionalFormatting>
        <x14:conditionalFormatting xmlns:xm="http://schemas.microsoft.com/office/excel/2006/main">
          <x14:cfRule type="containsText" priority="3075" operator="containsText" text="DB" id="{535AB821-8B73-4DBB-B607-2BD224B98275}">
            <xm:f>NOT(ISERROR(SEARCH("DB",'TC1'!E16)))</xm:f>
            <x14:dxf>
              <font>
                <color rgb="FF006100"/>
              </font>
              <fill>
                <patternFill>
                  <bgColor rgb="FFC6EFCE"/>
                </patternFill>
              </fill>
            </x14:dxf>
          </x14:cfRule>
          <x14:cfRule type="containsText" priority="3076" operator="containsText" text="WEB SERVICE" id="{802E0521-57D5-401F-89F7-5AF789CEFD21}">
            <xm:f>NOT(ISERROR(SEARCH("WEB SERVICE",'TC1'!E16)))</xm:f>
            <x14:dxf>
              <font>
                <color rgb="FF9C0006"/>
              </font>
              <fill>
                <patternFill>
                  <bgColor rgb="FFFFC7CE"/>
                </patternFill>
              </fill>
            </x14:dxf>
          </x14:cfRule>
          <xm:sqref>E34:E43</xm:sqref>
        </x14:conditionalFormatting>
        <x14:conditionalFormatting xmlns:xm="http://schemas.microsoft.com/office/excel/2006/main">
          <x14:cfRule type="containsText" priority="3077" operator="containsText" text="DB" id="{535AB821-8B73-4DBB-B607-2BD224B98275}">
            <xm:f>NOT(ISERROR(SEARCH("DB",'TC1'!#REF!)))</xm:f>
            <x14:dxf>
              <font>
                <color rgb="FF006100"/>
              </font>
              <fill>
                <patternFill>
                  <bgColor rgb="FFC6EFCE"/>
                </patternFill>
              </fill>
            </x14:dxf>
          </x14:cfRule>
          <x14:cfRule type="containsText" priority="3078" operator="containsText" text="WEB SERVICE" id="{802E0521-57D5-401F-89F7-5AF789CEFD21}">
            <xm:f>NOT(ISERROR(SEARCH("WEB SERVICE",'TC1'!#REF!)))</xm:f>
            <x14:dxf>
              <font>
                <color rgb="FF9C0006"/>
              </font>
              <fill>
                <patternFill>
                  <bgColor rgb="FFFFC7CE"/>
                </patternFill>
              </fill>
            </x14:dxf>
          </x14:cfRule>
          <xm:sqref>E17:E33</xm:sqref>
        </x14:conditionalFormatting>
        <x14:conditionalFormatting xmlns:xm="http://schemas.microsoft.com/office/excel/2006/main">
          <x14:cfRule type="expression" priority="5695" id="{3A47C30C-6FCE-4FC4-AA7E-063B6432201D}">
            <xm:f>'TC1'!$B9="Dial"</xm:f>
            <x14:dxf>
              <font>
                <b/>
                <i val="0"/>
                <color rgb="FFFF0000"/>
              </font>
            </x14:dxf>
          </x14:cfRule>
          <x14:cfRule type="expression" priority="5696" id="{72D1E8D4-BD66-45A4-9F16-019AACD1BA1C}">
            <xm:f>'TC1'!$B9="HANGUP"</xm:f>
            <x14:dxf>
              <font>
                <b/>
                <i val="0"/>
              </font>
            </x14:dxf>
          </x14:cfRule>
          <xm:sqref>C12:C15</xm:sqref>
        </x14:conditionalFormatting>
        <x14:conditionalFormatting xmlns:xm="http://schemas.microsoft.com/office/excel/2006/main">
          <x14:cfRule type="expression" priority="5697" id="{3A47C30C-6FCE-4FC4-AA7E-063B6432201D}">
            <xm:f>'TC1'!#REF!="Dial"</xm:f>
            <x14:dxf>
              <font>
                <b/>
                <i val="0"/>
                <color rgb="FFFF0000"/>
              </font>
            </x14:dxf>
          </x14:cfRule>
          <x14:cfRule type="expression" priority="5698" id="{72D1E8D4-BD66-45A4-9F16-019AACD1BA1C}">
            <xm:f>'TC1'!#REF!="HANGUP"</xm:f>
            <x14:dxf>
              <font>
                <b/>
                <i val="0"/>
              </font>
            </x14:dxf>
          </x14:cfRule>
          <xm:sqref>C9:C11</xm:sqref>
        </x14:conditionalFormatting>
        <x14:conditionalFormatting xmlns:xm="http://schemas.microsoft.com/office/excel/2006/main">
          <x14:cfRule type="expression" priority="5702" id="{6B452177-DA84-4C9A-AC72-9E096E54C29B}">
            <xm:f>'TC1'!$B9="Speak"</xm:f>
            <x14:dxf>
              <font>
                <b/>
                <i val="0"/>
                <color rgb="FFFF0000"/>
              </font>
            </x14:dxf>
          </x14:cfRule>
          <xm:sqref>C12:C15</xm:sqref>
        </x14:conditionalFormatting>
        <x14:conditionalFormatting xmlns:xm="http://schemas.microsoft.com/office/excel/2006/main">
          <x14:cfRule type="expression" priority="5703" id="{6B452177-DA84-4C9A-AC72-9E096E54C29B}">
            <xm:f>'TC1'!#REF!="Speak"</xm:f>
            <x14:dxf>
              <font>
                <b/>
                <i val="0"/>
                <color rgb="FFFF0000"/>
              </font>
            </x14:dxf>
          </x14:cfRule>
          <xm:sqref>C9:C11</xm:sqref>
        </x14:conditionalFormatting>
        <x14:conditionalFormatting xmlns:xm="http://schemas.microsoft.com/office/excel/2006/main">
          <x14:cfRule type="containsText" priority="5705" operator="containsText" text="DB" id="{535AB821-8B73-4DBB-B607-2BD224B98275}">
            <xm:f>NOT(ISERROR(SEARCH("DB",'TC1'!#REF!)))</xm:f>
            <x14:dxf>
              <font>
                <color rgb="FF006100"/>
              </font>
              <fill>
                <patternFill>
                  <bgColor rgb="FFC6EFCE"/>
                </patternFill>
              </fill>
            </x14:dxf>
          </x14:cfRule>
          <x14:cfRule type="containsText" priority="5706" operator="containsText" text="WEB SERVICE" id="{802E0521-57D5-401F-89F7-5AF789CEFD21}">
            <xm:f>NOT(ISERROR(SEARCH("WEB SERVICE",'TC1'!#REF!)))</xm:f>
            <x14:dxf>
              <font>
                <color rgb="FF9C0006"/>
              </font>
              <fill>
                <patternFill>
                  <bgColor rgb="FFFFC7CE"/>
                </patternFill>
              </fill>
            </x14:dxf>
          </x14:cfRule>
          <xm:sqref>E9:E11</xm:sqref>
        </x14:conditionalFormatting>
        <x14:conditionalFormatting xmlns:xm="http://schemas.microsoft.com/office/excel/2006/main">
          <x14:cfRule type="containsText" priority="5707" operator="containsText" text="DB" id="{535AB821-8B73-4DBB-B607-2BD224B98275}">
            <xm:f>NOT(ISERROR(SEARCH("DB",'TC1'!E9)))</xm:f>
            <x14:dxf>
              <font>
                <color rgb="FF006100"/>
              </font>
              <fill>
                <patternFill>
                  <bgColor rgb="FFC6EFCE"/>
                </patternFill>
              </fill>
            </x14:dxf>
          </x14:cfRule>
          <x14:cfRule type="containsText" priority="5708" operator="containsText" text="WEB SERVICE" id="{802E0521-57D5-401F-89F7-5AF789CEFD21}">
            <xm:f>NOT(ISERROR(SEARCH("WEB SERVICE",'TC1'!E9)))</xm:f>
            <x14:dxf>
              <font>
                <color rgb="FF9C0006"/>
              </font>
              <fill>
                <patternFill>
                  <bgColor rgb="FFFFC7CE"/>
                </patternFill>
              </fill>
            </x14:dxf>
          </x14:cfRule>
          <xm:sqref>E12:E15</xm:sqref>
        </x14:conditionalFormatting>
        <x14:conditionalFormatting xmlns:xm="http://schemas.microsoft.com/office/excel/2006/main">
          <x14:cfRule type="expression" priority="7925" id="{3A47C30C-6FCE-4FC4-AA7E-063B6432201D}">
            <xm:f>'TC1'!$B15="Dial"</xm:f>
            <x14:dxf>
              <font>
                <b/>
                <i val="0"/>
                <color rgb="FFFF0000"/>
              </font>
            </x14:dxf>
          </x14:cfRule>
          <x14:cfRule type="expression" priority="7926" id="{72D1E8D4-BD66-45A4-9F16-019AACD1BA1C}">
            <xm:f>'TC1'!$B15="HANGUP"</xm:f>
            <x14:dxf>
              <font>
                <b/>
                <i val="0"/>
              </font>
            </x14:dxf>
          </x14:cfRule>
          <xm:sqref>C16</xm:sqref>
        </x14:conditionalFormatting>
        <x14:conditionalFormatting xmlns:xm="http://schemas.microsoft.com/office/excel/2006/main">
          <x14:cfRule type="expression" priority="7928" id="{6B452177-DA84-4C9A-AC72-9E096E54C29B}">
            <xm:f>'TC1'!$B15="Speak"</xm:f>
            <x14:dxf>
              <font>
                <b/>
                <i val="0"/>
                <color rgb="FFFF0000"/>
              </font>
            </x14:dxf>
          </x14:cfRule>
          <xm:sqref>C16</xm:sqref>
        </x14:conditionalFormatting>
        <x14:conditionalFormatting xmlns:xm="http://schemas.microsoft.com/office/excel/2006/main">
          <x14:cfRule type="containsText" priority="7931" operator="containsText" text="DB" id="{535AB821-8B73-4DBB-B607-2BD224B98275}">
            <xm:f>NOT(ISERROR(SEARCH("DB",'TC1'!E15)))</xm:f>
            <x14:dxf>
              <font>
                <color rgb="FF006100"/>
              </font>
              <fill>
                <patternFill>
                  <bgColor rgb="FFC6EFCE"/>
                </patternFill>
              </fill>
            </x14:dxf>
          </x14:cfRule>
          <x14:cfRule type="containsText" priority="7932" operator="containsText" text="WEB SERVICE" id="{802E0521-57D5-401F-89F7-5AF789CEFD21}">
            <xm:f>NOT(ISERROR(SEARCH("WEB SERVICE",'TC1'!E15)))</xm:f>
            <x14:dxf>
              <font>
                <color rgb="FF9C0006"/>
              </font>
              <fill>
                <patternFill>
                  <bgColor rgb="FFFFC7CE"/>
                </patternFill>
              </fill>
            </x14:dxf>
          </x14:cfRule>
          <xm:sqref>E16</xm:sqref>
        </x14:conditionalFormatting>
        <x14:conditionalFormatting xmlns:xm="http://schemas.microsoft.com/office/excel/2006/main">
          <x14:cfRule type="containsText" priority="10634" operator="containsText" text="Hear" id="{0C86C1E8-2C08-4227-8052-4068DE02FAFA}">
            <xm:f>NOT(ISERROR(SEARCH("Hear",'TC26'!#REF!)))</xm:f>
            <x14:dxf>
              <font>
                <color theme="9" tint="-0.24994659260841701"/>
              </font>
              <fill>
                <patternFill>
                  <bgColor theme="9" tint="0.59996337778862885"/>
                </patternFill>
              </fill>
            </x14:dxf>
          </x14:cfRule>
          <xm:sqref>B39</xm:sqref>
        </x14:conditionalFormatting>
      </x14:conditionalFormattings>
    </ext>
  </extLst>
</worksheet>
</file>

<file path=xl/worksheets/sheet1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D00-000000000000}">
  <sheetPr codeName="Sheet143"/>
  <dimension ref="A1:E44"/>
  <sheetViews>
    <sheetView zoomScaleNormal="100" workbookViewId="0">
      <selection sqref="A1:E44"/>
    </sheetView>
  </sheetViews>
  <sheetFormatPr defaultRowHeight="14.5" x14ac:dyDescent="0.35"/>
  <cols>
    <col min="1" max="1" width="14.453125" bestFit="1" customWidth="1"/>
    <col min="2" max="2" width="42.6328125" customWidth="1"/>
    <col min="3" max="3" width="106.1796875" customWidth="1"/>
    <col min="4" max="4" width="21.81640625" bestFit="1" customWidth="1"/>
    <col min="5" max="5" width="20.6328125" customWidth="1"/>
  </cols>
  <sheetData>
    <row r="1" spans="1:5" ht="18.5" x14ac:dyDescent="0.35">
      <c r="A1" s="192" t="s">
        <v>4</v>
      </c>
      <c r="B1" s="192"/>
      <c r="C1" s="105"/>
      <c r="D1" s="111"/>
      <c r="E1" s="97"/>
    </row>
    <row r="2" spans="1:5" x14ac:dyDescent="0.35">
      <c r="A2" s="106" t="s">
        <v>5</v>
      </c>
      <c r="B2" s="107" t="str">
        <f ca="1">MID(CELL("filename",A1),FIND("]",CELL("filename",A1))+1,LEN(CELL("filename",A1))-FIND("]",CELL("filename",A1)))</f>
        <v>TC141</v>
      </c>
      <c r="C2" s="98"/>
      <c r="D2" s="111"/>
      <c r="E2" s="97"/>
    </row>
    <row r="3" spans="1:5" x14ac:dyDescent="0.35">
      <c r="A3" s="104" t="s">
        <v>19</v>
      </c>
      <c r="B3" s="112" t="e">
        <f ca="1">VLOOKUP(B2,Table53[#All],2,FALSE)</f>
        <v>#N/A</v>
      </c>
      <c r="C3" s="98"/>
      <c r="D3" s="111"/>
      <c r="E3" s="97"/>
    </row>
    <row r="4" spans="1:5" ht="29" x14ac:dyDescent="0.35">
      <c r="A4" s="113" t="s">
        <v>20</v>
      </c>
      <c r="B4" s="99" t="e">
        <f ca="1">VLOOKUP(B2,Table53[#All],4,FALSE)</f>
        <v>#N/A</v>
      </c>
      <c r="C4" s="98"/>
      <c r="D4" s="111"/>
      <c r="E4" s="97"/>
    </row>
    <row r="5" spans="1:5" x14ac:dyDescent="0.35">
      <c r="A5" s="104" t="s">
        <v>6</v>
      </c>
      <c r="B5" s="77" t="e">
        <f ca="1">VLOOKUP(B2,Table53[#All],3,FALSE)</f>
        <v>#N/A</v>
      </c>
      <c r="C5" s="98"/>
      <c r="D5" s="111"/>
      <c r="E5" s="97"/>
    </row>
    <row r="6" spans="1:5" x14ac:dyDescent="0.35">
      <c r="A6" s="97"/>
      <c r="B6" s="97"/>
      <c r="C6" s="98"/>
      <c r="D6" s="111"/>
      <c r="E6" s="97"/>
    </row>
    <row r="7" spans="1:5" ht="15.5" x14ac:dyDescent="0.35">
      <c r="A7" s="100" t="s">
        <v>7</v>
      </c>
      <c r="B7" s="101" t="s">
        <v>8</v>
      </c>
      <c r="C7" s="102" t="s">
        <v>9</v>
      </c>
      <c r="D7" s="102" t="s">
        <v>14</v>
      </c>
      <c r="E7" s="103" t="s">
        <v>10</v>
      </c>
    </row>
    <row r="8" spans="1:5" x14ac:dyDescent="0.35">
      <c r="A8" s="118">
        <v>1</v>
      </c>
      <c r="B8" s="114" t="s">
        <v>114</v>
      </c>
      <c r="C8" s="109" t="s">
        <v>125</v>
      </c>
      <c r="D8" s="128"/>
      <c r="E8" s="125" t="s">
        <v>11</v>
      </c>
    </row>
    <row r="9" spans="1:5" x14ac:dyDescent="0.35">
      <c r="A9" s="118">
        <v>2</v>
      </c>
      <c r="B9" s="114" t="s">
        <v>12</v>
      </c>
      <c r="C9" s="109" t="e">
        <f>VLOOKUP(Table257519913140106110151155170178190[[#This Row],[PEG]],Table1016[#All],2,FALSE)</f>
        <v>#N/A</v>
      </c>
      <c r="D9" s="128"/>
      <c r="E9" s="125" t="e">
        <f>VLOOKUP(Table257519913140106110151155170178190[[#This Row],[PEG]],Table1016[#All],3,FALSE)</f>
        <v>#N/A</v>
      </c>
    </row>
    <row r="10" spans="1:5" x14ac:dyDescent="0.35">
      <c r="A10" s="118">
        <v>3</v>
      </c>
      <c r="B10" s="114" t="s">
        <v>115</v>
      </c>
      <c r="C10" s="109" t="e">
        <f>VLOOKUP(Table257519913140106110151155170178190[[#This Row],[PEG]],Table1016[#All],2,FALSE)</f>
        <v>#N/A</v>
      </c>
      <c r="D10" s="128"/>
      <c r="E10" s="125" t="e">
        <f>VLOOKUP(Table257519913140106110151155170178190[[#This Row],[PEG]],Table1016[#All],3,FALSE)</f>
        <v>#N/A</v>
      </c>
    </row>
    <row r="11" spans="1:5" x14ac:dyDescent="0.35">
      <c r="A11" s="118">
        <v>4</v>
      </c>
      <c r="B11" s="114" t="s">
        <v>115</v>
      </c>
      <c r="C11" s="109" t="e">
        <f>VLOOKUP(Table257519913140106110151155170178190[[#This Row],[PEG]],Table1016[#All],2,FALSE)</f>
        <v>#N/A</v>
      </c>
      <c r="D11" s="128"/>
      <c r="E11" s="125" t="e">
        <f>VLOOKUP(Table257519913140106110151155170178190[[#This Row],[PEG]],Table1016[#All],3,FALSE)</f>
        <v>#N/A</v>
      </c>
    </row>
    <row r="12" spans="1:5" x14ac:dyDescent="0.35">
      <c r="A12" s="118">
        <v>5</v>
      </c>
      <c r="B12" s="114" t="s">
        <v>114</v>
      </c>
      <c r="C12" s="109" t="e">
        <f>VLOOKUP(Table257519913140106110151155170178190[[#This Row],[PEG]],Table1016[#All],2,FALSE)</f>
        <v>#N/A</v>
      </c>
      <c r="D12" s="128"/>
      <c r="E12" s="125" t="e">
        <f>VLOOKUP(Table257519913140106110151155170178190[[#This Row],[PEG]],Table1016[#All],3,FALSE)</f>
        <v>#N/A</v>
      </c>
    </row>
    <row r="13" spans="1:5" x14ac:dyDescent="0.35">
      <c r="A13" s="118">
        <v>6</v>
      </c>
      <c r="B13" s="114" t="s">
        <v>115</v>
      </c>
      <c r="C13" s="109" t="e">
        <f>VLOOKUP(Table257519913140106110151155170178190[[#This Row],[PEG]],Table1016[#All],2,FALSE)</f>
        <v>#N/A</v>
      </c>
      <c r="D13" s="128"/>
      <c r="E13" s="125" t="e">
        <f>VLOOKUP(Table257519913140106110151155170178190[[#This Row],[PEG]],Table1016[#All],3,FALSE)</f>
        <v>#N/A</v>
      </c>
    </row>
    <row r="14" spans="1:5" x14ac:dyDescent="0.35">
      <c r="A14" s="118">
        <v>7</v>
      </c>
      <c r="B14" s="114" t="s">
        <v>114</v>
      </c>
      <c r="C14" s="109" t="e">
        <f>VLOOKUP(Table257519913140106110151155170178190[[#This Row],[PEG]],Table1016[#All],2,FALSE)</f>
        <v>#N/A</v>
      </c>
      <c r="D14" s="128"/>
      <c r="E14" s="125" t="e">
        <f>VLOOKUP(Table257519913140106110151155170178190[[#This Row],[PEG]],Table1016[#All],3,FALSE)</f>
        <v>#N/A</v>
      </c>
    </row>
    <row r="15" spans="1:5" x14ac:dyDescent="0.35">
      <c r="A15" s="118">
        <v>8</v>
      </c>
      <c r="B15" s="114" t="s">
        <v>115</v>
      </c>
      <c r="C15" s="109" t="e">
        <f>VLOOKUP(Table257519913140106110151155170178190[[#This Row],[PEG]],Table1016[#All],2,FALSE)</f>
        <v>#N/A</v>
      </c>
      <c r="D15" s="116"/>
      <c r="E15" s="125" t="e">
        <f>VLOOKUP(Table257519913140106110151155170178190[[#This Row],[PEG]],Table1016[#All],3,FALSE)</f>
        <v>#N/A</v>
      </c>
    </row>
    <row r="16" spans="1:5" x14ac:dyDescent="0.35">
      <c r="A16" s="118">
        <v>9</v>
      </c>
      <c r="B16" s="114" t="s">
        <v>12</v>
      </c>
      <c r="C16" s="109" t="e">
        <f>VLOOKUP(Table257519913140106110151155170178190[[#This Row],[PEG]],Table1016[#All],2,FALSE)</f>
        <v>#N/A</v>
      </c>
      <c r="D16" s="116"/>
      <c r="E16" s="125" t="e">
        <f>VLOOKUP(Table257519913140106110151155170178190[[#This Row],[PEG]],Table1016[#All],3,FALSE)</f>
        <v>#N/A</v>
      </c>
    </row>
    <row r="17" spans="1:5" x14ac:dyDescent="0.35">
      <c r="A17" s="118">
        <v>10</v>
      </c>
      <c r="B17" s="114" t="s">
        <v>12</v>
      </c>
      <c r="C17" s="109" t="e">
        <f>VLOOKUP(Table257519913140106110151155170178190[[#This Row],[PEG]],Table1016[#All],2,FALSE)</f>
        <v>#N/A</v>
      </c>
      <c r="D17" s="117"/>
      <c r="E17" s="125" t="e">
        <f>VLOOKUP(Table257519913140106110151155170178190[[#This Row],[PEG]],Table1016[#All],3,FALSE)</f>
        <v>#N/A</v>
      </c>
    </row>
    <row r="18" spans="1:5" x14ac:dyDescent="0.35">
      <c r="A18" s="118">
        <v>11</v>
      </c>
      <c r="B18" s="114" t="s">
        <v>115</v>
      </c>
      <c r="C18" s="109" t="e">
        <f>VLOOKUP(Table257519913140106110151155170178190[[#This Row],[PEG]],Table1016[#All],2,FALSE)</f>
        <v>#N/A</v>
      </c>
      <c r="D18" s="117"/>
      <c r="E18" s="125" t="e">
        <f>VLOOKUP(Table257519913140106110151155170178190[[#This Row],[PEG]],Table1016[#All],3,FALSE)</f>
        <v>#N/A</v>
      </c>
    </row>
    <row r="19" spans="1:5" x14ac:dyDescent="0.35">
      <c r="A19" s="118">
        <v>12</v>
      </c>
      <c r="B19" s="114" t="s">
        <v>115</v>
      </c>
      <c r="C19" s="109" t="e">
        <f>VLOOKUP(Table257519913140106110151155170178190[[#This Row],[PEG]],Table1016[#All],2,FALSE)</f>
        <v>#N/A</v>
      </c>
      <c r="D19" s="117"/>
      <c r="E19" s="125" t="e">
        <f>VLOOKUP(Table257519913140106110151155170178190[[#This Row],[PEG]],Table1016[#All],3,FALSE)</f>
        <v>#N/A</v>
      </c>
    </row>
    <row r="20" spans="1:5" x14ac:dyDescent="0.35">
      <c r="A20" s="118">
        <v>13</v>
      </c>
      <c r="B20" s="114" t="s">
        <v>114</v>
      </c>
      <c r="C20" s="109" t="e">
        <f>VLOOKUP(Table257519913140106110151155170178190[[#This Row],[PEG]],Table1016[#All],2,FALSE)</f>
        <v>#N/A</v>
      </c>
      <c r="D20" s="117"/>
      <c r="E20" s="125" t="e">
        <f>VLOOKUP(Table257519913140106110151155170178190[[#This Row],[PEG]],Table1016[#All],3,FALSE)</f>
        <v>#N/A</v>
      </c>
    </row>
    <row r="21" spans="1:5" x14ac:dyDescent="0.35">
      <c r="A21" s="118">
        <v>14</v>
      </c>
      <c r="B21" s="114" t="s">
        <v>12</v>
      </c>
      <c r="C21" s="109" t="e">
        <f>VLOOKUP(Table257519913140106110151155170178190[[#This Row],[PEG]],Table1016[#All],2,FALSE)</f>
        <v>#N/A</v>
      </c>
      <c r="D21" s="117"/>
      <c r="E21" s="125" t="e">
        <f>VLOOKUP(Table257519913140106110151155170178190[[#This Row],[PEG]],Table1016[#All],3,FALSE)</f>
        <v>#N/A</v>
      </c>
    </row>
    <row r="22" spans="1:5" x14ac:dyDescent="0.35">
      <c r="A22" s="118">
        <v>15</v>
      </c>
      <c r="B22" s="114" t="s">
        <v>12</v>
      </c>
      <c r="C22" s="109" t="e">
        <f>VLOOKUP(Table257519913140106110151155170178190[[#This Row],[PEG]],Table1016[#All],2,FALSE)</f>
        <v>#N/A</v>
      </c>
      <c r="D22" s="117"/>
      <c r="E22" s="125" t="e">
        <f>VLOOKUP(Table257519913140106110151155170178190[[#This Row],[PEG]],Table1016[#All],3,FALSE)</f>
        <v>#N/A</v>
      </c>
    </row>
    <row r="23" spans="1:5" x14ac:dyDescent="0.35">
      <c r="A23" s="118">
        <v>16</v>
      </c>
      <c r="B23" s="114" t="s">
        <v>115</v>
      </c>
      <c r="C23" s="109" t="e">
        <f>VLOOKUP(Table257519913140106110151155170178190[[#This Row],[PEG]],Table1016[#All],2,FALSE)</f>
        <v>#N/A</v>
      </c>
      <c r="D23" s="117"/>
      <c r="E23" s="125" t="e">
        <f>VLOOKUP(Table257519913140106110151155170178190[[#This Row],[PEG]],Table1016[#All],3,FALSE)</f>
        <v>#N/A</v>
      </c>
    </row>
    <row r="24" spans="1:5" x14ac:dyDescent="0.35">
      <c r="A24" s="118">
        <v>17</v>
      </c>
      <c r="B24" s="114" t="s">
        <v>114</v>
      </c>
      <c r="C24" s="109" t="e">
        <f>VLOOKUP(Table257519913140106110151155170178190[[#This Row],[PEG]],Table1016[#All],2,FALSE)</f>
        <v>#N/A</v>
      </c>
      <c r="D24" s="117"/>
      <c r="E24" s="125" t="e">
        <f>VLOOKUP(Table257519913140106110151155170178190[[#This Row],[PEG]],Table1016[#All],3,FALSE)</f>
        <v>#N/A</v>
      </c>
    </row>
    <row r="25" spans="1:5" x14ac:dyDescent="0.35">
      <c r="A25" s="118">
        <v>18</v>
      </c>
      <c r="B25" s="114" t="s">
        <v>12</v>
      </c>
      <c r="C25" s="109" t="e">
        <f>VLOOKUP(Table257519913140106110151155170178190[[#This Row],[PEG]],Table1016[#All],2,FALSE)</f>
        <v>#N/A</v>
      </c>
      <c r="D25" s="117"/>
      <c r="E25" s="125" t="e">
        <f>VLOOKUP(Table257519913140106110151155170178190[[#This Row],[PEG]],Table1016[#All],3,FALSE)</f>
        <v>#N/A</v>
      </c>
    </row>
    <row r="26" spans="1:5" x14ac:dyDescent="0.35">
      <c r="A26" s="118">
        <v>19</v>
      </c>
      <c r="B26" s="114" t="s">
        <v>12</v>
      </c>
      <c r="C26" s="109" t="e">
        <f>VLOOKUP(Table257519913140106110151155170178190[[#This Row],[PEG]],Table1016[#All],2,FALSE)</f>
        <v>#N/A</v>
      </c>
      <c r="D26" s="117"/>
      <c r="E26" s="125" t="e">
        <f>VLOOKUP(Table257519913140106110151155170178190[[#This Row],[PEG]],Table1016[#All],3,FALSE)</f>
        <v>#N/A</v>
      </c>
    </row>
    <row r="27" spans="1:5" x14ac:dyDescent="0.35">
      <c r="A27" s="118">
        <v>20</v>
      </c>
      <c r="B27" s="114" t="s">
        <v>115</v>
      </c>
      <c r="C27" s="109" t="e">
        <f>VLOOKUP(Table257519913140106110151155170178190[[#This Row],[PEG]],Table1016[#All],2,FALSE)</f>
        <v>#N/A</v>
      </c>
      <c r="D27" s="117"/>
      <c r="E27" s="125" t="e">
        <f>VLOOKUP(Table257519913140106110151155170178190[[#This Row],[PEG]],Table1016[#All],3,FALSE)</f>
        <v>#N/A</v>
      </c>
    </row>
    <row r="28" spans="1:5" x14ac:dyDescent="0.35">
      <c r="A28" s="118">
        <v>21</v>
      </c>
      <c r="B28" s="114" t="s">
        <v>114</v>
      </c>
      <c r="C28" s="109" t="e">
        <f>VLOOKUP(Table257519913140106110151155170178190[[#This Row],[PEG]],Table1016[#All],2,FALSE)</f>
        <v>#N/A</v>
      </c>
      <c r="D28" s="117"/>
      <c r="E28" s="125" t="e">
        <f>VLOOKUP(Table257519913140106110151155170178190[[#This Row],[PEG]],Table1016[#All],3,FALSE)</f>
        <v>#N/A</v>
      </c>
    </row>
    <row r="29" spans="1:5" x14ac:dyDescent="0.35">
      <c r="A29" s="118">
        <v>22</v>
      </c>
      <c r="B29" s="114" t="s">
        <v>12</v>
      </c>
      <c r="C29" s="109" t="e">
        <f>VLOOKUP(Table257519913140106110151155170178190[[#This Row],[PEG]],Table1016[#All],2,FALSE)</f>
        <v>#N/A</v>
      </c>
      <c r="D29" s="117"/>
      <c r="E29" s="125" t="e">
        <f>VLOOKUP(Table257519913140106110151155170178190[[#This Row],[PEG]],Table1016[#All],3,FALSE)</f>
        <v>#N/A</v>
      </c>
    </row>
    <row r="30" spans="1:5" x14ac:dyDescent="0.35">
      <c r="A30" s="118">
        <v>23</v>
      </c>
      <c r="B30" s="114" t="s">
        <v>12</v>
      </c>
      <c r="C30" s="109" t="e">
        <f>VLOOKUP(Table257519913140106110151155170178190[[#This Row],[PEG]],Table1016[#All],2,FALSE)</f>
        <v>#N/A</v>
      </c>
      <c r="D30" s="117"/>
      <c r="E30" s="125" t="e">
        <f>VLOOKUP(Table257519913140106110151155170178190[[#This Row],[PEG]],Table1016[#All],3,FALSE)</f>
        <v>#N/A</v>
      </c>
    </row>
    <row r="31" spans="1:5" x14ac:dyDescent="0.35">
      <c r="A31" s="118">
        <v>24</v>
      </c>
      <c r="B31" s="114" t="s">
        <v>115</v>
      </c>
      <c r="C31" s="109" t="e">
        <f>VLOOKUP(Table257519913140106110151155170178190[[#This Row],[PEG]],Table1016[#All],2,FALSE)</f>
        <v>#N/A</v>
      </c>
      <c r="D31" s="117"/>
      <c r="E31" s="125" t="e">
        <f>VLOOKUP(Table257519913140106110151155170178190[[#This Row],[PEG]],Table1016[#All],3,FALSE)</f>
        <v>#N/A</v>
      </c>
    </row>
    <row r="32" spans="1:5" x14ac:dyDescent="0.35">
      <c r="A32" s="118">
        <v>25</v>
      </c>
      <c r="B32" s="114" t="s">
        <v>115</v>
      </c>
      <c r="C32" s="109" t="e">
        <f>VLOOKUP(Table257519913140106110151155170178190[[#This Row],[PEG]],Table1016[#All],2,FALSE)</f>
        <v>#N/A</v>
      </c>
      <c r="D32" s="117"/>
      <c r="E32" s="125" t="e">
        <f>VLOOKUP(Table257519913140106110151155170178190[[#This Row],[PEG]],Table1016[#All],3,FALSE)</f>
        <v>#N/A</v>
      </c>
    </row>
    <row r="33" spans="1:5" x14ac:dyDescent="0.35">
      <c r="A33" s="118">
        <v>26</v>
      </c>
      <c r="B33" s="114" t="s">
        <v>124</v>
      </c>
      <c r="C33" s="109" t="e">
        <f>VLOOKUP(Table257519913140106110151155170178190[[#This Row],[PEG]],Table1016[#All],2,FALSE)</f>
        <v>#N/A</v>
      </c>
      <c r="D33" s="117"/>
      <c r="E33" s="125" t="e">
        <f>VLOOKUP(Table257519913140106110151155170178190[[#This Row],[PEG]],Table1016[#All],3,FALSE)</f>
        <v>#N/A</v>
      </c>
    </row>
    <row r="34" spans="1:5" x14ac:dyDescent="0.35">
      <c r="A34" s="118">
        <v>27</v>
      </c>
      <c r="B34" s="114" t="s">
        <v>115</v>
      </c>
      <c r="C34" s="109" t="e">
        <f>VLOOKUP(Table257519913140106110151155170178190[[#This Row],[PEG]],Table1016[#All],2,FALSE)</f>
        <v>#N/A</v>
      </c>
      <c r="D34" s="117"/>
      <c r="E34" s="125" t="e">
        <f>VLOOKUP(Table257519913140106110151155170178190[[#This Row],[PEG]],Table1016[#All],3,FALSE)</f>
        <v>#N/A</v>
      </c>
    </row>
    <row r="35" spans="1:5" x14ac:dyDescent="0.35">
      <c r="A35" s="118">
        <v>28</v>
      </c>
      <c r="B35" s="114" t="s">
        <v>124</v>
      </c>
      <c r="C35" s="109" t="e">
        <f>VLOOKUP(Table257519913140106110151155170178190[[#This Row],[PEG]],Table1016[#All],2,FALSE)</f>
        <v>#N/A</v>
      </c>
      <c r="D35" s="117"/>
      <c r="E35" s="125" t="e">
        <f>VLOOKUP(Table257519913140106110151155170178190[[#This Row],[PEG]],Table1016[#All],3,FALSE)</f>
        <v>#N/A</v>
      </c>
    </row>
    <row r="36" spans="1:5" x14ac:dyDescent="0.35">
      <c r="A36" s="118">
        <v>29</v>
      </c>
      <c r="B36" s="114" t="s">
        <v>115</v>
      </c>
      <c r="C36" s="109" t="e">
        <f>VLOOKUP(Table257519913140106110151155170178190[[#This Row],[PEG]],Table1016[#All],2,FALSE)</f>
        <v>#N/A</v>
      </c>
      <c r="D36" s="117"/>
      <c r="E36" s="125" t="e">
        <f>VLOOKUP(Table257519913140106110151155170178190[[#This Row],[PEG]],Table1016[#All],3,FALSE)</f>
        <v>#N/A</v>
      </c>
    </row>
    <row r="37" spans="1:5" x14ac:dyDescent="0.35">
      <c r="A37" s="118">
        <v>30</v>
      </c>
      <c r="B37" s="114" t="s">
        <v>12</v>
      </c>
      <c r="C37" s="109" t="e">
        <f>VLOOKUP(Table257519913140106110151155170178190[[#This Row],[PEG]],Table1016[#All],2,FALSE)</f>
        <v>#N/A</v>
      </c>
      <c r="D37" s="117"/>
      <c r="E37" s="125" t="e">
        <f>VLOOKUP(Table257519913140106110151155170178190[[#This Row],[PEG]],Table1016[#All],3,FALSE)</f>
        <v>#N/A</v>
      </c>
    </row>
    <row r="38" spans="1:5" x14ac:dyDescent="0.35">
      <c r="A38" s="118">
        <v>31</v>
      </c>
      <c r="B38" s="114" t="s">
        <v>12</v>
      </c>
      <c r="C38" s="109" t="e">
        <f>VLOOKUP(Table257519913140106110151155170178190[[#This Row],[PEG]],Table1016[#All],2,FALSE)</f>
        <v>#N/A</v>
      </c>
      <c r="D38" s="117"/>
      <c r="E38" s="125" t="e">
        <f>VLOOKUP(Table257519913140106110151155170178190[[#This Row],[PEG]],Table1016[#All],3,FALSE)</f>
        <v>#N/A</v>
      </c>
    </row>
    <row r="39" spans="1:5" x14ac:dyDescent="0.35">
      <c r="A39" s="118">
        <v>32</v>
      </c>
      <c r="B39" s="114" t="s">
        <v>12</v>
      </c>
      <c r="C39" s="109" t="e">
        <f>VLOOKUP(Table257519913140106110151155170178190[[#This Row],[PEG]],Table1016[#All],2,FALSE)</f>
        <v>#N/A</v>
      </c>
      <c r="D39" s="117"/>
      <c r="E39" s="125" t="e">
        <f>VLOOKUP(Table257519913140106110151155170178190[[#This Row],[PEG]],Table1016[#All],3,FALSE)</f>
        <v>#N/A</v>
      </c>
    </row>
    <row r="40" spans="1:5" x14ac:dyDescent="0.35">
      <c r="A40" s="118">
        <v>33</v>
      </c>
      <c r="B40" s="114" t="s">
        <v>12</v>
      </c>
      <c r="C40" s="109" t="e">
        <f>VLOOKUP(Table257519913140106110151155170178190[[#This Row],[PEG]],Table1016[#All],2,FALSE)</f>
        <v>#N/A</v>
      </c>
      <c r="D40" s="117"/>
      <c r="E40" s="125" t="e">
        <f>VLOOKUP(Table257519913140106110151155170178190[[#This Row],[PEG]],Table1016[#All],3,FALSE)</f>
        <v>#N/A</v>
      </c>
    </row>
    <row r="41" spans="1:5" x14ac:dyDescent="0.35">
      <c r="A41" s="118">
        <v>34</v>
      </c>
      <c r="B41" s="114" t="s">
        <v>115</v>
      </c>
      <c r="C41" s="109" t="e">
        <f>VLOOKUP(Table257519913140106110151155170178190[[#This Row],[PEG]],Table1016[#All],2,FALSE)</f>
        <v>#N/A</v>
      </c>
      <c r="D41" s="117"/>
      <c r="E41" s="125" t="e">
        <f>VLOOKUP(Table257519913140106110151155170178190[[#This Row],[PEG]],Table1016[#All],3,FALSE)</f>
        <v>#N/A</v>
      </c>
    </row>
    <row r="42" spans="1:5" x14ac:dyDescent="0.35">
      <c r="A42" s="118">
        <v>35</v>
      </c>
      <c r="B42" s="114" t="s">
        <v>12</v>
      </c>
      <c r="C42" s="109" t="e">
        <f>VLOOKUP(Table257519913140106110151155170178190[[#This Row],[PEG]],Table1016[#All],2,FALSE)</f>
        <v>#N/A</v>
      </c>
      <c r="D42" s="115"/>
      <c r="E42" s="125" t="e">
        <f>VLOOKUP(Table257519913140106110151155170178190[[#This Row],[PEG]],Table1016[#All],3,FALSE)</f>
        <v>#N/A</v>
      </c>
    </row>
    <row r="43" spans="1:5" x14ac:dyDescent="0.35">
      <c r="A43" s="118">
        <v>36</v>
      </c>
      <c r="B43" s="114" t="s">
        <v>115</v>
      </c>
      <c r="C43" s="109" t="e">
        <f>VLOOKUP(Table257519913140106110151155170178190[[#This Row],[PEG]],Table1016[#All],2,FALSE)</f>
        <v>#N/A</v>
      </c>
      <c r="D43" s="115"/>
      <c r="E43" s="125" t="e">
        <f>VLOOKUP(Table257519913140106110151155170178190[[#This Row],[PEG]],Table1016[#All],3,FALSE)</f>
        <v>#N/A</v>
      </c>
    </row>
    <row r="44" spans="1:5" x14ac:dyDescent="0.35">
      <c r="A44" s="118">
        <v>37</v>
      </c>
      <c r="B44" s="114" t="s">
        <v>13</v>
      </c>
      <c r="C44" s="18" t="s">
        <v>13</v>
      </c>
      <c r="D44" s="115"/>
      <c r="E44" s="32"/>
    </row>
  </sheetData>
  <mergeCells count="1">
    <mergeCell ref="A1:B1"/>
  </mergeCells>
  <conditionalFormatting sqref="B8:B18">
    <cfRule type="containsText" dxfId="1165" priority="1" operator="containsText" text="Hear">
      <formula>NOT(ISERROR(SEARCH("Hear",B8)))</formula>
    </cfRule>
  </conditionalFormatting>
  <conditionalFormatting sqref="B30">
    <cfRule type="containsText" dxfId="1164" priority="4" operator="containsText" text="Hear">
      <formula>NOT(ISERROR(SEARCH("Hear",B30)))</formula>
    </cfRule>
  </conditionalFormatting>
  <conditionalFormatting sqref="B43:B44">
    <cfRule type="containsText" dxfId="1163" priority="8" operator="containsText" text="Hear">
      <formula>NOT(ISERROR(SEARCH("Hear",B43)))</formula>
    </cfRule>
  </conditionalFormatting>
  <conditionalFormatting sqref="E44">
    <cfRule type="containsText" dxfId="1162" priority="6" operator="containsText" text="WEB SERVICE">
      <formula>NOT(ISERROR(SEARCH("WEB SERVICE",E44)))</formula>
    </cfRule>
    <cfRule type="containsText" dxfId="1161" priority="7" operator="containsText" text="DB">
      <formula>NOT(ISERROR(SEARCH("DB",E44)))</formula>
    </cfRule>
  </conditionalFormatting>
  <conditionalFormatting sqref="C44">
    <cfRule type="expression" dxfId="1160" priority="9">
      <formula>$B44="HANGUP"</formula>
    </cfRule>
    <cfRule type="expression" dxfId="1159" priority="9">
      <formula>$B44="Dial"</formula>
    </cfRule>
  </conditionalFormatting>
  <conditionalFormatting sqref="C44">
    <cfRule type="expression" dxfId="1158" priority="3">
      <formula>$B44="Speak"</formula>
    </cfRule>
  </conditionalFormatting>
  <conditionalFormatting sqref="B36:B38 B40:B41">
    <cfRule type="containsText" dxfId="1157" priority="2" operator="containsText" text="Hear">
      <formula>NOT(ISERROR(SEARCH("Hear",B36)))</formula>
    </cfRule>
  </conditionalFormatting>
  <conditionalFormatting sqref="B19:B29 B31:B35 B42">
    <cfRule type="containsText" dxfId="1156" priority="5" operator="containsText" text="Hear">
      <formula>NOT(ISERROR(SEARCH("Hear",B19)))</formula>
    </cfRule>
  </conditionalFormatting>
  <hyperlinks>
    <hyperlink ref="A1" location="'Test Case Overview'!A1" display="Return to Test Case Overview" xr:uid="{1EFFFD0C-E2A9-437E-9ED4-4D46F64A7B78}"/>
  </hyperlinks>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expression" priority="10" id="{B62E2ACA-513F-4FB1-9872-1E318E7F2470}">
            <xm:f>'TC1'!$B8="Dial"</xm:f>
            <x14:dxf>
              <font>
                <b/>
                <i val="0"/>
                <color rgb="FFFF0000"/>
              </font>
            </x14:dxf>
          </x14:cfRule>
          <x14:cfRule type="expression" priority="10" id="{184E526B-A6F0-4561-9569-7A9258BBE9EE}">
            <xm:f>'TC1'!$B8="HANGUP"</xm:f>
            <x14:dxf>
              <font>
                <b/>
                <i val="0"/>
              </font>
            </x14:dxf>
          </x14:cfRule>
          <xm:sqref>C8</xm:sqref>
        </x14:conditionalFormatting>
        <x14:conditionalFormatting xmlns:xm="http://schemas.microsoft.com/office/excel/2006/main">
          <x14:cfRule type="expression" priority="11" id="{FC339BB4-8EC9-4D3A-8B13-C97D75AD712C}">
            <xm:f>'TC1'!$B8="Speak"</xm:f>
            <x14:dxf>
              <font>
                <b/>
                <i val="0"/>
                <color rgb="FFFF0000"/>
              </font>
            </x14:dxf>
          </x14:cfRule>
          <xm:sqref>C8</xm:sqref>
        </x14:conditionalFormatting>
        <x14:conditionalFormatting xmlns:xm="http://schemas.microsoft.com/office/excel/2006/main">
          <x14:cfRule type="containsText" priority="14" operator="containsText" text="Hear" id="{5CDD4DA7-6AFD-4C52-A1A9-8D5ADD82464E}">
            <xm:f>NOT(ISERROR(SEARCH("Hear",'TC3'!B34)))</xm:f>
            <x14:dxf>
              <font>
                <color theme="9" tint="-0.24994659260841701"/>
              </font>
              <fill>
                <patternFill>
                  <bgColor theme="9" tint="0.59996337778862885"/>
                </patternFill>
              </fill>
            </x14:dxf>
          </x14:cfRule>
          <xm:sqref>B41</xm:sqref>
        </x14:conditionalFormatting>
        <x14:conditionalFormatting xmlns:xm="http://schemas.microsoft.com/office/excel/2006/main">
          <x14:cfRule type="expression" priority="3083" id="{B62E2ACA-513F-4FB1-9872-1E318E7F2470}">
            <xm:f>'TC1'!$B16="Dial"</xm:f>
            <x14:dxf>
              <font>
                <b/>
                <i val="0"/>
                <color rgb="FFFF0000"/>
              </font>
            </x14:dxf>
          </x14:cfRule>
          <x14:cfRule type="expression" priority="3084" id="{184E526B-A6F0-4561-9569-7A9258BBE9EE}">
            <xm:f>'TC1'!$B16="HANGUP"</xm:f>
            <x14:dxf>
              <font>
                <b/>
                <i val="0"/>
              </font>
            </x14:dxf>
          </x14:cfRule>
          <xm:sqref>C34:C43</xm:sqref>
        </x14:conditionalFormatting>
        <x14:conditionalFormatting xmlns:xm="http://schemas.microsoft.com/office/excel/2006/main">
          <x14:cfRule type="expression" priority="3085" id="{B62E2ACA-513F-4FB1-9872-1E318E7F2470}">
            <xm:f>'TC1'!#REF!="Dial"</xm:f>
            <x14:dxf>
              <font>
                <b/>
                <i val="0"/>
                <color rgb="FFFF0000"/>
              </font>
            </x14:dxf>
          </x14:cfRule>
          <x14:cfRule type="expression" priority="3086" id="{184E526B-A6F0-4561-9569-7A9258BBE9EE}">
            <xm:f>'TC1'!#REF!="HANGUP"</xm:f>
            <x14:dxf>
              <font>
                <b/>
                <i val="0"/>
              </font>
            </x14:dxf>
          </x14:cfRule>
          <xm:sqref>C17:C33</xm:sqref>
        </x14:conditionalFormatting>
        <x14:conditionalFormatting xmlns:xm="http://schemas.microsoft.com/office/excel/2006/main">
          <x14:cfRule type="expression" priority="3090" id="{FC339BB4-8EC9-4D3A-8B13-C97D75AD712C}">
            <xm:f>'TC1'!$B16="Speak"</xm:f>
            <x14:dxf>
              <font>
                <b/>
                <i val="0"/>
                <color rgb="FFFF0000"/>
              </font>
            </x14:dxf>
          </x14:cfRule>
          <xm:sqref>C34:C43</xm:sqref>
        </x14:conditionalFormatting>
        <x14:conditionalFormatting xmlns:xm="http://schemas.microsoft.com/office/excel/2006/main">
          <x14:cfRule type="expression" priority="3091" id="{FC339BB4-8EC9-4D3A-8B13-C97D75AD712C}">
            <xm:f>'TC1'!#REF!="Speak"</xm:f>
            <x14:dxf>
              <font>
                <b/>
                <i val="0"/>
                <color rgb="FFFF0000"/>
              </font>
            </x14:dxf>
          </x14:cfRule>
          <xm:sqref>C17:C33</xm:sqref>
        </x14:conditionalFormatting>
        <x14:conditionalFormatting xmlns:xm="http://schemas.microsoft.com/office/excel/2006/main">
          <x14:cfRule type="containsText" priority="3095" operator="containsText" text="DB" id="{7E92DDEC-8FC8-4AC6-83DE-8CBA42353A45}">
            <xm:f>NOT(ISERROR(SEARCH("DB",'TC1'!E16)))</xm:f>
            <x14:dxf>
              <font>
                <color rgb="FF006100"/>
              </font>
              <fill>
                <patternFill>
                  <bgColor rgb="FFC6EFCE"/>
                </patternFill>
              </fill>
            </x14:dxf>
          </x14:cfRule>
          <x14:cfRule type="containsText" priority="3096" operator="containsText" text="WEB SERVICE" id="{FD836703-BF96-4023-AFC8-FA47F999A188}">
            <xm:f>NOT(ISERROR(SEARCH("WEB SERVICE",'TC1'!E16)))</xm:f>
            <x14:dxf>
              <font>
                <color rgb="FF9C0006"/>
              </font>
              <fill>
                <patternFill>
                  <bgColor rgb="FFFFC7CE"/>
                </patternFill>
              </fill>
            </x14:dxf>
          </x14:cfRule>
          <xm:sqref>E34:E43</xm:sqref>
        </x14:conditionalFormatting>
        <x14:conditionalFormatting xmlns:xm="http://schemas.microsoft.com/office/excel/2006/main">
          <x14:cfRule type="containsText" priority="3097" operator="containsText" text="DB" id="{7E92DDEC-8FC8-4AC6-83DE-8CBA42353A45}">
            <xm:f>NOT(ISERROR(SEARCH("DB",'TC1'!#REF!)))</xm:f>
            <x14:dxf>
              <font>
                <color rgb="FF006100"/>
              </font>
              <fill>
                <patternFill>
                  <bgColor rgb="FFC6EFCE"/>
                </patternFill>
              </fill>
            </x14:dxf>
          </x14:cfRule>
          <x14:cfRule type="containsText" priority="3098" operator="containsText" text="WEB SERVICE" id="{FD836703-BF96-4023-AFC8-FA47F999A188}">
            <xm:f>NOT(ISERROR(SEARCH("WEB SERVICE",'TC1'!#REF!)))</xm:f>
            <x14:dxf>
              <font>
                <color rgb="FF9C0006"/>
              </font>
              <fill>
                <patternFill>
                  <bgColor rgb="FFFFC7CE"/>
                </patternFill>
              </fill>
            </x14:dxf>
          </x14:cfRule>
          <xm:sqref>E17:E33</xm:sqref>
        </x14:conditionalFormatting>
        <x14:conditionalFormatting xmlns:xm="http://schemas.microsoft.com/office/excel/2006/main">
          <x14:cfRule type="expression" priority="5713" id="{B62E2ACA-513F-4FB1-9872-1E318E7F2470}">
            <xm:f>'TC1'!$B9="Dial"</xm:f>
            <x14:dxf>
              <font>
                <b/>
                <i val="0"/>
                <color rgb="FFFF0000"/>
              </font>
            </x14:dxf>
          </x14:cfRule>
          <x14:cfRule type="expression" priority="5714" id="{184E526B-A6F0-4561-9569-7A9258BBE9EE}">
            <xm:f>'TC1'!$B9="HANGUP"</xm:f>
            <x14:dxf>
              <font>
                <b/>
                <i val="0"/>
              </font>
            </x14:dxf>
          </x14:cfRule>
          <xm:sqref>C12:C15</xm:sqref>
        </x14:conditionalFormatting>
        <x14:conditionalFormatting xmlns:xm="http://schemas.microsoft.com/office/excel/2006/main">
          <x14:cfRule type="expression" priority="5715" id="{B62E2ACA-513F-4FB1-9872-1E318E7F2470}">
            <xm:f>'TC1'!#REF!="Dial"</xm:f>
            <x14:dxf>
              <font>
                <b/>
                <i val="0"/>
                <color rgb="FFFF0000"/>
              </font>
            </x14:dxf>
          </x14:cfRule>
          <x14:cfRule type="expression" priority="5716" id="{184E526B-A6F0-4561-9569-7A9258BBE9EE}">
            <xm:f>'TC1'!#REF!="HANGUP"</xm:f>
            <x14:dxf>
              <font>
                <b/>
                <i val="0"/>
              </font>
            </x14:dxf>
          </x14:cfRule>
          <xm:sqref>C9:C11</xm:sqref>
        </x14:conditionalFormatting>
        <x14:conditionalFormatting xmlns:xm="http://schemas.microsoft.com/office/excel/2006/main">
          <x14:cfRule type="expression" priority="5720" id="{FC339BB4-8EC9-4D3A-8B13-C97D75AD712C}">
            <xm:f>'TC1'!$B9="Speak"</xm:f>
            <x14:dxf>
              <font>
                <b/>
                <i val="0"/>
                <color rgb="FFFF0000"/>
              </font>
            </x14:dxf>
          </x14:cfRule>
          <xm:sqref>C12:C15</xm:sqref>
        </x14:conditionalFormatting>
        <x14:conditionalFormatting xmlns:xm="http://schemas.microsoft.com/office/excel/2006/main">
          <x14:cfRule type="expression" priority="5721" id="{FC339BB4-8EC9-4D3A-8B13-C97D75AD712C}">
            <xm:f>'TC1'!#REF!="Speak"</xm:f>
            <x14:dxf>
              <font>
                <b/>
                <i val="0"/>
                <color rgb="FFFF0000"/>
              </font>
            </x14:dxf>
          </x14:cfRule>
          <xm:sqref>C9:C11</xm:sqref>
        </x14:conditionalFormatting>
        <x14:conditionalFormatting xmlns:xm="http://schemas.microsoft.com/office/excel/2006/main">
          <x14:cfRule type="containsText" priority="5723" operator="containsText" text="DB" id="{7E92DDEC-8FC8-4AC6-83DE-8CBA42353A45}">
            <xm:f>NOT(ISERROR(SEARCH("DB",'TC1'!#REF!)))</xm:f>
            <x14:dxf>
              <font>
                <color rgb="FF006100"/>
              </font>
              <fill>
                <patternFill>
                  <bgColor rgb="FFC6EFCE"/>
                </patternFill>
              </fill>
            </x14:dxf>
          </x14:cfRule>
          <x14:cfRule type="containsText" priority="5724" operator="containsText" text="WEB SERVICE" id="{FD836703-BF96-4023-AFC8-FA47F999A188}">
            <xm:f>NOT(ISERROR(SEARCH("WEB SERVICE",'TC1'!#REF!)))</xm:f>
            <x14:dxf>
              <font>
                <color rgb="FF9C0006"/>
              </font>
              <fill>
                <patternFill>
                  <bgColor rgb="FFFFC7CE"/>
                </patternFill>
              </fill>
            </x14:dxf>
          </x14:cfRule>
          <xm:sqref>E9:E11</xm:sqref>
        </x14:conditionalFormatting>
        <x14:conditionalFormatting xmlns:xm="http://schemas.microsoft.com/office/excel/2006/main">
          <x14:cfRule type="containsText" priority="5725" operator="containsText" text="DB" id="{7E92DDEC-8FC8-4AC6-83DE-8CBA42353A45}">
            <xm:f>NOT(ISERROR(SEARCH("DB",'TC1'!E9)))</xm:f>
            <x14:dxf>
              <font>
                <color rgb="FF006100"/>
              </font>
              <fill>
                <patternFill>
                  <bgColor rgb="FFC6EFCE"/>
                </patternFill>
              </fill>
            </x14:dxf>
          </x14:cfRule>
          <x14:cfRule type="containsText" priority="5726" operator="containsText" text="WEB SERVICE" id="{FD836703-BF96-4023-AFC8-FA47F999A188}">
            <xm:f>NOT(ISERROR(SEARCH("WEB SERVICE",'TC1'!E9)))</xm:f>
            <x14:dxf>
              <font>
                <color rgb="FF9C0006"/>
              </font>
              <fill>
                <patternFill>
                  <bgColor rgb="FFFFC7CE"/>
                </patternFill>
              </fill>
            </x14:dxf>
          </x14:cfRule>
          <xm:sqref>E12:E15</xm:sqref>
        </x14:conditionalFormatting>
        <x14:conditionalFormatting xmlns:xm="http://schemas.microsoft.com/office/excel/2006/main">
          <x14:cfRule type="expression" priority="7940" id="{B62E2ACA-513F-4FB1-9872-1E318E7F2470}">
            <xm:f>'TC1'!$B15="Dial"</xm:f>
            <x14:dxf>
              <font>
                <b/>
                <i val="0"/>
                <color rgb="FFFF0000"/>
              </font>
            </x14:dxf>
          </x14:cfRule>
          <x14:cfRule type="expression" priority="7941" id="{184E526B-A6F0-4561-9569-7A9258BBE9EE}">
            <xm:f>'TC1'!$B15="HANGUP"</xm:f>
            <x14:dxf>
              <font>
                <b/>
                <i val="0"/>
              </font>
            </x14:dxf>
          </x14:cfRule>
          <xm:sqref>C16</xm:sqref>
        </x14:conditionalFormatting>
        <x14:conditionalFormatting xmlns:xm="http://schemas.microsoft.com/office/excel/2006/main">
          <x14:cfRule type="expression" priority="7943" id="{FC339BB4-8EC9-4D3A-8B13-C97D75AD712C}">
            <xm:f>'TC1'!$B15="Speak"</xm:f>
            <x14:dxf>
              <font>
                <b/>
                <i val="0"/>
                <color rgb="FFFF0000"/>
              </font>
            </x14:dxf>
          </x14:cfRule>
          <xm:sqref>C16</xm:sqref>
        </x14:conditionalFormatting>
        <x14:conditionalFormatting xmlns:xm="http://schemas.microsoft.com/office/excel/2006/main">
          <x14:cfRule type="containsText" priority="7946" operator="containsText" text="DB" id="{7E92DDEC-8FC8-4AC6-83DE-8CBA42353A45}">
            <xm:f>NOT(ISERROR(SEARCH("DB",'TC1'!E15)))</xm:f>
            <x14:dxf>
              <font>
                <color rgb="FF006100"/>
              </font>
              <fill>
                <patternFill>
                  <bgColor rgb="FFC6EFCE"/>
                </patternFill>
              </fill>
            </x14:dxf>
          </x14:cfRule>
          <x14:cfRule type="containsText" priority="7947" operator="containsText" text="WEB SERVICE" id="{FD836703-BF96-4023-AFC8-FA47F999A188}">
            <xm:f>NOT(ISERROR(SEARCH("WEB SERVICE",'TC1'!E15)))</xm:f>
            <x14:dxf>
              <font>
                <color rgb="FF9C0006"/>
              </font>
              <fill>
                <patternFill>
                  <bgColor rgb="FFFFC7CE"/>
                </patternFill>
              </fill>
            </x14:dxf>
          </x14:cfRule>
          <xm:sqref>E16</xm:sqref>
        </x14:conditionalFormatting>
        <x14:conditionalFormatting xmlns:xm="http://schemas.microsoft.com/office/excel/2006/main">
          <x14:cfRule type="containsText" priority="10654" operator="containsText" text="Hear" id="{3AB887D3-C3FF-4971-B8EC-645BFEC1C7CB}">
            <xm:f>NOT(ISERROR(SEARCH("Hear",'TC26'!#REF!)))</xm:f>
            <x14:dxf>
              <font>
                <color theme="9" tint="-0.24994659260841701"/>
              </font>
              <fill>
                <patternFill>
                  <bgColor theme="9" tint="0.59996337778862885"/>
                </patternFill>
              </fill>
            </x14:dxf>
          </x14:cfRule>
          <xm:sqref>B39</xm:sqref>
        </x14:conditionalFormatting>
      </x14:conditionalFormattings>
    </ext>
  </extLst>
</worksheet>
</file>

<file path=xl/worksheets/sheet1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E00-000000000000}">
  <sheetPr codeName="Sheet144"/>
  <dimension ref="A1:E44"/>
  <sheetViews>
    <sheetView zoomScaleNormal="100" workbookViewId="0">
      <selection sqref="A1:E44"/>
    </sheetView>
  </sheetViews>
  <sheetFormatPr defaultRowHeight="14.5" x14ac:dyDescent="0.35"/>
  <cols>
    <col min="1" max="1" width="14.453125" bestFit="1" customWidth="1"/>
    <col min="2" max="2" width="42.6328125" customWidth="1"/>
    <col min="3" max="3" width="106.1796875" customWidth="1"/>
    <col min="4" max="4" width="21.81640625" bestFit="1" customWidth="1"/>
    <col min="5" max="5" width="20.6328125" customWidth="1"/>
  </cols>
  <sheetData>
    <row r="1" spans="1:5" ht="18.5" x14ac:dyDescent="0.35">
      <c r="A1" s="192" t="s">
        <v>4</v>
      </c>
      <c r="B1" s="192"/>
      <c r="C1" s="105"/>
      <c r="D1" s="111"/>
      <c r="E1" s="97"/>
    </row>
    <row r="2" spans="1:5" x14ac:dyDescent="0.35">
      <c r="A2" s="106" t="s">
        <v>5</v>
      </c>
      <c r="B2" s="107" t="str">
        <f ca="1">MID(CELL("filename",A1),FIND("]",CELL("filename",A1))+1,LEN(CELL("filename",A1))-FIND("]",CELL("filename",A1)))</f>
        <v>TC142</v>
      </c>
      <c r="C2" s="98"/>
      <c r="D2" s="111"/>
      <c r="E2" s="97"/>
    </row>
    <row r="3" spans="1:5" x14ac:dyDescent="0.35">
      <c r="A3" s="104" t="s">
        <v>19</v>
      </c>
      <c r="B3" s="112" t="e">
        <f ca="1">VLOOKUP(B2,Table53[#All],2,FALSE)</f>
        <v>#N/A</v>
      </c>
      <c r="C3" s="98"/>
      <c r="D3" s="111"/>
      <c r="E3" s="97"/>
    </row>
    <row r="4" spans="1:5" ht="29" x14ac:dyDescent="0.35">
      <c r="A4" s="113" t="s">
        <v>20</v>
      </c>
      <c r="B4" s="99" t="e">
        <f ca="1">VLOOKUP(B2,Table53[#All],4,FALSE)</f>
        <v>#N/A</v>
      </c>
      <c r="C4" s="98"/>
      <c r="D4" s="111"/>
      <c r="E4" s="97"/>
    </row>
    <row r="5" spans="1:5" x14ac:dyDescent="0.35">
      <c r="A5" s="104" t="s">
        <v>6</v>
      </c>
      <c r="B5" s="77" t="e">
        <f ca="1">VLOOKUP(B2,Table53[#All],3,FALSE)</f>
        <v>#N/A</v>
      </c>
      <c r="C5" s="98"/>
      <c r="D5" s="111"/>
      <c r="E5" s="97"/>
    </row>
    <row r="6" spans="1:5" x14ac:dyDescent="0.35">
      <c r="A6" s="97"/>
      <c r="B6" s="97"/>
      <c r="C6" s="98"/>
      <c r="D6" s="111"/>
      <c r="E6" s="97"/>
    </row>
    <row r="7" spans="1:5" ht="15.5" x14ac:dyDescent="0.35">
      <c r="A7" s="100" t="s">
        <v>7</v>
      </c>
      <c r="B7" s="101" t="s">
        <v>8</v>
      </c>
      <c r="C7" s="102" t="s">
        <v>9</v>
      </c>
      <c r="D7" s="102" t="s">
        <v>14</v>
      </c>
      <c r="E7" s="103" t="s">
        <v>10</v>
      </c>
    </row>
    <row r="8" spans="1:5" x14ac:dyDescent="0.35">
      <c r="A8" s="118">
        <v>1</v>
      </c>
      <c r="B8" s="114" t="s">
        <v>114</v>
      </c>
      <c r="C8" s="109" t="s">
        <v>125</v>
      </c>
      <c r="D8" s="128"/>
      <c r="E8" s="125" t="s">
        <v>11</v>
      </c>
    </row>
    <row r="9" spans="1:5" x14ac:dyDescent="0.35">
      <c r="A9" s="118">
        <v>2</v>
      </c>
      <c r="B9" s="114" t="s">
        <v>12</v>
      </c>
      <c r="C9" s="109" t="e">
        <f>VLOOKUP(Table257519913140106110151155170178192[[#This Row],[PEG]],Table1016[#All],2,FALSE)</f>
        <v>#N/A</v>
      </c>
      <c r="D9" s="128"/>
      <c r="E9" s="125" t="e">
        <f>VLOOKUP(Table257519913140106110151155170178192[[#This Row],[PEG]],Table1016[#All],3,FALSE)</f>
        <v>#N/A</v>
      </c>
    </row>
    <row r="10" spans="1:5" x14ac:dyDescent="0.35">
      <c r="A10" s="118">
        <v>3</v>
      </c>
      <c r="B10" s="114" t="s">
        <v>115</v>
      </c>
      <c r="C10" s="109" t="e">
        <f>VLOOKUP(Table257519913140106110151155170178192[[#This Row],[PEG]],Table1016[#All],2,FALSE)</f>
        <v>#N/A</v>
      </c>
      <c r="D10" s="128"/>
      <c r="E10" s="125" t="e">
        <f>VLOOKUP(Table257519913140106110151155170178192[[#This Row],[PEG]],Table1016[#All],3,FALSE)</f>
        <v>#N/A</v>
      </c>
    </row>
    <row r="11" spans="1:5" x14ac:dyDescent="0.35">
      <c r="A11" s="118">
        <v>4</v>
      </c>
      <c r="B11" s="114" t="s">
        <v>115</v>
      </c>
      <c r="C11" s="109" t="e">
        <f>VLOOKUP(Table257519913140106110151155170178192[[#This Row],[PEG]],Table1016[#All],2,FALSE)</f>
        <v>#N/A</v>
      </c>
      <c r="D11" s="128"/>
      <c r="E11" s="125" t="e">
        <f>VLOOKUP(Table257519913140106110151155170178192[[#This Row],[PEG]],Table1016[#All],3,FALSE)</f>
        <v>#N/A</v>
      </c>
    </row>
    <row r="12" spans="1:5" x14ac:dyDescent="0.35">
      <c r="A12" s="118">
        <v>5</v>
      </c>
      <c r="B12" s="114" t="s">
        <v>114</v>
      </c>
      <c r="C12" s="109" t="e">
        <f>VLOOKUP(Table257519913140106110151155170178192[[#This Row],[PEG]],Table1016[#All],2,FALSE)</f>
        <v>#N/A</v>
      </c>
      <c r="D12" s="128"/>
      <c r="E12" s="125" t="e">
        <f>VLOOKUP(Table257519913140106110151155170178192[[#This Row],[PEG]],Table1016[#All],3,FALSE)</f>
        <v>#N/A</v>
      </c>
    </row>
    <row r="13" spans="1:5" x14ac:dyDescent="0.35">
      <c r="A13" s="118">
        <v>6</v>
      </c>
      <c r="B13" s="114" t="s">
        <v>115</v>
      </c>
      <c r="C13" s="109" t="e">
        <f>VLOOKUP(Table257519913140106110151155170178192[[#This Row],[PEG]],Table1016[#All],2,FALSE)</f>
        <v>#N/A</v>
      </c>
      <c r="D13" s="128"/>
      <c r="E13" s="125" t="e">
        <f>VLOOKUP(Table257519913140106110151155170178192[[#This Row],[PEG]],Table1016[#All],3,FALSE)</f>
        <v>#N/A</v>
      </c>
    </row>
    <row r="14" spans="1:5" x14ac:dyDescent="0.35">
      <c r="A14" s="118">
        <v>7</v>
      </c>
      <c r="B14" s="114" t="s">
        <v>114</v>
      </c>
      <c r="C14" s="109" t="e">
        <f>VLOOKUP(Table257519913140106110151155170178192[[#This Row],[PEG]],Table1016[#All],2,FALSE)</f>
        <v>#N/A</v>
      </c>
      <c r="D14" s="128"/>
      <c r="E14" s="125" t="e">
        <f>VLOOKUP(Table257519913140106110151155170178192[[#This Row],[PEG]],Table1016[#All],3,FALSE)</f>
        <v>#N/A</v>
      </c>
    </row>
    <row r="15" spans="1:5" x14ac:dyDescent="0.35">
      <c r="A15" s="118">
        <v>8</v>
      </c>
      <c r="B15" s="114" t="s">
        <v>115</v>
      </c>
      <c r="C15" s="109" t="e">
        <f>VLOOKUP(Table257519913140106110151155170178192[[#This Row],[PEG]],Table1016[#All],2,FALSE)</f>
        <v>#N/A</v>
      </c>
      <c r="D15" s="116"/>
      <c r="E15" s="125" t="e">
        <f>VLOOKUP(Table257519913140106110151155170178192[[#This Row],[PEG]],Table1016[#All],3,FALSE)</f>
        <v>#N/A</v>
      </c>
    </row>
    <row r="16" spans="1:5" x14ac:dyDescent="0.35">
      <c r="A16" s="118">
        <v>9</v>
      </c>
      <c r="B16" s="114" t="s">
        <v>12</v>
      </c>
      <c r="C16" s="109" t="e">
        <f>VLOOKUP(Table257519913140106110151155170178192[[#This Row],[PEG]],Table1016[#All],2,FALSE)</f>
        <v>#N/A</v>
      </c>
      <c r="D16" s="116"/>
      <c r="E16" s="125" t="e">
        <f>VLOOKUP(Table257519913140106110151155170178192[[#This Row],[PEG]],Table1016[#All],3,FALSE)</f>
        <v>#N/A</v>
      </c>
    </row>
    <row r="17" spans="1:5" x14ac:dyDescent="0.35">
      <c r="A17" s="118">
        <v>10</v>
      </c>
      <c r="B17" s="114" t="s">
        <v>12</v>
      </c>
      <c r="C17" s="109" t="e">
        <f>VLOOKUP(Table257519913140106110151155170178192[[#This Row],[PEG]],Table1016[#All],2,FALSE)</f>
        <v>#N/A</v>
      </c>
      <c r="D17" s="117"/>
      <c r="E17" s="125" t="e">
        <f>VLOOKUP(Table257519913140106110151155170178192[[#This Row],[PEG]],Table1016[#All],3,FALSE)</f>
        <v>#N/A</v>
      </c>
    </row>
    <row r="18" spans="1:5" x14ac:dyDescent="0.35">
      <c r="A18" s="118">
        <v>11</v>
      </c>
      <c r="B18" s="114" t="s">
        <v>115</v>
      </c>
      <c r="C18" s="109" t="e">
        <f>VLOOKUP(Table257519913140106110151155170178192[[#This Row],[PEG]],Table1016[#All],2,FALSE)</f>
        <v>#N/A</v>
      </c>
      <c r="D18" s="117"/>
      <c r="E18" s="125" t="e">
        <f>VLOOKUP(Table257519913140106110151155170178192[[#This Row],[PEG]],Table1016[#All],3,FALSE)</f>
        <v>#N/A</v>
      </c>
    </row>
    <row r="19" spans="1:5" x14ac:dyDescent="0.35">
      <c r="A19" s="118">
        <v>12</v>
      </c>
      <c r="B19" s="114" t="s">
        <v>115</v>
      </c>
      <c r="C19" s="109" t="e">
        <f>VLOOKUP(Table257519913140106110151155170178192[[#This Row],[PEG]],Table1016[#All],2,FALSE)</f>
        <v>#N/A</v>
      </c>
      <c r="D19" s="117"/>
      <c r="E19" s="125" t="e">
        <f>VLOOKUP(Table257519913140106110151155170178192[[#This Row],[PEG]],Table1016[#All],3,FALSE)</f>
        <v>#N/A</v>
      </c>
    </row>
    <row r="20" spans="1:5" x14ac:dyDescent="0.35">
      <c r="A20" s="118">
        <v>13</v>
      </c>
      <c r="B20" s="114" t="s">
        <v>114</v>
      </c>
      <c r="C20" s="109" t="e">
        <f>VLOOKUP(Table257519913140106110151155170178192[[#This Row],[PEG]],Table1016[#All],2,FALSE)</f>
        <v>#N/A</v>
      </c>
      <c r="D20" s="117"/>
      <c r="E20" s="125" t="e">
        <f>VLOOKUP(Table257519913140106110151155170178192[[#This Row],[PEG]],Table1016[#All],3,FALSE)</f>
        <v>#N/A</v>
      </c>
    </row>
    <row r="21" spans="1:5" x14ac:dyDescent="0.35">
      <c r="A21" s="118">
        <v>14</v>
      </c>
      <c r="B21" s="114" t="s">
        <v>12</v>
      </c>
      <c r="C21" s="109" t="e">
        <f>VLOOKUP(Table257519913140106110151155170178192[[#This Row],[PEG]],Table1016[#All],2,FALSE)</f>
        <v>#N/A</v>
      </c>
      <c r="D21" s="117"/>
      <c r="E21" s="125" t="e">
        <f>VLOOKUP(Table257519913140106110151155170178192[[#This Row],[PEG]],Table1016[#All],3,FALSE)</f>
        <v>#N/A</v>
      </c>
    </row>
    <row r="22" spans="1:5" x14ac:dyDescent="0.35">
      <c r="A22" s="118">
        <v>15</v>
      </c>
      <c r="B22" s="114" t="s">
        <v>12</v>
      </c>
      <c r="C22" s="109" t="e">
        <f>VLOOKUP(Table257519913140106110151155170178192[[#This Row],[PEG]],Table1016[#All],2,FALSE)</f>
        <v>#N/A</v>
      </c>
      <c r="D22" s="117"/>
      <c r="E22" s="125" t="e">
        <f>VLOOKUP(Table257519913140106110151155170178192[[#This Row],[PEG]],Table1016[#All],3,FALSE)</f>
        <v>#N/A</v>
      </c>
    </row>
    <row r="23" spans="1:5" x14ac:dyDescent="0.35">
      <c r="A23" s="118">
        <v>16</v>
      </c>
      <c r="B23" s="114" t="s">
        <v>115</v>
      </c>
      <c r="C23" s="109" t="e">
        <f>VLOOKUP(Table257519913140106110151155170178192[[#This Row],[PEG]],Table1016[#All],2,FALSE)</f>
        <v>#N/A</v>
      </c>
      <c r="D23" s="117"/>
      <c r="E23" s="125" t="e">
        <f>VLOOKUP(Table257519913140106110151155170178192[[#This Row],[PEG]],Table1016[#All],3,FALSE)</f>
        <v>#N/A</v>
      </c>
    </row>
    <row r="24" spans="1:5" x14ac:dyDescent="0.35">
      <c r="A24" s="118">
        <v>17</v>
      </c>
      <c r="B24" s="114" t="s">
        <v>114</v>
      </c>
      <c r="C24" s="109" t="e">
        <f>VLOOKUP(Table257519913140106110151155170178192[[#This Row],[PEG]],Table1016[#All],2,FALSE)</f>
        <v>#N/A</v>
      </c>
      <c r="D24" s="117"/>
      <c r="E24" s="125" t="e">
        <f>VLOOKUP(Table257519913140106110151155170178192[[#This Row],[PEG]],Table1016[#All],3,FALSE)</f>
        <v>#N/A</v>
      </c>
    </row>
    <row r="25" spans="1:5" x14ac:dyDescent="0.35">
      <c r="A25" s="118">
        <v>18</v>
      </c>
      <c r="B25" s="114" t="s">
        <v>12</v>
      </c>
      <c r="C25" s="109" t="e">
        <f>VLOOKUP(Table257519913140106110151155170178192[[#This Row],[PEG]],Table1016[#All],2,FALSE)</f>
        <v>#N/A</v>
      </c>
      <c r="D25" s="117"/>
      <c r="E25" s="125" t="e">
        <f>VLOOKUP(Table257519913140106110151155170178192[[#This Row],[PEG]],Table1016[#All],3,FALSE)</f>
        <v>#N/A</v>
      </c>
    </row>
    <row r="26" spans="1:5" x14ac:dyDescent="0.35">
      <c r="A26" s="118">
        <v>19</v>
      </c>
      <c r="B26" s="114" t="s">
        <v>12</v>
      </c>
      <c r="C26" s="109" t="e">
        <f>VLOOKUP(Table257519913140106110151155170178192[[#This Row],[PEG]],Table1016[#All],2,FALSE)</f>
        <v>#N/A</v>
      </c>
      <c r="D26" s="117"/>
      <c r="E26" s="125" t="e">
        <f>VLOOKUP(Table257519913140106110151155170178192[[#This Row],[PEG]],Table1016[#All],3,FALSE)</f>
        <v>#N/A</v>
      </c>
    </row>
    <row r="27" spans="1:5" x14ac:dyDescent="0.35">
      <c r="A27" s="118">
        <v>20</v>
      </c>
      <c r="B27" s="114" t="s">
        <v>115</v>
      </c>
      <c r="C27" s="109" t="e">
        <f>VLOOKUP(Table257519913140106110151155170178192[[#This Row],[PEG]],Table1016[#All],2,FALSE)</f>
        <v>#N/A</v>
      </c>
      <c r="D27" s="117"/>
      <c r="E27" s="125" t="e">
        <f>VLOOKUP(Table257519913140106110151155170178192[[#This Row],[PEG]],Table1016[#All],3,FALSE)</f>
        <v>#N/A</v>
      </c>
    </row>
    <row r="28" spans="1:5" x14ac:dyDescent="0.35">
      <c r="A28" s="118">
        <v>21</v>
      </c>
      <c r="B28" s="114" t="s">
        <v>114</v>
      </c>
      <c r="C28" s="109" t="e">
        <f>VLOOKUP(Table257519913140106110151155170178192[[#This Row],[PEG]],Table1016[#All],2,FALSE)</f>
        <v>#N/A</v>
      </c>
      <c r="D28" s="117"/>
      <c r="E28" s="125" t="e">
        <f>VLOOKUP(Table257519913140106110151155170178192[[#This Row],[PEG]],Table1016[#All],3,FALSE)</f>
        <v>#N/A</v>
      </c>
    </row>
    <row r="29" spans="1:5" x14ac:dyDescent="0.35">
      <c r="A29" s="118">
        <v>22</v>
      </c>
      <c r="B29" s="114" t="s">
        <v>12</v>
      </c>
      <c r="C29" s="109" t="e">
        <f>VLOOKUP(Table257519913140106110151155170178192[[#This Row],[PEG]],Table1016[#All],2,FALSE)</f>
        <v>#N/A</v>
      </c>
      <c r="D29" s="117"/>
      <c r="E29" s="125" t="e">
        <f>VLOOKUP(Table257519913140106110151155170178192[[#This Row],[PEG]],Table1016[#All],3,FALSE)</f>
        <v>#N/A</v>
      </c>
    </row>
    <row r="30" spans="1:5" x14ac:dyDescent="0.35">
      <c r="A30" s="118">
        <v>23</v>
      </c>
      <c r="B30" s="114" t="s">
        <v>12</v>
      </c>
      <c r="C30" s="109" t="e">
        <f>VLOOKUP(Table257519913140106110151155170178192[[#This Row],[PEG]],Table1016[#All],2,FALSE)</f>
        <v>#N/A</v>
      </c>
      <c r="D30" s="117"/>
      <c r="E30" s="125" t="e">
        <f>VLOOKUP(Table257519913140106110151155170178192[[#This Row],[PEG]],Table1016[#All],3,FALSE)</f>
        <v>#N/A</v>
      </c>
    </row>
    <row r="31" spans="1:5" x14ac:dyDescent="0.35">
      <c r="A31" s="118">
        <v>24</v>
      </c>
      <c r="B31" s="114" t="s">
        <v>115</v>
      </c>
      <c r="C31" s="109" t="e">
        <f>VLOOKUP(Table257519913140106110151155170178192[[#This Row],[PEG]],Table1016[#All],2,FALSE)</f>
        <v>#N/A</v>
      </c>
      <c r="D31" s="117"/>
      <c r="E31" s="125" t="e">
        <f>VLOOKUP(Table257519913140106110151155170178192[[#This Row],[PEG]],Table1016[#All],3,FALSE)</f>
        <v>#N/A</v>
      </c>
    </row>
    <row r="32" spans="1:5" x14ac:dyDescent="0.35">
      <c r="A32" s="118">
        <v>25</v>
      </c>
      <c r="B32" s="114" t="s">
        <v>115</v>
      </c>
      <c r="C32" s="109" t="e">
        <f>VLOOKUP(Table257519913140106110151155170178192[[#This Row],[PEG]],Table1016[#All],2,FALSE)</f>
        <v>#N/A</v>
      </c>
      <c r="D32" s="117"/>
      <c r="E32" s="125" t="e">
        <f>VLOOKUP(Table257519913140106110151155170178192[[#This Row],[PEG]],Table1016[#All],3,FALSE)</f>
        <v>#N/A</v>
      </c>
    </row>
    <row r="33" spans="1:5" x14ac:dyDescent="0.35">
      <c r="A33" s="118">
        <v>26</v>
      </c>
      <c r="B33" s="114" t="s">
        <v>124</v>
      </c>
      <c r="C33" s="109" t="e">
        <f>VLOOKUP(Table257519913140106110151155170178192[[#This Row],[PEG]],Table1016[#All],2,FALSE)</f>
        <v>#N/A</v>
      </c>
      <c r="D33" s="117"/>
      <c r="E33" s="125" t="e">
        <f>VLOOKUP(Table257519913140106110151155170178192[[#This Row],[PEG]],Table1016[#All],3,FALSE)</f>
        <v>#N/A</v>
      </c>
    </row>
    <row r="34" spans="1:5" x14ac:dyDescent="0.35">
      <c r="A34" s="118">
        <v>27</v>
      </c>
      <c r="B34" s="114" t="s">
        <v>115</v>
      </c>
      <c r="C34" s="109" t="e">
        <f>VLOOKUP(Table257519913140106110151155170178192[[#This Row],[PEG]],Table1016[#All],2,FALSE)</f>
        <v>#N/A</v>
      </c>
      <c r="D34" s="117"/>
      <c r="E34" s="125" t="e">
        <f>VLOOKUP(Table257519913140106110151155170178192[[#This Row],[PEG]],Table1016[#All],3,FALSE)</f>
        <v>#N/A</v>
      </c>
    </row>
    <row r="35" spans="1:5" x14ac:dyDescent="0.35">
      <c r="A35" s="118">
        <v>28</v>
      </c>
      <c r="B35" s="114" t="s">
        <v>124</v>
      </c>
      <c r="C35" s="109" t="e">
        <f>VLOOKUP(Table257519913140106110151155170178192[[#This Row],[PEG]],Table1016[#All],2,FALSE)</f>
        <v>#N/A</v>
      </c>
      <c r="D35" s="117"/>
      <c r="E35" s="125" t="e">
        <f>VLOOKUP(Table257519913140106110151155170178192[[#This Row],[PEG]],Table1016[#All],3,FALSE)</f>
        <v>#N/A</v>
      </c>
    </row>
    <row r="36" spans="1:5" x14ac:dyDescent="0.35">
      <c r="A36" s="118">
        <v>29</v>
      </c>
      <c r="B36" s="114" t="s">
        <v>115</v>
      </c>
      <c r="C36" s="109" t="e">
        <f>VLOOKUP(Table257519913140106110151155170178192[[#This Row],[PEG]],Table1016[#All],2,FALSE)</f>
        <v>#N/A</v>
      </c>
      <c r="D36" s="117"/>
      <c r="E36" s="125" t="e">
        <f>VLOOKUP(Table257519913140106110151155170178192[[#This Row],[PEG]],Table1016[#All],3,FALSE)</f>
        <v>#N/A</v>
      </c>
    </row>
    <row r="37" spans="1:5" x14ac:dyDescent="0.35">
      <c r="A37" s="118">
        <v>30</v>
      </c>
      <c r="B37" s="114" t="s">
        <v>12</v>
      </c>
      <c r="C37" s="109" t="e">
        <f>VLOOKUP(Table257519913140106110151155170178192[[#This Row],[PEG]],Table1016[#All],2,FALSE)</f>
        <v>#N/A</v>
      </c>
      <c r="D37" s="117"/>
      <c r="E37" s="125" t="e">
        <f>VLOOKUP(Table257519913140106110151155170178192[[#This Row],[PEG]],Table1016[#All],3,FALSE)</f>
        <v>#N/A</v>
      </c>
    </row>
    <row r="38" spans="1:5" x14ac:dyDescent="0.35">
      <c r="A38" s="118">
        <v>31</v>
      </c>
      <c r="B38" s="114" t="s">
        <v>12</v>
      </c>
      <c r="C38" s="109" t="e">
        <f>VLOOKUP(Table257519913140106110151155170178192[[#This Row],[PEG]],Table1016[#All],2,FALSE)</f>
        <v>#N/A</v>
      </c>
      <c r="D38" s="117"/>
      <c r="E38" s="125" t="e">
        <f>VLOOKUP(Table257519913140106110151155170178192[[#This Row],[PEG]],Table1016[#All],3,FALSE)</f>
        <v>#N/A</v>
      </c>
    </row>
    <row r="39" spans="1:5" x14ac:dyDescent="0.35">
      <c r="A39" s="118">
        <v>32</v>
      </c>
      <c r="B39" s="114" t="s">
        <v>12</v>
      </c>
      <c r="C39" s="109" t="e">
        <f>VLOOKUP(Table257519913140106110151155170178192[[#This Row],[PEG]],Table1016[#All],2,FALSE)</f>
        <v>#N/A</v>
      </c>
      <c r="D39" s="117"/>
      <c r="E39" s="125" t="e">
        <f>VLOOKUP(Table257519913140106110151155170178192[[#This Row],[PEG]],Table1016[#All],3,FALSE)</f>
        <v>#N/A</v>
      </c>
    </row>
    <row r="40" spans="1:5" x14ac:dyDescent="0.35">
      <c r="A40" s="118">
        <v>33</v>
      </c>
      <c r="B40" s="114" t="s">
        <v>12</v>
      </c>
      <c r="C40" s="109" t="e">
        <f>VLOOKUP(Table257519913140106110151155170178192[[#This Row],[PEG]],Table1016[#All],2,FALSE)</f>
        <v>#N/A</v>
      </c>
      <c r="D40" s="117"/>
      <c r="E40" s="125" t="e">
        <f>VLOOKUP(Table257519913140106110151155170178192[[#This Row],[PEG]],Table1016[#All],3,FALSE)</f>
        <v>#N/A</v>
      </c>
    </row>
    <row r="41" spans="1:5" x14ac:dyDescent="0.35">
      <c r="A41" s="118">
        <v>34</v>
      </c>
      <c r="B41" s="114" t="s">
        <v>115</v>
      </c>
      <c r="C41" s="109" t="e">
        <f>VLOOKUP(Table257519913140106110151155170178192[[#This Row],[PEG]],Table1016[#All],2,FALSE)</f>
        <v>#N/A</v>
      </c>
      <c r="D41" s="117"/>
      <c r="E41" s="125" t="e">
        <f>VLOOKUP(Table257519913140106110151155170178192[[#This Row],[PEG]],Table1016[#All],3,FALSE)</f>
        <v>#N/A</v>
      </c>
    </row>
    <row r="42" spans="1:5" x14ac:dyDescent="0.35">
      <c r="A42" s="118">
        <v>35</v>
      </c>
      <c r="B42" s="114" t="s">
        <v>12</v>
      </c>
      <c r="C42" s="109" t="e">
        <f>VLOOKUP(Table257519913140106110151155170178192[[#This Row],[PEG]],Table1016[#All],2,FALSE)</f>
        <v>#N/A</v>
      </c>
      <c r="D42" s="115"/>
      <c r="E42" s="125" t="e">
        <f>VLOOKUP(Table257519913140106110151155170178192[[#This Row],[PEG]],Table1016[#All],3,FALSE)</f>
        <v>#N/A</v>
      </c>
    </row>
    <row r="43" spans="1:5" x14ac:dyDescent="0.35">
      <c r="A43" s="118">
        <v>36</v>
      </c>
      <c r="B43" s="114" t="s">
        <v>115</v>
      </c>
      <c r="C43" s="109" t="e">
        <f>VLOOKUP(Table257519913140106110151155170178192[[#This Row],[PEG]],Table1016[#All],2,FALSE)</f>
        <v>#N/A</v>
      </c>
      <c r="D43" s="115"/>
      <c r="E43" s="125" t="e">
        <f>VLOOKUP(Table257519913140106110151155170178192[[#This Row],[PEG]],Table1016[#All],3,FALSE)</f>
        <v>#N/A</v>
      </c>
    </row>
    <row r="44" spans="1:5" x14ac:dyDescent="0.35">
      <c r="A44" s="118">
        <v>37</v>
      </c>
      <c r="B44" s="114" t="s">
        <v>13</v>
      </c>
      <c r="C44" s="18" t="s">
        <v>13</v>
      </c>
      <c r="D44" s="115"/>
      <c r="E44" s="32"/>
    </row>
  </sheetData>
  <mergeCells count="1">
    <mergeCell ref="A1:B1"/>
  </mergeCells>
  <conditionalFormatting sqref="B8:B18">
    <cfRule type="containsText" dxfId="1125" priority="1" operator="containsText" text="Hear">
      <formula>NOT(ISERROR(SEARCH("Hear",B8)))</formula>
    </cfRule>
  </conditionalFormatting>
  <conditionalFormatting sqref="B30">
    <cfRule type="containsText" dxfId="1124" priority="4" operator="containsText" text="Hear">
      <formula>NOT(ISERROR(SEARCH("Hear",B30)))</formula>
    </cfRule>
  </conditionalFormatting>
  <conditionalFormatting sqref="B43:B44">
    <cfRule type="containsText" dxfId="1123" priority="8" operator="containsText" text="Hear">
      <formula>NOT(ISERROR(SEARCH("Hear",B43)))</formula>
    </cfRule>
  </conditionalFormatting>
  <conditionalFormatting sqref="E44">
    <cfRule type="containsText" dxfId="1122" priority="6" operator="containsText" text="WEB SERVICE">
      <formula>NOT(ISERROR(SEARCH("WEB SERVICE",E44)))</formula>
    </cfRule>
    <cfRule type="containsText" dxfId="1121" priority="7" operator="containsText" text="DB">
      <formula>NOT(ISERROR(SEARCH("DB",E44)))</formula>
    </cfRule>
  </conditionalFormatting>
  <conditionalFormatting sqref="C44">
    <cfRule type="expression" dxfId="1120" priority="9">
      <formula>$B44="HANGUP"</formula>
    </cfRule>
    <cfRule type="expression" dxfId="1119" priority="9">
      <formula>$B44="Dial"</formula>
    </cfRule>
  </conditionalFormatting>
  <conditionalFormatting sqref="C44">
    <cfRule type="expression" dxfId="1118" priority="3">
      <formula>$B44="Speak"</formula>
    </cfRule>
  </conditionalFormatting>
  <conditionalFormatting sqref="B36:B38 B40:B41">
    <cfRule type="containsText" dxfId="1117" priority="2" operator="containsText" text="Hear">
      <formula>NOT(ISERROR(SEARCH("Hear",B36)))</formula>
    </cfRule>
  </conditionalFormatting>
  <conditionalFormatting sqref="B19:B29 B31:B35 B42">
    <cfRule type="containsText" dxfId="1116" priority="5" operator="containsText" text="Hear">
      <formula>NOT(ISERROR(SEARCH("Hear",B19)))</formula>
    </cfRule>
  </conditionalFormatting>
  <hyperlinks>
    <hyperlink ref="A1" location="'Test Case Overview'!A1" display="Return to Test Case Overview" xr:uid="{E4535D93-AF2A-4B3B-9B9C-44DD45A8B5A9}"/>
  </hyperlinks>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expression" priority="10" id="{D9883E45-2BE5-42E4-AC15-7A7E281BAB01}">
            <xm:f>'TC1'!$B8="Dial"</xm:f>
            <x14:dxf>
              <font>
                <b/>
                <i val="0"/>
                <color rgb="FFFF0000"/>
              </font>
            </x14:dxf>
          </x14:cfRule>
          <x14:cfRule type="expression" priority="10" id="{FF70C296-8937-4716-B3FB-DFF2CDBFB4F4}">
            <xm:f>'TC1'!$B8="HANGUP"</xm:f>
            <x14:dxf>
              <font>
                <b/>
                <i val="0"/>
              </font>
            </x14:dxf>
          </x14:cfRule>
          <xm:sqref>C8</xm:sqref>
        </x14:conditionalFormatting>
        <x14:conditionalFormatting xmlns:xm="http://schemas.microsoft.com/office/excel/2006/main">
          <x14:cfRule type="expression" priority="11" id="{90573990-E643-44BA-852C-A7B85257FEB1}">
            <xm:f>'TC1'!$B8="Speak"</xm:f>
            <x14:dxf>
              <font>
                <b/>
                <i val="0"/>
                <color rgb="FFFF0000"/>
              </font>
            </x14:dxf>
          </x14:cfRule>
          <xm:sqref>C8</xm:sqref>
        </x14:conditionalFormatting>
        <x14:conditionalFormatting xmlns:xm="http://schemas.microsoft.com/office/excel/2006/main">
          <x14:cfRule type="containsText" priority="14" operator="containsText" text="Hear" id="{8287C048-1C0A-471E-9810-C9DCB251C005}">
            <xm:f>NOT(ISERROR(SEARCH("Hear",'TC3'!B34)))</xm:f>
            <x14:dxf>
              <font>
                <color theme="9" tint="-0.24994659260841701"/>
              </font>
              <fill>
                <patternFill>
                  <bgColor theme="9" tint="0.59996337778862885"/>
                </patternFill>
              </fill>
            </x14:dxf>
          </x14:cfRule>
          <xm:sqref>B41</xm:sqref>
        </x14:conditionalFormatting>
        <x14:conditionalFormatting xmlns:xm="http://schemas.microsoft.com/office/excel/2006/main">
          <x14:cfRule type="expression" priority="3103" id="{D9883E45-2BE5-42E4-AC15-7A7E281BAB01}">
            <xm:f>'TC1'!$B16="Dial"</xm:f>
            <x14:dxf>
              <font>
                <b/>
                <i val="0"/>
                <color rgb="FFFF0000"/>
              </font>
            </x14:dxf>
          </x14:cfRule>
          <x14:cfRule type="expression" priority="3104" id="{FF70C296-8937-4716-B3FB-DFF2CDBFB4F4}">
            <xm:f>'TC1'!$B16="HANGUP"</xm:f>
            <x14:dxf>
              <font>
                <b/>
                <i val="0"/>
              </font>
            </x14:dxf>
          </x14:cfRule>
          <xm:sqref>C34:C43</xm:sqref>
        </x14:conditionalFormatting>
        <x14:conditionalFormatting xmlns:xm="http://schemas.microsoft.com/office/excel/2006/main">
          <x14:cfRule type="expression" priority="3105" id="{D9883E45-2BE5-42E4-AC15-7A7E281BAB01}">
            <xm:f>'TC1'!#REF!="Dial"</xm:f>
            <x14:dxf>
              <font>
                <b/>
                <i val="0"/>
                <color rgb="FFFF0000"/>
              </font>
            </x14:dxf>
          </x14:cfRule>
          <x14:cfRule type="expression" priority="3106" id="{FF70C296-8937-4716-B3FB-DFF2CDBFB4F4}">
            <xm:f>'TC1'!#REF!="HANGUP"</xm:f>
            <x14:dxf>
              <font>
                <b/>
                <i val="0"/>
              </font>
            </x14:dxf>
          </x14:cfRule>
          <xm:sqref>C17:C33</xm:sqref>
        </x14:conditionalFormatting>
        <x14:conditionalFormatting xmlns:xm="http://schemas.microsoft.com/office/excel/2006/main">
          <x14:cfRule type="expression" priority="3110" id="{90573990-E643-44BA-852C-A7B85257FEB1}">
            <xm:f>'TC1'!$B16="Speak"</xm:f>
            <x14:dxf>
              <font>
                <b/>
                <i val="0"/>
                <color rgb="FFFF0000"/>
              </font>
            </x14:dxf>
          </x14:cfRule>
          <xm:sqref>C34:C43</xm:sqref>
        </x14:conditionalFormatting>
        <x14:conditionalFormatting xmlns:xm="http://schemas.microsoft.com/office/excel/2006/main">
          <x14:cfRule type="expression" priority="3111" id="{90573990-E643-44BA-852C-A7B85257FEB1}">
            <xm:f>'TC1'!#REF!="Speak"</xm:f>
            <x14:dxf>
              <font>
                <b/>
                <i val="0"/>
                <color rgb="FFFF0000"/>
              </font>
            </x14:dxf>
          </x14:cfRule>
          <xm:sqref>C17:C33</xm:sqref>
        </x14:conditionalFormatting>
        <x14:conditionalFormatting xmlns:xm="http://schemas.microsoft.com/office/excel/2006/main">
          <x14:cfRule type="containsText" priority="3115" operator="containsText" text="DB" id="{678F3211-433D-44A2-AAAD-5C2BA6BC7676}">
            <xm:f>NOT(ISERROR(SEARCH("DB",'TC1'!E16)))</xm:f>
            <x14:dxf>
              <font>
                <color rgb="FF006100"/>
              </font>
              <fill>
                <patternFill>
                  <bgColor rgb="FFC6EFCE"/>
                </patternFill>
              </fill>
            </x14:dxf>
          </x14:cfRule>
          <x14:cfRule type="containsText" priority="3116" operator="containsText" text="WEB SERVICE" id="{818B3688-EEB3-462B-B8EB-181FD64228F1}">
            <xm:f>NOT(ISERROR(SEARCH("WEB SERVICE",'TC1'!E16)))</xm:f>
            <x14:dxf>
              <font>
                <color rgb="FF9C0006"/>
              </font>
              <fill>
                <patternFill>
                  <bgColor rgb="FFFFC7CE"/>
                </patternFill>
              </fill>
            </x14:dxf>
          </x14:cfRule>
          <xm:sqref>E34:E43</xm:sqref>
        </x14:conditionalFormatting>
        <x14:conditionalFormatting xmlns:xm="http://schemas.microsoft.com/office/excel/2006/main">
          <x14:cfRule type="containsText" priority="3117" operator="containsText" text="DB" id="{678F3211-433D-44A2-AAAD-5C2BA6BC7676}">
            <xm:f>NOT(ISERROR(SEARCH("DB",'TC1'!#REF!)))</xm:f>
            <x14:dxf>
              <font>
                <color rgb="FF006100"/>
              </font>
              <fill>
                <patternFill>
                  <bgColor rgb="FFC6EFCE"/>
                </patternFill>
              </fill>
            </x14:dxf>
          </x14:cfRule>
          <x14:cfRule type="containsText" priority="3118" operator="containsText" text="WEB SERVICE" id="{818B3688-EEB3-462B-B8EB-181FD64228F1}">
            <xm:f>NOT(ISERROR(SEARCH("WEB SERVICE",'TC1'!#REF!)))</xm:f>
            <x14:dxf>
              <font>
                <color rgb="FF9C0006"/>
              </font>
              <fill>
                <patternFill>
                  <bgColor rgb="FFFFC7CE"/>
                </patternFill>
              </fill>
            </x14:dxf>
          </x14:cfRule>
          <xm:sqref>E17:E33</xm:sqref>
        </x14:conditionalFormatting>
        <x14:conditionalFormatting xmlns:xm="http://schemas.microsoft.com/office/excel/2006/main">
          <x14:cfRule type="expression" priority="5731" id="{D9883E45-2BE5-42E4-AC15-7A7E281BAB01}">
            <xm:f>'TC1'!$B9="Dial"</xm:f>
            <x14:dxf>
              <font>
                <b/>
                <i val="0"/>
                <color rgb="FFFF0000"/>
              </font>
            </x14:dxf>
          </x14:cfRule>
          <x14:cfRule type="expression" priority="5732" id="{FF70C296-8937-4716-B3FB-DFF2CDBFB4F4}">
            <xm:f>'TC1'!$B9="HANGUP"</xm:f>
            <x14:dxf>
              <font>
                <b/>
                <i val="0"/>
              </font>
            </x14:dxf>
          </x14:cfRule>
          <xm:sqref>C12:C15</xm:sqref>
        </x14:conditionalFormatting>
        <x14:conditionalFormatting xmlns:xm="http://schemas.microsoft.com/office/excel/2006/main">
          <x14:cfRule type="expression" priority="5733" id="{D9883E45-2BE5-42E4-AC15-7A7E281BAB01}">
            <xm:f>'TC1'!#REF!="Dial"</xm:f>
            <x14:dxf>
              <font>
                <b/>
                <i val="0"/>
                <color rgb="FFFF0000"/>
              </font>
            </x14:dxf>
          </x14:cfRule>
          <x14:cfRule type="expression" priority="5734" id="{FF70C296-8937-4716-B3FB-DFF2CDBFB4F4}">
            <xm:f>'TC1'!#REF!="HANGUP"</xm:f>
            <x14:dxf>
              <font>
                <b/>
                <i val="0"/>
              </font>
            </x14:dxf>
          </x14:cfRule>
          <xm:sqref>C9:C11</xm:sqref>
        </x14:conditionalFormatting>
        <x14:conditionalFormatting xmlns:xm="http://schemas.microsoft.com/office/excel/2006/main">
          <x14:cfRule type="expression" priority="5738" id="{90573990-E643-44BA-852C-A7B85257FEB1}">
            <xm:f>'TC1'!$B9="Speak"</xm:f>
            <x14:dxf>
              <font>
                <b/>
                <i val="0"/>
                <color rgb="FFFF0000"/>
              </font>
            </x14:dxf>
          </x14:cfRule>
          <xm:sqref>C12:C15</xm:sqref>
        </x14:conditionalFormatting>
        <x14:conditionalFormatting xmlns:xm="http://schemas.microsoft.com/office/excel/2006/main">
          <x14:cfRule type="expression" priority="5739" id="{90573990-E643-44BA-852C-A7B85257FEB1}">
            <xm:f>'TC1'!#REF!="Speak"</xm:f>
            <x14:dxf>
              <font>
                <b/>
                <i val="0"/>
                <color rgb="FFFF0000"/>
              </font>
            </x14:dxf>
          </x14:cfRule>
          <xm:sqref>C9:C11</xm:sqref>
        </x14:conditionalFormatting>
        <x14:conditionalFormatting xmlns:xm="http://schemas.microsoft.com/office/excel/2006/main">
          <x14:cfRule type="containsText" priority="5741" operator="containsText" text="DB" id="{678F3211-433D-44A2-AAAD-5C2BA6BC7676}">
            <xm:f>NOT(ISERROR(SEARCH("DB",'TC1'!#REF!)))</xm:f>
            <x14:dxf>
              <font>
                <color rgb="FF006100"/>
              </font>
              <fill>
                <patternFill>
                  <bgColor rgb="FFC6EFCE"/>
                </patternFill>
              </fill>
            </x14:dxf>
          </x14:cfRule>
          <x14:cfRule type="containsText" priority="5742" operator="containsText" text="WEB SERVICE" id="{818B3688-EEB3-462B-B8EB-181FD64228F1}">
            <xm:f>NOT(ISERROR(SEARCH("WEB SERVICE",'TC1'!#REF!)))</xm:f>
            <x14:dxf>
              <font>
                <color rgb="FF9C0006"/>
              </font>
              <fill>
                <patternFill>
                  <bgColor rgb="FFFFC7CE"/>
                </patternFill>
              </fill>
            </x14:dxf>
          </x14:cfRule>
          <xm:sqref>E9:E11</xm:sqref>
        </x14:conditionalFormatting>
        <x14:conditionalFormatting xmlns:xm="http://schemas.microsoft.com/office/excel/2006/main">
          <x14:cfRule type="containsText" priority="5743" operator="containsText" text="DB" id="{678F3211-433D-44A2-AAAD-5C2BA6BC7676}">
            <xm:f>NOT(ISERROR(SEARCH("DB",'TC1'!E9)))</xm:f>
            <x14:dxf>
              <font>
                <color rgb="FF006100"/>
              </font>
              <fill>
                <patternFill>
                  <bgColor rgb="FFC6EFCE"/>
                </patternFill>
              </fill>
            </x14:dxf>
          </x14:cfRule>
          <x14:cfRule type="containsText" priority="5744" operator="containsText" text="WEB SERVICE" id="{818B3688-EEB3-462B-B8EB-181FD64228F1}">
            <xm:f>NOT(ISERROR(SEARCH("WEB SERVICE",'TC1'!E9)))</xm:f>
            <x14:dxf>
              <font>
                <color rgb="FF9C0006"/>
              </font>
              <fill>
                <patternFill>
                  <bgColor rgb="FFFFC7CE"/>
                </patternFill>
              </fill>
            </x14:dxf>
          </x14:cfRule>
          <xm:sqref>E12:E15</xm:sqref>
        </x14:conditionalFormatting>
        <x14:conditionalFormatting xmlns:xm="http://schemas.microsoft.com/office/excel/2006/main">
          <x14:cfRule type="expression" priority="7955" id="{D9883E45-2BE5-42E4-AC15-7A7E281BAB01}">
            <xm:f>'TC1'!$B15="Dial"</xm:f>
            <x14:dxf>
              <font>
                <b/>
                <i val="0"/>
                <color rgb="FFFF0000"/>
              </font>
            </x14:dxf>
          </x14:cfRule>
          <x14:cfRule type="expression" priority="7956" id="{FF70C296-8937-4716-B3FB-DFF2CDBFB4F4}">
            <xm:f>'TC1'!$B15="HANGUP"</xm:f>
            <x14:dxf>
              <font>
                <b/>
                <i val="0"/>
              </font>
            </x14:dxf>
          </x14:cfRule>
          <xm:sqref>C16</xm:sqref>
        </x14:conditionalFormatting>
        <x14:conditionalFormatting xmlns:xm="http://schemas.microsoft.com/office/excel/2006/main">
          <x14:cfRule type="expression" priority="7958" id="{90573990-E643-44BA-852C-A7B85257FEB1}">
            <xm:f>'TC1'!$B15="Speak"</xm:f>
            <x14:dxf>
              <font>
                <b/>
                <i val="0"/>
                <color rgb="FFFF0000"/>
              </font>
            </x14:dxf>
          </x14:cfRule>
          <xm:sqref>C16</xm:sqref>
        </x14:conditionalFormatting>
        <x14:conditionalFormatting xmlns:xm="http://schemas.microsoft.com/office/excel/2006/main">
          <x14:cfRule type="containsText" priority="7961" operator="containsText" text="DB" id="{678F3211-433D-44A2-AAAD-5C2BA6BC7676}">
            <xm:f>NOT(ISERROR(SEARCH("DB",'TC1'!E15)))</xm:f>
            <x14:dxf>
              <font>
                <color rgb="FF006100"/>
              </font>
              <fill>
                <patternFill>
                  <bgColor rgb="FFC6EFCE"/>
                </patternFill>
              </fill>
            </x14:dxf>
          </x14:cfRule>
          <x14:cfRule type="containsText" priority="7962" operator="containsText" text="WEB SERVICE" id="{818B3688-EEB3-462B-B8EB-181FD64228F1}">
            <xm:f>NOT(ISERROR(SEARCH("WEB SERVICE",'TC1'!E15)))</xm:f>
            <x14:dxf>
              <font>
                <color rgb="FF9C0006"/>
              </font>
              <fill>
                <patternFill>
                  <bgColor rgb="FFFFC7CE"/>
                </patternFill>
              </fill>
            </x14:dxf>
          </x14:cfRule>
          <xm:sqref>E16</xm:sqref>
        </x14:conditionalFormatting>
        <x14:conditionalFormatting xmlns:xm="http://schemas.microsoft.com/office/excel/2006/main">
          <x14:cfRule type="containsText" priority="10674" operator="containsText" text="Hear" id="{277F0096-3FAC-4A55-BF24-5C88CE21CD11}">
            <xm:f>NOT(ISERROR(SEARCH("Hear",'TC26'!#REF!)))</xm:f>
            <x14:dxf>
              <font>
                <color theme="9" tint="-0.24994659260841701"/>
              </font>
              <fill>
                <patternFill>
                  <bgColor theme="9" tint="0.59996337778862885"/>
                </patternFill>
              </fill>
            </x14:dxf>
          </x14:cfRule>
          <xm:sqref>B39</xm:sqref>
        </x14:conditionalFormatting>
      </x14:conditionalFormattings>
    </ext>
  </extLst>
</worksheet>
</file>

<file path=xl/worksheets/sheet1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F00-000000000000}">
  <sheetPr codeName="Sheet145"/>
  <dimension ref="A1:E44"/>
  <sheetViews>
    <sheetView zoomScaleNormal="100" workbookViewId="0">
      <selection sqref="A1:E44"/>
    </sheetView>
  </sheetViews>
  <sheetFormatPr defaultRowHeight="14.5" x14ac:dyDescent="0.35"/>
  <cols>
    <col min="1" max="1" width="14.453125" bestFit="1" customWidth="1"/>
    <col min="2" max="2" width="42.6328125" customWidth="1"/>
    <col min="3" max="3" width="106.1796875" customWidth="1"/>
    <col min="4" max="4" width="21.81640625" bestFit="1" customWidth="1"/>
    <col min="5" max="5" width="20.6328125" customWidth="1"/>
  </cols>
  <sheetData>
    <row r="1" spans="1:5" ht="18.5" x14ac:dyDescent="0.35">
      <c r="A1" s="192" t="s">
        <v>4</v>
      </c>
      <c r="B1" s="192"/>
      <c r="C1" s="105"/>
      <c r="D1" s="111"/>
      <c r="E1" s="97"/>
    </row>
    <row r="2" spans="1:5" x14ac:dyDescent="0.35">
      <c r="A2" s="106" t="s">
        <v>5</v>
      </c>
      <c r="B2" s="107" t="str">
        <f ca="1">MID(CELL("filename",A1),FIND("]",CELL("filename",A1))+1,LEN(CELL("filename",A1))-FIND("]",CELL("filename",A1)))</f>
        <v>TC143</v>
      </c>
      <c r="C2" s="98"/>
      <c r="D2" s="111"/>
      <c r="E2" s="97"/>
    </row>
    <row r="3" spans="1:5" x14ac:dyDescent="0.35">
      <c r="A3" s="104" t="s">
        <v>19</v>
      </c>
      <c r="B3" s="112" t="e">
        <f ca="1">VLOOKUP(B2,Table53[#All],2,FALSE)</f>
        <v>#N/A</v>
      </c>
      <c r="C3" s="98"/>
      <c r="D3" s="111"/>
      <c r="E3" s="97"/>
    </row>
    <row r="4" spans="1:5" ht="29" x14ac:dyDescent="0.35">
      <c r="A4" s="113" t="s">
        <v>20</v>
      </c>
      <c r="B4" s="99" t="e">
        <f ca="1">VLOOKUP(B2,Table53[#All],4,FALSE)</f>
        <v>#N/A</v>
      </c>
      <c r="C4" s="98"/>
      <c r="D4" s="111"/>
      <c r="E4" s="97"/>
    </row>
    <row r="5" spans="1:5" x14ac:dyDescent="0.35">
      <c r="A5" s="104" t="s">
        <v>6</v>
      </c>
      <c r="B5" s="77" t="e">
        <f ca="1">VLOOKUP(B2,Table53[#All],3,FALSE)</f>
        <v>#N/A</v>
      </c>
      <c r="C5" s="98"/>
      <c r="D5" s="111"/>
      <c r="E5" s="97"/>
    </row>
    <row r="6" spans="1:5" x14ac:dyDescent="0.35">
      <c r="A6" s="97"/>
      <c r="B6" s="97"/>
      <c r="C6" s="98"/>
      <c r="D6" s="111"/>
      <c r="E6" s="97"/>
    </row>
    <row r="7" spans="1:5" ht="15.5" x14ac:dyDescent="0.35">
      <c r="A7" s="100" t="s">
        <v>7</v>
      </c>
      <c r="B7" s="101" t="s">
        <v>8</v>
      </c>
      <c r="C7" s="102" t="s">
        <v>9</v>
      </c>
      <c r="D7" s="102" t="s">
        <v>14</v>
      </c>
      <c r="E7" s="103" t="s">
        <v>10</v>
      </c>
    </row>
    <row r="8" spans="1:5" x14ac:dyDescent="0.35">
      <c r="A8" s="118">
        <v>1</v>
      </c>
      <c r="B8" s="114" t="s">
        <v>114</v>
      </c>
      <c r="C8" s="109" t="s">
        <v>125</v>
      </c>
      <c r="D8" s="128"/>
      <c r="E8" s="125" t="s">
        <v>11</v>
      </c>
    </row>
    <row r="9" spans="1:5" x14ac:dyDescent="0.35">
      <c r="A9" s="118">
        <v>2</v>
      </c>
      <c r="B9" s="114" t="s">
        <v>12</v>
      </c>
      <c r="C9" s="109" t="e">
        <f>VLOOKUP(Table257519913140106110151155170178194[[#This Row],[PEG]],Table1016[#All],2,FALSE)</f>
        <v>#N/A</v>
      </c>
      <c r="D9" s="128"/>
      <c r="E9" s="125" t="e">
        <f>VLOOKUP(Table257519913140106110151155170178194[[#This Row],[PEG]],Table1016[#All],3,FALSE)</f>
        <v>#N/A</v>
      </c>
    </row>
    <row r="10" spans="1:5" x14ac:dyDescent="0.35">
      <c r="A10" s="118">
        <v>3</v>
      </c>
      <c r="B10" s="114" t="s">
        <v>115</v>
      </c>
      <c r="C10" s="109" t="e">
        <f>VLOOKUP(Table257519913140106110151155170178194[[#This Row],[PEG]],Table1016[#All],2,FALSE)</f>
        <v>#N/A</v>
      </c>
      <c r="D10" s="128"/>
      <c r="E10" s="125" t="e">
        <f>VLOOKUP(Table257519913140106110151155170178194[[#This Row],[PEG]],Table1016[#All],3,FALSE)</f>
        <v>#N/A</v>
      </c>
    </row>
    <row r="11" spans="1:5" x14ac:dyDescent="0.35">
      <c r="A11" s="118">
        <v>4</v>
      </c>
      <c r="B11" s="114" t="s">
        <v>115</v>
      </c>
      <c r="C11" s="109" t="e">
        <f>VLOOKUP(Table257519913140106110151155170178194[[#This Row],[PEG]],Table1016[#All],2,FALSE)</f>
        <v>#N/A</v>
      </c>
      <c r="D11" s="128"/>
      <c r="E11" s="125" t="e">
        <f>VLOOKUP(Table257519913140106110151155170178194[[#This Row],[PEG]],Table1016[#All],3,FALSE)</f>
        <v>#N/A</v>
      </c>
    </row>
    <row r="12" spans="1:5" x14ac:dyDescent="0.35">
      <c r="A12" s="118">
        <v>5</v>
      </c>
      <c r="B12" s="114" t="s">
        <v>114</v>
      </c>
      <c r="C12" s="109" t="e">
        <f>VLOOKUP(Table257519913140106110151155170178194[[#This Row],[PEG]],Table1016[#All],2,FALSE)</f>
        <v>#N/A</v>
      </c>
      <c r="D12" s="128"/>
      <c r="E12" s="125" t="e">
        <f>VLOOKUP(Table257519913140106110151155170178194[[#This Row],[PEG]],Table1016[#All],3,FALSE)</f>
        <v>#N/A</v>
      </c>
    </row>
    <row r="13" spans="1:5" x14ac:dyDescent="0.35">
      <c r="A13" s="118">
        <v>6</v>
      </c>
      <c r="B13" s="114" t="s">
        <v>115</v>
      </c>
      <c r="C13" s="109" t="e">
        <f>VLOOKUP(Table257519913140106110151155170178194[[#This Row],[PEG]],Table1016[#All],2,FALSE)</f>
        <v>#N/A</v>
      </c>
      <c r="D13" s="128"/>
      <c r="E13" s="125" t="e">
        <f>VLOOKUP(Table257519913140106110151155170178194[[#This Row],[PEG]],Table1016[#All],3,FALSE)</f>
        <v>#N/A</v>
      </c>
    </row>
    <row r="14" spans="1:5" x14ac:dyDescent="0.35">
      <c r="A14" s="118">
        <v>7</v>
      </c>
      <c r="B14" s="114" t="s">
        <v>114</v>
      </c>
      <c r="C14" s="109" t="e">
        <f>VLOOKUP(Table257519913140106110151155170178194[[#This Row],[PEG]],Table1016[#All],2,FALSE)</f>
        <v>#N/A</v>
      </c>
      <c r="D14" s="128"/>
      <c r="E14" s="125" t="e">
        <f>VLOOKUP(Table257519913140106110151155170178194[[#This Row],[PEG]],Table1016[#All],3,FALSE)</f>
        <v>#N/A</v>
      </c>
    </row>
    <row r="15" spans="1:5" x14ac:dyDescent="0.35">
      <c r="A15" s="118">
        <v>8</v>
      </c>
      <c r="B15" s="114" t="s">
        <v>115</v>
      </c>
      <c r="C15" s="109" t="e">
        <f>VLOOKUP(Table257519913140106110151155170178194[[#This Row],[PEG]],Table1016[#All],2,FALSE)</f>
        <v>#N/A</v>
      </c>
      <c r="D15" s="116"/>
      <c r="E15" s="125" t="e">
        <f>VLOOKUP(Table257519913140106110151155170178194[[#This Row],[PEG]],Table1016[#All],3,FALSE)</f>
        <v>#N/A</v>
      </c>
    </row>
    <row r="16" spans="1:5" x14ac:dyDescent="0.35">
      <c r="A16" s="118">
        <v>9</v>
      </c>
      <c r="B16" s="114" t="s">
        <v>12</v>
      </c>
      <c r="C16" s="109" t="e">
        <f>VLOOKUP(Table257519913140106110151155170178194[[#This Row],[PEG]],Table1016[#All],2,FALSE)</f>
        <v>#N/A</v>
      </c>
      <c r="D16" s="116"/>
      <c r="E16" s="125" t="e">
        <f>VLOOKUP(Table257519913140106110151155170178194[[#This Row],[PEG]],Table1016[#All],3,FALSE)</f>
        <v>#N/A</v>
      </c>
    </row>
    <row r="17" spans="1:5" x14ac:dyDescent="0.35">
      <c r="A17" s="118">
        <v>10</v>
      </c>
      <c r="B17" s="114" t="s">
        <v>12</v>
      </c>
      <c r="C17" s="109" t="e">
        <f>VLOOKUP(Table257519913140106110151155170178194[[#This Row],[PEG]],Table1016[#All],2,FALSE)</f>
        <v>#N/A</v>
      </c>
      <c r="D17" s="117"/>
      <c r="E17" s="125" t="e">
        <f>VLOOKUP(Table257519913140106110151155170178194[[#This Row],[PEG]],Table1016[#All],3,FALSE)</f>
        <v>#N/A</v>
      </c>
    </row>
    <row r="18" spans="1:5" x14ac:dyDescent="0.35">
      <c r="A18" s="118">
        <v>11</v>
      </c>
      <c r="B18" s="114" t="s">
        <v>115</v>
      </c>
      <c r="C18" s="109" t="e">
        <f>VLOOKUP(Table257519913140106110151155170178194[[#This Row],[PEG]],Table1016[#All],2,FALSE)</f>
        <v>#N/A</v>
      </c>
      <c r="D18" s="117"/>
      <c r="E18" s="125" t="e">
        <f>VLOOKUP(Table257519913140106110151155170178194[[#This Row],[PEG]],Table1016[#All],3,FALSE)</f>
        <v>#N/A</v>
      </c>
    </row>
    <row r="19" spans="1:5" x14ac:dyDescent="0.35">
      <c r="A19" s="118">
        <v>12</v>
      </c>
      <c r="B19" s="114" t="s">
        <v>115</v>
      </c>
      <c r="C19" s="109" t="e">
        <f>VLOOKUP(Table257519913140106110151155170178194[[#This Row],[PEG]],Table1016[#All],2,FALSE)</f>
        <v>#N/A</v>
      </c>
      <c r="D19" s="117"/>
      <c r="E19" s="125" t="e">
        <f>VLOOKUP(Table257519913140106110151155170178194[[#This Row],[PEG]],Table1016[#All],3,FALSE)</f>
        <v>#N/A</v>
      </c>
    </row>
    <row r="20" spans="1:5" x14ac:dyDescent="0.35">
      <c r="A20" s="118">
        <v>13</v>
      </c>
      <c r="B20" s="114" t="s">
        <v>114</v>
      </c>
      <c r="C20" s="109" t="e">
        <f>VLOOKUP(Table257519913140106110151155170178194[[#This Row],[PEG]],Table1016[#All],2,FALSE)</f>
        <v>#N/A</v>
      </c>
      <c r="D20" s="117"/>
      <c r="E20" s="125" t="e">
        <f>VLOOKUP(Table257519913140106110151155170178194[[#This Row],[PEG]],Table1016[#All],3,FALSE)</f>
        <v>#N/A</v>
      </c>
    </row>
    <row r="21" spans="1:5" x14ac:dyDescent="0.35">
      <c r="A21" s="118">
        <v>14</v>
      </c>
      <c r="B21" s="114" t="s">
        <v>12</v>
      </c>
      <c r="C21" s="109" t="e">
        <f>VLOOKUP(Table257519913140106110151155170178194[[#This Row],[PEG]],Table1016[#All],2,FALSE)</f>
        <v>#N/A</v>
      </c>
      <c r="D21" s="117"/>
      <c r="E21" s="125" t="e">
        <f>VLOOKUP(Table257519913140106110151155170178194[[#This Row],[PEG]],Table1016[#All],3,FALSE)</f>
        <v>#N/A</v>
      </c>
    </row>
    <row r="22" spans="1:5" x14ac:dyDescent="0.35">
      <c r="A22" s="118">
        <v>15</v>
      </c>
      <c r="B22" s="114" t="s">
        <v>12</v>
      </c>
      <c r="C22" s="109" t="e">
        <f>VLOOKUP(Table257519913140106110151155170178194[[#This Row],[PEG]],Table1016[#All],2,FALSE)</f>
        <v>#N/A</v>
      </c>
      <c r="D22" s="117"/>
      <c r="E22" s="125" t="e">
        <f>VLOOKUP(Table257519913140106110151155170178194[[#This Row],[PEG]],Table1016[#All],3,FALSE)</f>
        <v>#N/A</v>
      </c>
    </row>
    <row r="23" spans="1:5" x14ac:dyDescent="0.35">
      <c r="A23" s="118">
        <v>16</v>
      </c>
      <c r="B23" s="114" t="s">
        <v>115</v>
      </c>
      <c r="C23" s="109" t="e">
        <f>VLOOKUP(Table257519913140106110151155170178194[[#This Row],[PEG]],Table1016[#All],2,FALSE)</f>
        <v>#N/A</v>
      </c>
      <c r="D23" s="117"/>
      <c r="E23" s="125" t="e">
        <f>VLOOKUP(Table257519913140106110151155170178194[[#This Row],[PEG]],Table1016[#All],3,FALSE)</f>
        <v>#N/A</v>
      </c>
    </row>
    <row r="24" spans="1:5" x14ac:dyDescent="0.35">
      <c r="A24" s="118">
        <v>17</v>
      </c>
      <c r="B24" s="114" t="s">
        <v>114</v>
      </c>
      <c r="C24" s="109" t="e">
        <f>VLOOKUP(Table257519913140106110151155170178194[[#This Row],[PEG]],Table1016[#All],2,FALSE)</f>
        <v>#N/A</v>
      </c>
      <c r="D24" s="117"/>
      <c r="E24" s="125" t="e">
        <f>VLOOKUP(Table257519913140106110151155170178194[[#This Row],[PEG]],Table1016[#All],3,FALSE)</f>
        <v>#N/A</v>
      </c>
    </row>
    <row r="25" spans="1:5" x14ac:dyDescent="0.35">
      <c r="A25" s="118">
        <v>18</v>
      </c>
      <c r="B25" s="114" t="s">
        <v>12</v>
      </c>
      <c r="C25" s="109" t="e">
        <f>VLOOKUP(Table257519913140106110151155170178194[[#This Row],[PEG]],Table1016[#All],2,FALSE)</f>
        <v>#N/A</v>
      </c>
      <c r="D25" s="117"/>
      <c r="E25" s="125" t="e">
        <f>VLOOKUP(Table257519913140106110151155170178194[[#This Row],[PEG]],Table1016[#All],3,FALSE)</f>
        <v>#N/A</v>
      </c>
    </row>
    <row r="26" spans="1:5" x14ac:dyDescent="0.35">
      <c r="A26" s="118">
        <v>19</v>
      </c>
      <c r="B26" s="114" t="s">
        <v>12</v>
      </c>
      <c r="C26" s="109" t="e">
        <f>VLOOKUP(Table257519913140106110151155170178194[[#This Row],[PEG]],Table1016[#All],2,FALSE)</f>
        <v>#N/A</v>
      </c>
      <c r="D26" s="117"/>
      <c r="E26" s="125" t="e">
        <f>VLOOKUP(Table257519913140106110151155170178194[[#This Row],[PEG]],Table1016[#All],3,FALSE)</f>
        <v>#N/A</v>
      </c>
    </row>
    <row r="27" spans="1:5" x14ac:dyDescent="0.35">
      <c r="A27" s="118">
        <v>20</v>
      </c>
      <c r="B27" s="114" t="s">
        <v>115</v>
      </c>
      <c r="C27" s="109" t="e">
        <f>VLOOKUP(Table257519913140106110151155170178194[[#This Row],[PEG]],Table1016[#All],2,FALSE)</f>
        <v>#N/A</v>
      </c>
      <c r="D27" s="117"/>
      <c r="E27" s="125" t="e">
        <f>VLOOKUP(Table257519913140106110151155170178194[[#This Row],[PEG]],Table1016[#All],3,FALSE)</f>
        <v>#N/A</v>
      </c>
    </row>
    <row r="28" spans="1:5" x14ac:dyDescent="0.35">
      <c r="A28" s="118">
        <v>21</v>
      </c>
      <c r="B28" s="114" t="s">
        <v>114</v>
      </c>
      <c r="C28" s="109" t="e">
        <f>VLOOKUP(Table257519913140106110151155170178194[[#This Row],[PEG]],Table1016[#All],2,FALSE)</f>
        <v>#N/A</v>
      </c>
      <c r="D28" s="117"/>
      <c r="E28" s="125" t="e">
        <f>VLOOKUP(Table257519913140106110151155170178194[[#This Row],[PEG]],Table1016[#All],3,FALSE)</f>
        <v>#N/A</v>
      </c>
    </row>
    <row r="29" spans="1:5" x14ac:dyDescent="0.35">
      <c r="A29" s="118">
        <v>22</v>
      </c>
      <c r="B29" s="114" t="s">
        <v>12</v>
      </c>
      <c r="C29" s="109" t="e">
        <f>VLOOKUP(Table257519913140106110151155170178194[[#This Row],[PEG]],Table1016[#All],2,FALSE)</f>
        <v>#N/A</v>
      </c>
      <c r="D29" s="117"/>
      <c r="E29" s="125" t="e">
        <f>VLOOKUP(Table257519913140106110151155170178194[[#This Row],[PEG]],Table1016[#All],3,FALSE)</f>
        <v>#N/A</v>
      </c>
    </row>
    <row r="30" spans="1:5" x14ac:dyDescent="0.35">
      <c r="A30" s="118">
        <v>23</v>
      </c>
      <c r="B30" s="114" t="s">
        <v>12</v>
      </c>
      <c r="C30" s="109" t="e">
        <f>VLOOKUP(Table257519913140106110151155170178194[[#This Row],[PEG]],Table1016[#All],2,FALSE)</f>
        <v>#N/A</v>
      </c>
      <c r="D30" s="117"/>
      <c r="E30" s="125" t="e">
        <f>VLOOKUP(Table257519913140106110151155170178194[[#This Row],[PEG]],Table1016[#All],3,FALSE)</f>
        <v>#N/A</v>
      </c>
    </row>
    <row r="31" spans="1:5" x14ac:dyDescent="0.35">
      <c r="A31" s="118">
        <v>24</v>
      </c>
      <c r="B31" s="114" t="s">
        <v>115</v>
      </c>
      <c r="C31" s="109" t="e">
        <f>VLOOKUP(Table257519913140106110151155170178194[[#This Row],[PEG]],Table1016[#All],2,FALSE)</f>
        <v>#N/A</v>
      </c>
      <c r="D31" s="117"/>
      <c r="E31" s="125" t="e">
        <f>VLOOKUP(Table257519913140106110151155170178194[[#This Row],[PEG]],Table1016[#All],3,FALSE)</f>
        <v>#N/A</v>
      </c>
    </row>
    <row r="32" spans="1:5" x14ac:dyDescent="0.35">
      <c r="A32" s="118">
        <v>25</v>
      </c>
      <c r="B32" s="114" t="s">
        <v>115</v>
      </c>
      <c r="C32" s="109" t="e">
        <f>VLOOKUP(Table257519913140106110151155170178194[[#This Row],[PEG]],Table1016[#All],2,FALSE)</f>
        <v>#N/A</v>
      </c>
      <c r="D32" s="117"/>
      <c r="E32" s="125" t="e">
        <f>VLOOKUP(Table257519913140106110151155170178194[[#This Row],[PEG]],Table1016[#All],3,FALSE)</f>
        <v>#N/A</v>
      </c>
    </row>
    <row r="33" spans="1:5" x14ac:dyDescent="0.35">
      <c r="A33" s="118">
        <v>26</v>
      </c>
      <c r="B33" s="114" t="s">
        <v>124</v>
      </c>
      <c r="C33" s="109" t="e">
        <f>VLOOKUP(Table257519913140106110151155170178194[[#This Row],[PEG]],Table1016[#All],2,FALSE)</f>
        <v>#N/A</v>
      </c>
      <c r="D33" s="117"/>
      <c r="E33" s="125" t="e">
        <f>VLOOKUP(Table257519913140106110151155170178194[[#This Row],[PEG]],Table1016[#All],3,FALSE)</f>
        <v>#N/A</v>
      </c>
    </row>
    <row r="34" spans="1:5" x14ac:dyDescent="0.35">
      <c r="A34" s="118">
        <v>27</v>
      </c>
      <c r="B34" s="114" t="s">
        <v>115</v>
      </c>
      <c r="C34" s="109" t="e">
        <f>VLOOKUP(Table257519913140106110151155170178194[[#This Row],[PEG]],Table1016[#All],2,FALSE)</f>
        <v>#N/A</v>
      </c>
      <c r="D34" s="117"/>
      <c r="E34" s="125" t="e">
        <f>VLOOKUP(Table257519913140106110151155170178194[[#This Row],[PEG]],Table1016[#All],3,FALSE)</f>
        <v>#N/A</v>
      </c>
    </row>
    <row r="35" spans="1:5" x14ac:dyDescent="0.35">
      <c r="A35" s="118">
        <v>28</v>
      </c>
      <c r="B35" s="114" t="s">
        <v>124</v>
      </c>
      <c r="C35" s="109" t="e">
        <f>VLOOKUP(Table257519913140106110151155170178194[[#This Row],[PEG]],Table1016[#All],2,FALSE)</f>
        <v>#N/A</v>
      </c>
      <c r="D35" s="117"/>
      <c r="E35" s="125" t="e">
        <f>VLOOKUP(Table257519913140106110151155170178194[[#This Row],[PEG]],Table1016[#All],3,FALSE)</f>
        <v>#N/A</v>
      </c>
    </row>
    <row r="36" spans="1:5" x14ac:dyDescent="0.35">
      <c r="A36" s="118">
        <v>29</v>
      </c>
      <c r="B36" s="114" t="s">
        <v>115</v>
      </c>
      <c r="C36" s="109" t="e">
        <f>VLOOKUP(Table257519913140106110151155170178194[[#This Row],[PEG]],Table1016[#All],2,FALSE)</f>
        <v>#N/A</v>
      </c>
      <c r="D36" s="117"/>
      <c r="E36" s="125" t="e">
        <f>VLOOKUP(Table257519913140106110151155170178194[[#This Row],[PEG]],Table1016[#All],3,FALSE)</f>
        <v>#N/A</v>
      </c>
    </row>
    <row r="37" spans="1:5" x14ac:dyDescent="0.35">
      <c r="A37" s="118">
        <v>30</v>
      </c>
      <c r="B37" s="114" t="s">
        <v>12</v>
      </c>
      <c r="C37" s="109" t="e">
        <f>VLOOKUP(Table257519913140106110151155170178194[[#This Row],[PEG]],Table1016[#All],2,FALSE)</f>
        <v>#N/A</v>
      </c>
      <c r="D37" s="117"/>
      <c r="E37" s="125" t="e">
        <f>VLOOKUP(Table257519913140106110151155170178194[[#This Row],[PEG]],Table1016[#All],3,FALSE)</f>
        <v>#N/A</v>
      </c>
    </row>
    <row r="38" spans="1:5" x14ac:dyDescent="0.35">
      <c r="A38" s="118">
        <v>31</v>
      </c>
      <c r="B38" s="114" t="s">
        <v>12</v>
      </c>
      <c r="C38" s="109" t="e">
        <f>VLOOKUP(Table257519913140106110151155170178194[[#This Row],[PEG]],Table1016[#All],2,FALSE)</f>
        <v>#N/A</v>
      </c>
      <c r="D38" s="117"/>
      <c r="E38" s="125" t="e">
        <f>VLOOKUP(Table257519913140106110151155170178194[[#This Row],[PEG]],Table1016[#All],3,FALSE)</f>
        <v>#N/A</v>
      </c>
    </row>
    <row r="39" spans="1:5" x14ac:dyDescent="0.35">
      <c r="A39" s="118">
        <v>32</v>
      </c>
      <c r="B39" s="114" t="s">
        <v>12</v>
      </c>
      <c r="C39" s="109" t="e">
        <f>VLOOKUP(Table257519913140106110151155170178194[[#This Row],[PEG]],Table1016[#All],2,FALSE)</f>
        <v>#N/A</v>
      </c>
      <c r="D39" s="117"/>
      <c r="E39" s="125" t="e">
        <f>VLOOKUP(Table257519913140106110151155170178194[[#This Row],[PEG]],Table1016[#All],3,FALSE)</f>
        <v>#N/A</v>
      </c>
    </row>
    <row r="40" spans="1:5" x14ac:dyDescent="0.35">
      <c r="A40" s="118">
        <v>33</v>
      </c>
      <c r="B40" s="114" t="s">
        <v>12</v>
      </c>
      <c r="C40" s="109" t="e">
        <f>VLOOKUP(Table257519913140106110151155170178194[[#This Row],[PEG]],Table1016[#All],2,FALSE)</f>
        <v>#N/A</v>
      </c>
      <c r="D40" s="117"/>
      <c r="E40" s="125" t="e">
        <f>VLOOKUP(Table257519913140106110151155170178194[[#This Row],[PEG]],Table1016[#All],3,FALSE)</f>
        <v>#N/A</v>
      </c>
    </row>
    <row r="41" spans="1:5" x14ac:dyDescent="0.35">
      <c r="A41" s="118">
        <v>34</v>
      </c>
      <c r="B41" s="114" t="s">
        <v>115</v>
      </c>
      <c r="C41" s="109" t="e">
        <f>VLOOKUP(Table257519913140106110151155170178194[[#This Row],[PEG]],Table1016[#All],2,FALSE)</f>
        <v>#N/A</v>
      </c>
      <c r="D41" s="117"/>
      <c r="E41" s="125" t="e">
        <f>VLOOKUP(Table257519913140106110151155170178194[[#This Row],[PEG]],Table1016[#All],3,FALSE)</f>
        <v>#N/A</v>
      </c>
    </row>
    <row r="42" spans="1:5" x14ac:dyDescent="0.35">
      <c r="A42" s="118">
        <v>35</v>
      </c>
      <c r="B42" s="114" t="s">
        <v>12</v>
      </c>
      <c r="C42" s="109" t="e">
        <f>VLOOKUP(Table257519913140106110151155170178194[[#This Row],[PEG]],Table1016[#All],2,FALSE)</f>
        <v>#N/A</v>
      </c>
      <c r="D42" s="115"/>
      <c r="E42" s="125" t="e">
        <f>VLOOKUP(Table257519913140106110151155170178194[[#This Row],[PEG]],Table1016[#All],3,FALSE)</f>
        <v>#N/A</v>
      </c>
    </row>
    <row r="43" spans="1:5" x14ac:dyDescent="0.35">
      <c r="A43" s="118">
        <v>36</v>
      </c>
      <c r="B43" s="114" t="s">
        <v>115</v>
      </c>
      <c r="C43" s="109" t="e">
        <f>VLOOKUP(Table257519913140106110151155170178194[[#This Row],[PEG]],Table1016[#All],2,FALSE)</f>
        <v>#N/A</v>
      </c>
      <c r="D43" s="115"/>
      <c r="E43" s="125" t="e">
        <f>VLOOKUP(Table257519913140106110151155170178194[[#This Row],[PEG]],Table1016[#All],3,FALSE)</f>
        <v>#N/A</v>
      </c>
    </row>
    <row r="44" spans="1:5" x14ac:dyDescent="0.35">
      <c r="A44" s="118">
        <v>37</v>
      </c>
      <c r="B44" s="114" t="s">
        <v>13</v>
      </c>
      <c r="C44" s="18" t="s">
        <v>13</v>
      </c>
      <c r="D44" s="115"/>
      <c r="E44" s="32"/>
    </row>
  </sheetData>
  <mergeCells count="1">
    <mergeCell ref="A1:B1"/>
  </mergeCells>
  <conditionalFormatting sqref="B8:B18">
    <cfRule type="containsText" dxfId="1085" priority="1" operator="containsText" text="Hear">
      <formula>NOT(ISERROR(SEARCH("Hear",B8)))</formula>
    </cfRule>
  </conditionalFormatting>
  <conditionalFormatting sqref="B30">
    <cfRule type="containsText" dxfId="1084" priority="4" operator="containsText" text="Hear">
      <formula>NOT(ISERROR(SEARCH("Hear",B30)))</formula>
    </cfRule>
  </conditionalFormatting>
  <conditionalFormatting sqref="B43:B44">
    <cfRule type="containsText" dxfId="1083" priority="8" operator="containsText" text="Hear">
      <formula>NOT(ISERROR(SEARCH("Hear",B43)))</formula>
    </cfRule>
  </conditionalFormatting>
  <conditionalFormatting sqref="E44">
    <cfRule type="containsText" dxfId="1082" priority="6" operator="containsText" text="WEB SERVICE">
      <formula>NOT(ISERROR(SEARCH("WEB SERVICE",E44)))</formula>
    </cfRule>
    <cfRule type="containsText" dxfId="1081" priority="7" operator="containsText" text="DB">
      <formula>NOT(ISERROR(SEARCH("DB",E44)))</formula>
    </cfRule>
  </conditionalFormatting>
  <conditionalFormatting sqref="C44">
    <cfRule type="expression" dxfId="1080" priority="9">
      <formula>$B44="HANGUP"</formula>
    </cfRule>
    <cfRule type="expression" dxfId="1079" priority="9">
      <formula>$B44="Dial"</formula>
    </cfRule>
  </conditionalFormatting>
  <conditionalFormatting sqref="C44">
    <cfRule type="expression" dxfId="1078" priority="3">
      <formula>$B44="Speak"</formula>
    </cfRule>
  </conditionalFormatting>
  <conditionalFormatting sqref="B36:B38 B40:B41">
    <cfRule type="containsText" dxfId="1077" priority="2" operator="containsText" text="Hear">
      <formula>NOT(ISERROR(SEARCH("Hear",B36)))</formula>
    </cfRule>
  </conditionalFormatting>
  <conditionalFormatting sqref="B19:B29 B31:B35 B42">
    <cfRule type="containsText" dxfId="1076" priority="5" operator="containsText" text="Hear">
      <formula>NOT(ISERROR(SEARCH("Hear",B19)))</formula>
    </cfRule>
  </conditionalFormatting>
  <hyperlinks>
    <hyperlink ref="A1" location="'Test Case Overview'!A1" display="Return to Test Case Overview" xr:uid="{A466D7D4-1238-4C56-8F09-FE8F42C0ED15}"/>
  </hyperlinks>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expression" priority="10" id="{D679FE16-60B0-4D59-8C7E-BA3B33FB072C}">
            <xm:f>'TC1'!$B8="Dial"</xm:f>
            <x14:dxf>
              <font>
                <b/>
                <i val="0"/>
                <color rgb="FFFF0000"/>
              </font>
            </x14:dxf>
          </x14:cfRule>
          <x14:cfRule type="expression" priority="10" id="{23636406-C097-47F2-86C2-5912F2D234B4}">
            <xm:f>'TC1'!$B8="HANGUP"</xm:f>
            <x14:dxf>
              <font>
                <b/>
                <i val="0"/>
              </font>
            </x14:dxf>
          </x14:cfRule>
          <xm:sqref>C8</xm:sqref>
        </x14:conditionalFormatting>
        <x14:conditionalFormatting xmlns:xm="http://schemas.microsoft.com/office/excel/2006/main">
          <x14:cfRule type="expression" priority="11" id="{D9AC08BB-AA2F-47E9-8B8B-CBFF6245F99D}">
            <xm:f>'TC1'!$B8="Speak"</xm:f>
            <x14:dxf>
              <font>
                <b/>
                <i val="0"/>
                <color rgb="FFFF0000"/>
              </font>
            </x14:dxf>
          </x14:cfRule>
          <xm:sqref>C8</xm:sqref>
        </x14:conditionalFormatting>
        <x14:conditionalFormatting xmlns:xm="http://schemas.microsoft.com/office/excel/2006/main">
          <x14:cfRule type="containsText" priority="14" operator="containsText" text="Hear" id="{C9C756B5-0589-41A7-90F0-D293D9A55ACA}">
            <xm:f>NOT(ISERROR(SEARCH("Hear",'TC3'!B34)))</xm:f>
            <x14:dxf>
              <font>
                <color theme="9" tint="-0.24994659260841701"/>
              </font>
              <fill>
                <patternFill>
                  <bgColor theme="9" tint="0.59996337778862885"/>
                </patternFill>
              </fill>
            </x14:dxf>
          </x14:cfRule>
          <xm:sqref>B41</xm:sqref>
        </x14:conditionalFormatting>
        <x14:conditionalFormatting xmlns:xm="http://schemas.microsoft.com/office/excel/2006/main">
          <x14:cfRule type="expression" priority="3123" id="{D679FE16-60B0-4D59-8C7E-BA3B33FB072C}">
            <xm:f>'TC1'!$B16="Dial"</xm:f>
            <x14:dxf>
              <font>
                <b/>
                <i val="0"/>
                <color rgb="FFFF0000"/>
              </font>
            </x14:dxf>
          </x14:cfRule>
          <x14:cfRule type="expression" priority="3124" id="{23636406-C097-47F2-86C2-5912F2D234B4}">
            <xm:f>'TC1'!$B16="HANGUP"</xm:f>
            <x14:dxf>
              <font>
                <b/>
                <i val="0"/>
              </font>
            </x14:dxf>
          </x14:cfRule>
          <xm:sqref>C34:C43</xm:sqref>
        </x14:conditionalFormatting>
        <x14:conditionalFormatting xmlns:xm="http://schemas.microsoft.com/office/excel/2006/main">
          <x14:cfRule type="expression" priority="3125" id="{D679FE16-60B0-4D59-8C7E-BA3B33FB072C}">
            <xm:f>'TC1'!#REF!="Dial"</xm:f>
            <x14:dxf>
              <font>
                <b/>
                <i val="0"/>
                <color rgb="FFFF0000"/>
              </font>
            </x14:dxf>
          </x14:cfRule>
          <x14:cfRule type="expression" priority="3126" id="{23636406-C097-47F2-86C2-5912F2D234B4}">
            <xm:f>'TC1'!#REF!="HANGUP"</xm:f>
            <x14:dxf>
              <font>
                <b/>
                <i val="0"/>
              </font>
            </x14:dxf>
          </x14:cfRule>
          <xm:sqref>C17:C33</xm:sqref>
        </x14:conditionalFormatting>
        <x14:conditionalFormatting xmlns:xm="http://schemas.microsoft.com/office/excel/2006/main">
          <x14:cfRule type="expression" priority="3130" id="{D9AC08BB-AA2F-47E9-8B8B-CBFF6245F99D}">
            <xm:f>'TC1'!$B16="Speak"</xm:f>
            <x14:dxf>
              <font>
                <b/>
                <i val="0"/>
                <color rgb="FFFF0000"/>
              </font>
            </x14:dxf>
          </x14:cfRule>
          <xm:sqref>C34:C43</xm:sqref>
        </x14:conditionalFormatting>
        <x14:conditionalFormatting xmlns:xm="http://schemas.microsoft.com/office/excel/2006/main">
          <x14:cfRule type="expression" priority="3131" id="{D9AC08BB-AA2F-47E9-8B8B-CBFF6245F99D}">
            <xm:f>'TC1'!#REF!="Speak"</xm:f>
            <x14:dxf>
              <font>
                <b/>
                <i val="0"/>
                <color rgb="FFFF0000"/>
              </font>
            </x14:dxf>
          </x14:cfRule>
          <xm:sqref>C17:C33</xm:sqref>
        </x14:conditionalFormatting>
        <x14:conditionalFormatting xmlns:xm="http://schemas.microsoft.com/office/excel/2006/main">
          <x14:cfRule type="containsText" priority="3135" operator="containsText" text="DB" id="{603C1FC8-2183-4486-9950-FEE6E003C633}">
            <xm:f>NOT(ISERROR(SEARCH("DB",'TC1'!E16)))</xm:f>
            <x14:dxf>
              <font>
                <color rgb="FF006100"/>
              </font>
              <fill>
                <patternFill>
                  <bgColor rgb="FFC6EFCE"/>
                </patternFill>
              </fill>
            </x14:dxf>
          </x14:cfRule>
          <x14:cfRule type="containsText" priority="3136" operator="containsText" text="WEB SERVICE" id="{4E8ABF88-05B8-41DC-A69E-89239556CCAA}">
            <xm:f>NOT(ISERROR(SEARCH("WEB SERVICE",'TC1'!E16)))</xm:f>
            <x14:dxf>
              <font>
                <color rgb="FF9C0006"/>
              </font>
              <fill>
                <patternFill>
                  <bgColor rgb="FFFFC7CE"/>
                </patternFill>
              </fill>
            </x14:dxf>
          </x14:cfRule>
          <xm:sqref>E34:E43</xm:sqref>
        </x14:conditionalFormatting>
        <x14:conditionalFormatting xmlns:xm="http://schemas.microsoft.com/office/excel/2006/main">
          <x14:cfRule type="containsText" priority="3137" operator="containsText" text="DB" id="{603C1FC8-2183-4486-9950-FEE6E003C633}">
            <xm:f>NOT(ISERROR(SEARCH("DB",'TC1'!#REF!)))</xm:f>
            <x14:dxf>
              <font>
                <color rgb="FF006100"/>
              </font>
              <fill>
                <patternFill>
                  <bgColor rgb="FFC6EFCE"/>
                </patternFill>
              </fill>
            </x14:dxf>
          </x14:cfRule>
          <x14:cfRule type="containsText" priority="3138" operator="containsText" text="WEB SERVICE" id="{4E8ABF88-05B8-41DC-A69E-89239556CCAA}">
            <xm:f>NOT(ISERROR(SEARCH("WEB SERVICE",'TC1'!#REF!)))</xm:f>
            <x14:dxf>
              <font>
                <color rgb="FF9C0006"/>
              </font>
              <fill>
                <patternFill>
                  <bgColor rgb="FFFFC7CE"/>
                </patternFill>
              </fill>
            </x14:dxf>
          </x14:cfRule>
          <xm:sqref>E17:E33</xm:sqref>
        </x14:conditionalFormatting>
        <x14:conditionalFormatting xmlns:xm="http://schemas.microsoft.com/office/excel/2006/main">
          <x14:cfRule type="expression" priority="5749" id="{D679FE16-60B0-4D59-8C7E-BA3B33FB072C}">
            <xm:f>'TC1'!$B9="Dial"</xm:f>
            <x14:dxf>
              <font>
                <b/>
                <i val="0"/>
                <color rgb="FFFF0000"/>
              </font>
            </x14:dxf>
          </x14:cfRule>
          <x14:cfRule type="expression" priority="5750" id="{23636406-C097-47F2-86C2-5912F2D234B4}">
            <xm:f>'TC1'!$B9="HANGUP"</xm:f>
            <x14:dxf>
              <font>
                <b/>
                <i val="0"/>
              </font>
            </x14:dxf>
          </x14:cfRule>
          <xm:sqref>C12:C15</xm:sqref>
        </x14:conditionalFormatting>
        <x14:conditionalFormatting xmlns:xm="http://schemas.microsoft.com/office/excel/2006/main">
          <x14:cfRule type="expression" priority="5751" id="{D679FE16-60B0-4D59-8C7E-BA3B33FB072C}">
            <xm:f>'TC1'!#REF!="Dial"</xm:f>
            <x14:dxf>
              <font>
                <b/>
                <i val="0"/>
                <color rgb="FFFF0000"/>
              </font>
            </x14:dxf>
          </x14:cfRule>
          <x14:cfRule type="expression" priority="5752" id="{23636406-C097-47F2-86C2-5912F2D234B4}">
            <xm:f>'TC1'!#REF!="HANGUP"</xm:f>
            <x14:dxf>
              <font>
                <b/>
                <i val="0"/>
              </font>
            </x14:dxf>
          </x14:cfRule>
          <xm:sqref>C9:C11</xm:sqref>
        </x14:conditionalFormatting>
        <x14:conditionalFormatting xmlns:xm="http://schemas.microsoft.com/office/excel/2006/main">
          <x14:cfRule type="expression" priority="5756" id="{D9AC08BB-AA2F-47E9-8B8B-CBFF6245F99D}">
            <xm:f>'TC1'!$B9="Speak"</xm:f>
            <x14:dxf>
              <font>
                <b/>
                <i val="0"/>
                <color rgb="FFFF0000"/>
              </font>
            </x14:dxf>
          </x14:cfRule>
          <xm:sqref>C12:C15</xm:sqref>
        </x14:conditionalFormatting>
        <x14:conditionalFormatting xmlns:xm="http://schemas.microsoft.com/office/excel/2006/main">
          <x14:cfRule type="expression" priority="5757" id="{D9AC08BB-AA2F-47E9-8B8B-CBFF6245F99D}">
            <xm:f>'TC1'!#REF!="Speak"</xm:f>
            <x14:dxf>
              <font>
                <b/>
                <i val="0"/>
                <color rgb="FFFF0000"/>
              </font>
            </x14:dxf>
          </x14:cfRule>
          <xm:sqref>C9:C11</xm:sqref>
        </x14:conditionalFormatting>
        <x14:conditionalFormatting xmlns:xm="http://schemas.microsoft.com/office/excel/2006/main">
          <x14:cfRule type="containsText" priority="5759" operator="containsText" text="DB" id="{603C1FC8-2183-4486-9950-FEE6E003C633}">
            <xm:f>NOT(ISERROR(SEARCH("DB",'TC1'!#REF!)))</xm:f>
            <x14:dxf>
              <font>
                <color rgb="FF006100"/>
              </font>
              <fill>
                <patternFill>
                  <bgColor rgb="FFC6EFCE"/>
                </patternFill>
              </fill>
            </x14:dxf>
          </x14:cfRule>
          <x14:cfRule type="containsText" priority="5760" operator="containsText" text="WEB SERVICE" id="{4E8ABF88-05B8-41DC-A69E-89239556CCAA}">
            <xm:f>NOT(ISERROR(SEARCH("WEB SERVICE",'TC1'!#REF!)))</xm:f>
            <x14:dxf>
              <font>
                <color rgb="FF9C0006"/>
              </font>
              <fill>
                <patternFill>
                  <bgColor rgb="FFFFC7CE"/>
                </patternFill>
              </fill>
            </x14:dxf>
          </x14:cfRule>
          <xm:sqref>E9:E11</xm:sqref>
        </x14:conditionalFormatting>
        <x14:conditionalFormatting xmlns:xm="http://schemas.microsoft.com/office/excel/2006/main">
          <x14:cfRule type="containsText" priority="5761" operator="containsText" text="DB" id="{603C1FC8-2183-4486-9950-FEE6E003C633}">
            <xm:f>NOT(ISERROR(SEARCH("DB",'TC1'!E9)))</xm:f>
            <x14:dxf>
              <font>
                <color rgb="FF006100"/>
              </font>
              <fill>
                <patternFill>
                  <bgColor rgb="FFC6EFCE"/>
                </patternFill>
              </fill>
            </x14:dxf>
          </x14:cfRule>
          <x14:cfRule type="containsText" priority="5762" operator="containsText" text="WEB SERVICE" id="{4E8ABF88-05B8-41DC-A69E-89239556CCAA}">
            <xm:f>NOT(ISERROR(SEARCH("WEB SERVICE",'TC1'!E9)))</xm:f>
            <x14:dxf>
              <font>
                <color rgb="FF9C0006"/>
              </font>
              <fill>
                <patternFill>
                  <bgColor rgb="FFFFC7CE"/>
                </patternFill>
              </fill>
            </x14:dxf>
          </x14:cfRule>
          <xm:sqref>E12:E15</xm:sqref>
        </x14:conditionalFormatting>
        <x14:conditionalFormatting xmlns:xm="http://schemas.microsoft.com/office/excel/2006/main">
          <x14:cfRule type="expression" priority="7970" id="{D679FE16-60B0-4D59-8C7E-BA3B33FB072C}">
            <xm:f>'TC1'!$B15="Dial"</xm:f>
            <x14:dxf>
              <font>
                <b/>
                <i val="0"/>
                <color rgb="FFFF0000"/>
              </font>
            </x14:dxf>
          </x14:cfRule>
          <x14:cfRule type="expression" priority="7971" id="{23636406-C097-47F2-86C2-5912F2D234B4}">
            <xm:f>'TC1'!$B15="HANGUP"</xm:f>
            <x14:dxf>
              <font>
                <b/>
                <i val="0"/>
              </font>
            </x14:dxf>
          </x14:cfRule>
          <xm:sqref>C16</xm:sqref>
        </x14:conditionalFormatting>
        <x14:conditionalFormatting xmlns:xm="http://schemas.microsoft.com/office/excel/2006/main">
          <x14:cfRule type="expression" priority="7973" id="{D9AC08BB-AA2F-47E9-8B8B-CBFF6245F99D}">
            <xm:f>'TC1'!$B15="Speak"</xm:f>
            <x14:dxf>
              <font>
                <b/>
                <i val="0"/>
                <color rgb="FFFF0000"/>
              </font>
            </x14:dxf>
          </x14:cfRule>
          <xm:sqref>C16</xm:sqref>
        </x14:conditionalFormatting>
        <x14:conditionalFormatting xmlns:xm="http://schemas.microsoft.com/office/excel/2006/main">
          <x14:cfRule type="containsText" priority="7976" operator="containsText" text="DB" id="{603C1FC8-2183-4486-9950-FEE6E003C633}">
            <xm:f>NOT(ISERROR(SEARCH("DB",'TC1'!E15)))</xm:f>
            <x14:dxf>
              <font>
                <color rgb="FF006100"/>
              </font>
              <fill>
                <patternFill>
                  <bgColor rgb="FFC6EFCE"/>
                </patternFill>
              </fill>
            </x14:dxf>
          </x14:cfRule>
          <x14:cfRule type="containsText" priority="7977" operator="containsText" text="WEB SERVICE" id="{4E8ABF88-05B8-41DC-A69E-89239556CCAA}">
            <xm:f>NOT(ISERROR(SEARCH("WEB SERVICE",'TC1'!E15)))</xm:f>
            <x14:dxf>
              <font>
                <color rgb="FF9C0006"/>
              </font>
              <fill>
                <patternFill>
                  <bgColor rgb="FFFFC7CE"/>
                </patternFill>
              </fill>
            </x14:dxf>
          </x14:cfRule>
          <xm:sqref>E16</xm:sqref>
        </x14:conditionalFormatting>
        <x14:conditionalFormatting xmlns:xm="http://schemas.microsoft.com/office/excel/2006/main">
          <x14:cfRule type="containsText" priority="10694" operator="containsText" text="Hear" id="{825A6B08-0FE5-4513-A4F7-E08B41E3FE9B}">
            <xm:f>NOT(ISERROR(SEARCH("Hear",'TC26'!#REF!)))</xm:f>
            <x14:dxf>
              <font>
                <color theme="9" tint="-0.24994659260841701"/>
              </font>
              <fill>
                <patternFill>
                  <bgColor theme="9" tint="0.59996337778862885"/>
                </patternFill>
              </fill>
            </x14:dxf>
          </x14:cfRule>
          <xm:sqref>B39</xm:sqref>
        </x14:conditionalFormatting>
      </x14:conditionalFormattings>
    </ext>
  </extLst>
</worksheet>
</file>

<file path=xl/worksheets/sheet1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000-000000000000}">
  <sheetPr codeName="Sheet146"/>
  <dimension ref="A1:E44"/>
  <sheetViews>
    <sheetView zoomScaleNormal="100" workbookViewId="0">
      <selection sqref="A1:E44"/>
    </sheetView>
  </sheetViews>
  <sheetFormatPr defaultRowHeight="14.5" x14ac:dyDescent="0.35"/>
  <cols>
    <col min="1" max="1" width="14.453125" bestFit="1" customWidth="1"/>
    <col min="2" max="2" width="42.6328125" customWidth="1"/>
    <col min="3" max="3" width="106.1796875" customWidth="1"/>
    <col min="4" max="4" width="21.81640625" bestFit="1" customWidth="1"/>
    <col min="5" max="5" width="20.6328125" customWidth="1"/>
  </cols>
  <sheetData>
    <row r="1" spans="1:5" ht="18.5" x14ac:dyDescent="0.35">
      <c r="A1" s="192" t="s">
        <v>4</v>
      </c>
      <c r="B1" s="192"/>
      <c r="C1" s="105"/>
      <c r="D1" s="111"/>
      <c r="E1" s="97"/>
    </row>
    <row r="2" spans="1:5" x14ac:dyDescent="0.35">
      <c r="A2" s="106" t="s">
        <v>5</v>
      </c>
      <c r="B2" s="107" t="str">
        <f ca="1">MID(CELL("filename",A1),FIND("]",CELL("filename",A1))+1,LEN(CELL("filename",A1))-FIND("]",CELL("filename",A1)))</f>
        <v>TC144</v>
      </c>
      <c r="C2" s="98"/>
      <c r="D2" s="111"/>
      <c r="E2" s="97"/>
    </row>
    <row r="3" spans="1:5" x14ac:dyDescent="0.35">
      <c r="A3" s="104" t="s">
        <v>19</v>
      </c>
      <c r="B3" s="112" t="e">
        <f ca="1">VLOOKUP(B2,Table53[#All],2,FALSE)</f>
        <v>#N/A</v>
      </c>
      <c r="C3" s="98"/>
      <c r="D3" s="111"/>
      <c r="E3" s="97"/>
    </row>
    <row r="4" spans="1:5" ht="29" x14ac:dyDescent="0.35">
      <c r="A4" s="113" t="s">
        <v>20</v>
      </c>
      <c r="B4" s="99" t="e">
        <f ca="1">VLOOKUP(B2,Table53[#All],4,FALSE)</f>
        <v>#N/A</v>
      </c>
      <c r="C4" s="98"/>
      <c r="D4" s="111"/>
      <c r="E4" s="97"/>
    </row>
    <row r="5" spans="1:5" x14ac:dyDescent="0.35">
      <c r="A5" s="104" t="s">
        <v>6</v>
      </c>
      <c r="B5" s="77" t="e">
        <f ca="1">VLOOKUP(B2,Table53[#All],3,FALSE)</f>
        <v>#N/A</v>
      </c>
      <c r="C5" s="98"/>
      <c r="D5" s="111"/>
      <c r="E5" s="97"/>
    </row>
    <row r="6" spans="1:5" x14ac:dyDescent="0.35">
      <c r="A6" s="97"/>
      <c r="B6" s="97"/>
      <c r="C6" s="98"/>
      <c r="D6" s="111"/>
      <c r="E6" s="97"/>
    </row>
    <row r="7" spans="1:5" ht="15.5" x14ac:dyDescent="0.35">
      <c r="A7" s="100" t="s">
        <v>7</v>
      </c>
      <c r="B7" s="101" t="s">
        <v>8</v>
      </c>
      <c r="C7" s="102" t="s">
        <v>9</v>
      </c>
      <c r="D7" s="102" t="s">
        <v>14</v>
      </c>
      <c r="E7" s="103" t="s">
        <v>10</v>
      </c>
    </row>
    <row r="8" spans="1:5" x14ac:dyDescent="0.35">
      <c r="A8" s="118">
        <v>1</v>
      </c>
      <c r="B8" s="114" t="s">
        <v>114</v>
      </c>
      <c r="C8" s="109" t="s">
        <v>125</v>
      </c>
      <c r="D8" s="128"/>
      <c r="E8" s="125" t="s">
        <v>11</v>
      </c>
    </row>
    <row r="9" spans="1:5" x14ac:dyDescent="0.35">
      <c r="A9" s="118">
        <v>2</v>
      </c>
      <c r="B9" s="114" t="s">
        <v>12</v>
      </c>
      <c r="C9" s="109" t="e">
        <f>VLOOKUP(Table257519913140106110151155170178196[[#This Row],[PEG]],Table1016[#All],2,FALSE)</f>
        <v>#N/A</v>
      </c>
      <c r="D9" s="128"/>
      <c r="E9" s="125" t="e">
        <f>VLOOKUP(Table257519913140106110151155170178196[[#This Row],[PEG]],Table1016[#All],3,FALSE)</f>
        <v>#N/A</v>
      </c>
    </row>
    <row r="10" spans="1:5" x14ac:dyDescent="0.35">
      <c r="A10" s="118">
        <v>3</v>
      </c>
      <c r="B10" s="114" t="s">
        <v>115</v>
      </c>
      <c r="C10" s="109" t="e">
        <f>VLOOKUP(Table257519913140106110151155170178196[[#This Row],[PEG]],Table1016[#All],2,FALSE)</f>
        <v>#N/A</v>
      </c>
      <c r="D10" s="128"/>
      <c r="E10" s="125" t="e">
        <f>VLOOKUP(Table257519913140106110151155170178196[[#This Row],[PEG]],Table1016[#All],3,FALSE)</f>
        <v>#N/A</v>
      </c>
    </row>
    <row r="11" spans="1:5" x14ac:dyDescent="0.35">
      <c r="A11" s="118">
        <v>4</v>
      </c>
      <c r="B11" s="114" t="s">
        <v>115</v>
      </c>
      <c r="C11" s="109" t="e">
        <f>VLOOKUP(Table257519913140106110151155170178196[[#This Row],[PEG]],Table1016[#All],2,FALSE)</f>
        <v>#N/A</v>
      </c>
      <c r="D11" s="128"/>
      <c r="E11" s="125" t="e">
        <f>VLOOKUP(Table257519913140106110151155170178196[[#This Row],[PEG]],Table1016[#All],3,FALSE)</f>
        <v>#N/A</v>
      </c>
    </row>
    <row r="12" spans="1:5" x14ac:dyDescent="0.35">
      <c r="A12" s="118">
        <v>5</v>
      </c>
      <c r="B12" s="114" t="s">
        <v>114</v>
      </c>
      <c r="C12" s="109" t="e">
        <f>VLOOKUP(Table257519913140106110151155170178196[[#This Row],[PEG]],Table1016[#All],2,FALSE)</f>
        <v>#N/A</v>
      </c>
      <c r="D12" s="128"/>
      <c r="E12" s="125" t="e">
        <f>VLOOKUP(Table257519913140106110151155170178196[[#This Row],[PEG]],Table1016[#All],3,FALSE)</f>
        <v>#N/A</v>
      </c>
    </row>
    <row r="13" spans="1:5" x14ac:dyDescent="0.35">
      <c r="A13" s="118">
        <v>6</v>
      </c>
      <c r="B13" s="114" t="s">
        <v>115</v>
      </c>
      <c r="C13" s="109" t="e">
        <f>VLOOKUP(Table257519913140106110151155170178196[[#This Row],[PEG]],Table1016[#All],2,FALSE)</f>
        <v>#N/A</v>
      </c>
      <c r="D13" s="128"/>
      <c r="E13" s="125" t="e">
        <f>VLOOKUP(Table257519913140106110151155170178196[[#This Row],[PEG]],Table1016[#All],3,FALSE)</f>
        <v>#N/A</v>
      </c>
    </row>
    <row r="14" spans="1:5" x14ac:dyDescent="0.35">
      <c r="A14" s="118">
        <v>7</v>
      </c>
      <c r="B14" s="114" t="s">
        <v>114</v>
      </c>
      <c r="C14" s="109" t="e">
        <f>VLOOKUP(Table257519913140106110151155170178196[[#This Row],[PEG]],Table1016[#All],2,FALSE)</f>
        <v>#N/A</v>
      </c>
      <c r="D14" s="128"/>
      <c r="E14" s="125" t="e">
        <f>VLOOKUP(Table257519913140106110151155170178196[[#This Row],[PEG]],Table1016[#All],3,FALSE)</f>
        <v>#N/A</v>
      </c>
    </row>
    <row r="15" spans="1:5" x14ac:dyDescent="0.35">
      <c r="A15" s="118">
        <v>8</v>
      </c>
      <c r="B15" s="114" t="s">
        <v>115</v>
      </c>
      <c r="C15" s="109" t="e">
        <f>VLOOKUP(Table257519913140106110151155170178196[[#This Row],[PEG]],Table1016[#All],2,FALSE)</f>
        <v>#N/A</v>
      </c>
      <c r="D15" s="116"/>
      <c r="E15" s="125" t="e">
        <f>VLOOKUP(Table257519913140106110151155170178196[[#This Row],[PEG]],Table1016[#All],3,FALSE)</f>
        <v>#N/A</v>
      </c>
    </row>
    <row r="16" spans="1:5" x14ac:dyDescent="0.35">
      <c r="A16" s="118">
        <v>9</v>
      </c>
      <c r="B16" s="114" t="s">
        <v>12</v>
      </c>
      <c r="C16" s="109" t="e">
        <f>VLOOKUP(Table257519913140106110151155170178196[[#This Row],[PEG]],Table1016[#All],2,FALSE)</f>
        <v>#N/A</v>
      </c>
      <c r="D16" s="116"/>
      <c r="E16" s="125" t="e">
        <f>VLOOKUP(Table257519913140106110151155170178196[[#This Row],[PEG]],Table1016[#All],3,FALSE)</f>
        <v>#N/A</v>
      </c>
    </row>
    <row r="17" spans="1:5" x14ac:dyDescent="0.35">
      <c r="A17" s="118">
        <v>10</v>
      </c>
      <c r="B17" s="114" t="s">
        <v>12</v>
      </c>
      <c r="C17" s="109" t="e">
        <f>VLOOKUP(Table257519913140106110151155170178196[[#This Row],[PEG]],Table1016[#All],2,FALSE)</f>
        <v>#N/A</v>
      </c>
      <c r="D17" s="117"/>
      <c r="E17" s="125" t="e">
        <f>VLOOKUP(Table257519913140106110151155170178196[[#This Row],[PEG]],Table1016[#All],3,FALSE)</f>
        <v>#N/A</v>
      </c>
    </row>
    <row r="18" spans="1:5" x14ac:dyDescent="0.35">
      <c r="A18" s="118">
        <v>11</v>
      </c>
      <c r="B18" s="114" t="s">
        <v>115</v>
      </c>
      <c r="C18" s="109" t="e">
        <f>VLOOKUP(Table257519913140106110151155170178196[[#This Row],[PEG]],Table1016[#All],2,FALSE)</f>
        <v>#N/A</v>
      </c>
      <c r="D18" s="117"/>
      <c r="E18" s="125" t="e">
        <f>VLOOKUP(Table257519913140106110151155170178196[[#This Row],[PEG]],Table1016[#All],3,FALSE)</f>
        <v>#N/A</v>
      </c>
    </row>
    <row r="19" spans="1:5" x14ac:dyDescent="0.35">
      <c r="A19" s="118">
        <v>12</v>
      </c>
      <c r="B19" s="114" t="s">
        <v>115</v>
      </c>
      <c r="C19" s="109" t="e">
        <f>VLOOKUP(Table257519913140106110151155170178196[[#This Row],[PEG]],Table1016[#All],2,FALSE)</f>
        <v>#N/A</v>
      </c>
      <c r="D19" s="117"/>
      <c r="E19" s="125" t="e">
        <f>VLOOKUP(Table257519913140106110151155170178196[[#This Row],[PEG]],Table1016[#All],3,FALSE)</f>
        <v>#N/A</v>
      </c>
    </row>
    <row r="20" spans="1:5" x14ac:dyDescent="0.35">
      <c r="A20" s="118">
        <v>13</v>
      </c>
      <c r="B20" s="114" t="s">
        <v>114</v>
      </c>
      <c r="C20" s="109" t="e">
        <f>VLOOKUP(Table257519913140106110151155170178196[[#This Row],[PEG]],Table1016[#All],2,FALSE)</f>
        <v>#N/A</v>
      </c>
      <c r="D20" s="117"/>
      <c r="E20" s="125" t="e">
        <f>VLOOKUP(Table257519913140106110151155170178196[[#This Row],[PEG]],Table1016[#All],3,FALSE)</f>
        <v>#N/A</v>
      </c>
    </row>
    <row r="21" spans="1:5" x14ac:dyDescent="0.35">
      <c r="A21" s="118">
        <v>14</v>
      </c>
      <c r="B21" s="114" t="s">
        <v>12</v>
      </c>
      <c r="C21" s="109" t="e">
        <f>VLOOKUP(Table257519913140106110151155170178196[[#This Row],[PEG]],Table1016[#All],2,FALSE)</f>
        <v>#N/A</v>
      </c>
      <c r="D21" s="117"/>
      <c r="E21" s="125" t="e">
        <f>VLOOKUP(Table257519913140106110151155170178196[[#This Row],[PEG]],Table1016[#All],3,FALSE)</f>
        <v>#N/A</v>
      </c>
    </row>
    <row r="22" spans="1:5" x14ac:dyDescent="0.35">
      <c r="A22" s="118">
        <v>15</v>
      </c>
      <c r="B22" s="114" t="s">
        <v>12</v>
      </c>
      <c r="C22" s="109" t="e">
        <f>VLOOKUP(Table257519913140106110151155170178196[[#This Row],[PEG]],Table1016[#All],2,FALSE)</f>
        <v>#N/A</v>
      </c>
      <c r="D22" s="117"/>
      <c r="E22" s="125" t="e">
        <f>VLOOKUP(Table257519913140106110151155170178196[[#This Row],[PEG]],Table1016[#All],3,FALSE)</f>
        <v>#N/A</v>
      </c>
    </row>
    <row r="23" spans="1:5" x14ac:dyDescent="0.35">
      <c r="A23" s="118">
        <v>16</v>
      </c>
      <c r="B23" s="114" t="s">
        <v>115</v>
      </c>
      <c r="C23" s="109" t="e">
        <f>VLOOKUP(Table257519913140106110151155170178196[[#This Row],[PEG]],Table1016[#All],2,FALSE)</f>
        <v>#N/A</v>
      </c>
      <c r="D23" s="117"/>
      <c r="E23" s="125" t="e">
        <f>VLOOKUP(Table257519913140106110151155170178196[[#This Row],[PEG]],Table1016[#All],3,FALSE)</f>
        <v>#N/A</v>
      </c>
    </row>
    <row r="24" spans="1:5" x14ac:dyDescent="0.35">
      <c r="A24" s="118">
        <v>17</v>
      </c>
      <c r="B24" s="114" t="s">
        <v>114</v>
      </c>
      <c r="C24" s="109" t="e">
        <f>VLOOKUP(Table257519913140106110151155170178196[[#This Row],[PEG]],Table1016[#All],2,FALSE)</f>
        <v>#N/A</v>
      </c>
      <c r="D24" s="117"/>
      <c r="E24" s="125" t="e">
        <f>VLOOKUP(Table257519913140106110151155170178196[[#This Row],[PEG]],Table1016[#All],3,FALSE)</f>
        <v>#N/A</v>
      </c>
    </row>
    <row r="25" spans="1:5" x14ac:dyDescent="0.35">
      <c r="A25" s="118">
        <v>18</v>
      </c>
      <c r="B25" s="114" t="s">
        <v>12</v>
      </c>
      <c r="C25" s="109" t="e">
        <f>VLOOKUP(Table257519913140106110151155170178196[[#This Row],[PEG]],Table1016[#All],2,FALSE)</f>
        <v>#N/A</v>
      </c>
      <c r="D25" s="117"/>
      <c r="E25" s="125" t="e">
        <f>VLOOKUP(Table257519913140106110151155170178196[[#This Row],[PEG]],Table1016[#All],3,FALSE)</f>
        <v>#N/A</v>
      </c>
    </row>
    <row r="26" spans="1:5" x14ac:dyDescent="0.35">
      <c r="A26" s="118">
        <v>19</v>
      </c>
      <c r="B26" s="114" t="s">
        <v>12</v>
      </c>
      <c r="C26" s="109" t="e">
        <f>VLOOKUP(Table257519913140106110151155170178196[[#This Row],[PEG]],Table1016[#All],2,FALSE)</f>
        <v>#N/A</v>
      </c>
      <c r="D26" s="117"/>
      <c r="E26" s="125" t="e">
        <f>VLOOKUP(Table257519913140106110151155170178196[[#This Row],[PEG]],Table1016[#All],3,FALSE)</f>
        <v>#N/A</v>
      </c>
    </row>
    <row r="27" spans="1:5" x14ac:dyDescent="0.35">
      <c r="A27" s="118">
        <v>20</v>
      </c>
      <c r="B27" s="114" t="s">
        <v>115</v>
      </c>
      <c r="C27" s="109" t="e">
        <f>VLOOKUP(Table257519913140106110151155170178196[[#This Row],[PEG]],Table1016[#All],2,FALSE)</f>
        <v>#N/A</v>
      </c>
      <c r="D27" s="117"/>
      <c r="E27" s="125" t="e">
        <f>VLOOKUP(Table257519913140106110151155170178196[[#This Row],[PEG]],Table1016[#All],3,FALSE)</f>
        <v>#N/A</v>
      </c>
    </row>
    <row r="28" spans="1:5" x14ac:dyDescent="0.35">
      <c r="A28" s="118">
        <v>21</v>
      </c>
      <c r="B28" s="114" t="s">
        <v>114</v>
      </c>
      <c r="C28" s="109" t="e">
        <f>VLOOKUP(Table257519913140106110151155170178196[[#This Row],[PEG]],Table1016[#All],2,FALSE)</f>
        <v>#N/A</v>
      </c>
      <c r="D28" s="117"/>
      <c r="E28" s="125" t="e">
        <f>VLOOKUP(Table257519913140106110151155170178196[[#This Row],[PEG]],Table1016[#All],3,FALSE)</f>
        <v>#N/A</v>
      </c>
    </row>
    <row r="29" spans="1:5" x14ac:dyDescent="0.35">
      <c r="A29" s="118">
        <v>22</v>
      </c>
      <c r="B29" s="114" t="s">
        <v>12</v>
      </c>
      <c r="C29" s="109" t="e">
        <f>VLOOKUP(Table257519913140106110151155170178196[[#This Row],[PEG]],Table1016[#All],2,FALSE)</f>
        <v>#N/A</v>
      </c>
      <c r="D29" s="117"/>
      <c r="E29" s="125" t="e">
        <f>VLOOKUP(Table257519913140106110151155170178196[[#This Row],[PEG]],Table1016[#All],3,FALSE)</f>
        <v>#N/A</v>
      </c>
    </row>
    <row r="30" spans="1:5" x14ac:dyDescent="0.35">
      <c r="A30" s="118">
        <v>23</v>
      </c>
      <c r="B30" s="114" t="s">
        <v>12</v>
      </c>
      <c r="C30" s="109" t="e">
        <f>VLOOKUP(Table257519913140106110151155170178196[[#This Row],[PEG]],Table1016[#All],2,FALSE)</f>
        <v>#N/A</v>
      </c>
      <c r="D30" s="117"/>
      <c r="E30" s="125" t="e">
        <f>VLOOKUP(Table257519913140106110151155170178196[[#This Row],[PEG]],Table1016[#All],3,FALSE)</f>
        <v>#N/A</v>
      </c>
    </row>
    <row r="31" spans="1:5" x14ac:dyDescent="0.35">
      <c r="A31" s="118">
        <v>24</v>
      </c>
      <c r="B31" s="114" t="s">
        <v>115</v>
      </c>
      <c r="C31" s="109" t="e">
        <f>VLOOKUP(Table257519913140106110151155170178196[[#This Row],[PEG]],Table1016[#All],2,FALSE)</f>
        <v>#N/A</v>
      </c>
      <c r="D31" s="117"/>
      <c r="E31" s="125" t="e">
        <f>VLOOKUP(Table257519913140106110151155170178196[[#This Row],[PEG]],Table1016[#All],3,FALSE)</f>
        <v>#N/A</v>
      </c>
    </row>
    <row r="32" spans="1:5" x14ac:dyDescent="0.35">
      <c r="A32" s="118">
        <v>25</v>
      </c>
      <c r="B32" s="114" t="s">
        <v>115</v>
      </c>
      <c r="C32" s="109" t="e">
        <f>VLOOKUP(Table257519913140106110151155170178196[[#This Row],[PEG]],Table1016[#All],2,FALSE)</f>
        <v>#N/A</v>
      </c>
      <c r="D32" s="117"/>
      <c r="E32" s="125" t="e">
        <f>VLOOKUP(Table257519913140106110151155170178196[[#This Row],[PEG]],Table1016[#All],3,FALSE)</f>
        <v>#N/A</v>
      </c>
    </row>
    <row r="33" spans="1:5" x14ac:dyDescent="0.35">
      <c r="A33" s="118">
        <v>26</v>
      </c>
      <c r="B33" s="114" t="s">
        <v>124</v>
      </c>
      <c r="C33" s="109" t="e">
        <f>VLOOKUP(Table257519913140106110151155170178196[[#This Row],[PEG]],Table1016[#All],2,FALSE)</f>
        <v>#N/A</v>
      </c>
      <c r="D33" s="117"/>
      <c r="E33" s="125" t="e">
        <f>VLOOKUP(Table257519913140106110151155170178196[[#This Row],[PEG]],Table1016[#All],3,FALSE)</f>
        <v>#N/A</v>
      </c>
    </row>
    <row r="34" spans="1:5" x14ac:dyDescent="0.35">
      <c r="A34" s="118">
        <v>27</v>
      </c>
      <c r="B34" s="114" t="s">
        <v>115</v>
      </c>
      <c r="C34" s="109" t="e">
        <f>VLOOKUP(Table257519913140106110151155170178196[[#This Row],[PEG]],Table1016[#All],2,FALSE)</f>
        <v>#N/A</v>
      </c>
      <c r="D34" s="117"/>
      <c r="E34" s="125" t="e">
        <f>VLOOKUP(Table257519913140106110151155170178196[[#This Row],[PEG]],Table1016[#All],3,FALSE)</f>
        <v>#N/A</v>
      </c>
    </row>
    <row r="35" spans="1:5" x14ac:dyDescent="0.35">
      <c r="A35" s="118">
        <v>28</v>
      </c>
      <c r="B35" s="114" t="s">
        <v>124</v>
      </c>
      <c r="C35" s="109" t="e">
        <f>VLOOKUP(Table257519913140106110151155170178196[[#This Row],[PEG]],Table1016[#All],2,FALSE)</f>
        <v>#N/A</v>
      </c>
      <c r="D35" s="117"/>
      <c r="E35" s="125" t="e">
        <f>VLOOKUP(Table257519913140106110151155170178196[[#This Row],[PEG]],Table1016[#All],3,FALSE)</f>
        <v>#N/A</v>
      </c>
    </row>
    <row r="36" spans="1:5" x14ac:dyDescent="0.35">
      <c r="A36" s="118">
        <v>29</v>
      </c>
      <c r="B36" s="114" t="s">
        <v>115</v>
      </c>
      <c r="C36" s="109" t="e">
        <f>VLOOKUP(Table257519913140106110151155170178196[[#This Row],[PEG]],Table1016[#All],2,FALSE)</f>
        <v>#N/A</v>
      </c>
      <c r="D36" s="117"/>
      <c r="E36" s="125" t="e">
        <f>VLOOKUP(Table257519913140106110151155170178196[[#This Row],[PEG]],Table1016[#All],3,FALSE)</f>
        <v>#N/A</v>
      </c>
    </row>
    <row r="37" spans="1:5" x14ac:dyDescent="0.35">
      <c r="A37" s="118">
        <v>30</v>
      </c>
      <c r="B37" s="114" t="s">
        <v>12</v>
      </c>
      <c r="C37" s="109" t="e">
        <f>VLOOKUP(Table257519913140106110151155170178196[[#This Row],[PEG]],Table1016[#All],2,FALSE)</f>
        <v>#N/A</v>
      </c>
      <c r="D37" s="117"/>
      <c r="E37" s="125" t="e">
        <f>VLOOKUP(Table257519913140106110151155170178196[[#This Row],[PEG]],Table1016[#All],3,FALSE)</f>
        <v>#N/A</v>
      </c>
    </row>
    <row r="38" spans="1:5" x14ac:dyDescent="0.35">
      <c r="A38" s="118">
        <v>31</v>
      </c>
      <c r="B38" s="114" t="s">
        <v>12</v>
      </c>
      <c r="C38" s="109" t="e">
        <f>VLOOKUP(Table257519913140106110151155170178196[[#This Row],[PEG]],Table1016[#All],2,FALSE)</f>
        <v>#N/A</v>
      </c>
      <c r="D38" s="117"/>
      <c r="E38" s="125" t="e">
        <f>VLOOKUP(Table257519913140106110151155170178196[[#This Row],[PEG]],Table1016[#All],3,FALSE)</f>
        <v>#N/A</v>
      </c>
    </row>
    <row r="39" spans="1:5" x14ac:dyDescent="0.35">
      <c r="A39" s="118">
        <v>32</v>
      </c>
      <c r="B39" s="114" t="s">
        <v>12</v>
      </c>
      <c r="C39" s="109" t="e">
        <f>VLOOKUP(Table257519913140106110151155170178196[[#This Row],[PEG]],Table1016[#All],2,FALSE)</f>
        <v>#N/A</v>
      </c>
      <c r="D39" s="117"/>
      <c r="E39" s="125" t="e">
        <f>VLOOKUP(Table257519913140106110151155170178196[[#This Row],[PEG]],Table1016[#All],3,FALSE)</f>
        <v>#N/A</v>
      </c>
    </row>
    <row r="40" spans="1:5" x14ac:dyDescent="0.35">
      <c r="A40" s="118">
        <v>33</v>
      </c>
      <c r="B40" s="114" t="s">
        <v>12</v>
      </c>
      <c r="C40" s="109" t="e">
        <f>VLOOKUP(Table257519913140106110151155170178196[[#This Row],[PEG]],Table1016[#All],2,FALSE)</f>
        <v>#N/A</v>
      </c>
      <c r="D40" s="117"/>
      <c r="E40" s="125" t="e">
        <f>VLOOKUP(Table257519913140106110151155170178196[[#This Row],[PEG]],Table1016[#All],3,FALSE)</f>
        <v>#N/A</v>
      </c>
    </row>
    <row r="41" spans="1:5" x14ac:dyDescent="0.35">
      <c r="A41" s="118">
        <v>34</v>
      </c>
      <c r="B41" s="114" t="s">
        <v>115</v>
      </c>
      <c r="C41" s="109" t="e">
        <f>VLOOKUP(Table257519913140106110151155170178196[[#This Row],[PEG]],Table1016[#All],2,FALSE)</f>
        <v>#N/A</v>
      </c>
      <c r="D41" s="117"/>
      <c r="E41" s="125" t="e">
        <f>VLOOKUP(Table257519913140106110151155170178196[[#This Row],[PEG]],Table1016[#All],3,FALSE)</f>
        <v>#N/A</v>
      </c>
    </row>
    <row r="42" spans="1:5" x14ac:dyDescent="0.35">
      <c r="A42" s="118">
        <v>35</v>
      </c>
      <c r="B42" s="114" t="s">
        <v>12</v>
      </c>
      <c r="C42" s="109" t="e">
        <f>VLOOKUP(Table257519913140106110151155170178196[[#This Row],[PEG]],Table1016[#All],2,FALSE)</f>
        <v>#N/A</v>
      </c>
      <c r="D42" s="115"/>
      <c r="E42" s="125" t="e">
        <f>VLOOKUP(Table257519913140106110151155170178196[[#This Row],[PEG]],Table1016[#All],3,FALSE)</f>
        <v>#N/A</v>
      </c>
    </row>
    <row r="43" spans="1:5" x14ac:dyDescent="0.35">
      <c r="A43" s="118">
        <v>36</v>
      </c>
      <c r="B43" s="114" t="s">
        <v>115</v>
      </c>
      <c r="C43" s="109" t="e">
        <f>VLOOKUP(Table257519913140106110151155170178196[[#This Row],[PEG]],Table1016[#All],2,FALSE)</f>
        <v>#N/A</v>
      </c>
      <c r="D43" s="115"/>
      <c r="E43" s="125" t="e">
        <f>VLOOKUP(Table257519913140106110151155170178196[[#This Row],[PEG]],Table1016[#All],3,FALSE)</f>
        <v>#N/A</v>
      </c>
    </row>
    <row r="44" spans="1:5" x14ac:dyDescent="0.35">
      <c r="A44" s="118">
        <v>37</v>
      </c>
      <c r="B44" s="114" t="s">
        <v>13</v>
      </c>
      <c r="C44" s="18" t="s">
        <v>13</v>
      </c>
      <c r="D44" s="115"/>
      <c r="E44" s="32"/>
    </row>
  </sheetData>
  <mergeCells count="1">
    <mergeCell ref="A1:B1"/>
  </mergeCells>
  <conditionalFormatting sqref="B8:B18">
    <cfRule type="containsText" dxfId="1045" priority="1" operator="containsText" text="Hear">
      <formula>NOT(ISERROR(SEARCH("Hear",B8)))</formula>
    </cfRule>
  </conditionalFormatting>
  <conditionalFormatting sqref="B30">
    <cfRule type="containsText" dxfId="1044" priority="4" operator="containsText" text="Hear">
      <formula>NOT(ISERROR(SEARCH("Hear",B30)))</formula>
    </cfRule>
  </conditionalFormatting>
  <conditionalFormatting sqref="B43:B44">
    <cfRule type="containsText" dxfId="1043" priority="8" operator="containsText" text="Hear">
      <formula>NOT(ISERROR(SEARCH("Hear",B43)))</formula>
    </cfRule>
  </conditionalFormatting>
  <conditionalFormatting sqref="E44">
    <cfRule type="containsText" dxfId="1042" priority="6" operator="containsText" text="WEB SERVICE">
      <formula>NOT(ISERROR(SEARCH("WEB SERVICE",E44)))</formula>
    </cfRule>
    <cfRule type="containsText" dxfId="1041" priority="7" operator="containsText" text="DB">
      <formula>NOT(ISERROR(SEARCH("DB",E44)))</formula>
    </cfRule>
  </conditionalFormatting>
  <conditionalFormatting sqref="C44">
    <cfRule type="expression" dxfId="1040" priority="9">
      <formula>$B44="HANGUP"</formula>
    </cfRule>
    <cfRule type="expression" dxfId="1039" priority="9">
      <formula>$B44="Dial"</formula>
    </cfRule>
  </conditionalFormatting>
  <conditionalFormatting sqref="C44">
    <cfRule type="expression" dxfId="1038" priority="3">
      <formula>$B44="Speak"</formula>
    </cfRule>
  </conditionalFormatting>
  <conditionalFormatting sqref="B36:B38 B40:B41">
    <cfRule type="containsText" dxfId="1037" priority="2" operator="containsText" text="Hear">
      <formula>NOT(ISERROR(SEARCH("Hear",B36)))</formula>
    </cfRule>
  </conditionalFormatting>
  <conditionalFormatting sqref="B19:B29 B31:B35 B42">
    <cfRule type="containsText" dxfId="1036" priority="5" operator="containsText" text="Hear">
      <formula>NOT(ISERROR(SEARCH("Hear",B19)))</formula>
    </cfRule>
  </conditionalFormatting>
  <hyperlinks>
    <hyperlink ref="A1" location="'Test Case Overview'!A1" display="Return to Test Case Overview" xr:uid="{5CCE8B33-E942-4D83-8352-EA7129DDFC9C}"/>
  </hyperlinks>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expression" priority="10" id="{CC3C6C2B-D25C-4BD6-A251-383DCC87CD97}">
            <xm:f>'TC1'!$B8="Dial"</xm:f>
            <x14:dxf>
              <font>
                <b/>
                <i val="0"/>
                <color rgb="FFFF0000"/>
              </font>
            </x14:dxf>
          </x14:cfRule>
          <x14:cfRule type="expression" priority="10" id="{4BA4762E-E9F3-4B36-962A-01B3C945CE30}">
            <xm:f>'TC1'!$B8="HANGUP"</xm:f>
            <x14:dxf>
              <font>
                <b/>
                <i val="0"/>
              </font>
            </x14:dxf>
          </x14:cfRule>
          <xm:sqref>C8</xm:sqref>
        </x14:conditionalFormatting>
        <x14:conditionalFormatting xmlns:xm="http://schemas.microsoft.com/office/excel/2006/main">
          <x14:cfRule type="expression" priority="11" id="{BFF2EC27-6EB4-44DA-AD03-EE64640D4ADD}">
            <xm:f>'TC1'!$B8="Speak"</xm:f>
            <x14:dxf>
              <font>
                <b/>
                <i val="0"/>
                <color rgb="FFFF0000"/>
              </font>
            </x14:dxf>
          </x14:cfRule>
          <xm:sqref>C8</xm:sqref>
        </x14:conditionalFormatting>
        <x14:conditionalFormatting xmlns:xm="http://schemas.microsoft.com/office/excel/2006/main">
          <x14:cfRule type="containsText" priority="14" operator="containsText" text="Hear" id="{7D83767C-4608-4DA5-AFE7-266634C3A15B}">
            <xm:f>NOT(ISERROR(SEARCH("Hear",'TC3'!B34)))</xm:f>
            <x14:dxf>
              <font>
                <color theme="9" tint="-0.24994659260841701"/>
              </font>
              <fill>
                <patternFill>
                  <bgColor theme="9" tint="0.59996337778862885"/>
                </patternFill>
              </fill>
            </x14:dxf>
          </x14:cfRule>
          <xm:sqref>B41</xm:sqref>
        </x14:conditionalFormatting>
        <x14:conditionalFormatting xmlns:xm="http://schemas.microsoft.com/office/excel/2006/main">
          <x14:cfRule type="expression" priority="3143" id="{CC3C6C2B-D25C-4BD6-A251-383DCC87CD97}">
            <xm:f>'TC1'!$B16="Dial"</xm:f>
            <x14:dxf>
              <font>
                <b/>
                <i val="0"/>
                <color rgb="FFFF0000"/>
              </font>
            </x14:dxf>
          </x14:cfRule>
          <x14:cfRule type="expression" priority="3144" id="{4BA4762E-E9F3-4B36-962A-01B3C945CE30}">
            <xm:f>'TC1'!$B16="HANGUP"</xm:f>
            <x14:dxf>
              <font>
                <b/>
                <i val="0"/>
              </font>
            </x14:dxf>
          </x14:cfRule>
          <xm:sqref>C34:C43</xm:sqref>
        </x14:conditionalFormatting>
        <x14:conditionalFormatting xmlns:xm="http://schemas.microsoft.com/office/excel/2006/main">
          <x14:cfRule type="expression" priority="3145" id="{CC3C6C2B-D25C-4BD6-A251-383DCC87CD97}">
            <xm:f>'TC1'!#REF!="Dial"</xm:f>
            <x14:dxf>
              <font>
                <b/>
                <i val="0"/>
                <color rgb="FFFF0000"/>
              </font>
            </x14:dxf>
          </x14:cfRule>
          <x14:cfRule type="expression" priority="3146" id="{4BA4762E-E9F3-4B36-962A-01B3C945CE30}">
            <xm:f>'TC1'!#REF!="HANGUP"</xm:f>
            <x14:dxf>
              <font>
                <b/>
                <i val="0"/>
              </font>
            </x14:dxf>
          </x14:cfRule>
          <xm:sqref>C17:C33</xm:sqref>
        </x14:conditionalFormatting>
        <x14:conditionalFormatting xmlns:xm="http://schemas.microsoft.com/office/excel/2006/main">
          <x14:cfRule type="expression" priority="3150" id="{BFF2EC27-6EB4-44DA-AD03-EE64640D4ADD}">
            <xm:f>'TC1'!$B16="Speak"</xm:f>
            <x14:dxf>
              <font>
                <b/>
                <i val="0"/>
                <color rgb="FFFF0000"/>
              </font>
            </x14:dxf>
          </x14:cfRule>
          <xm:sqref>C34:C43</xm:sqref>
        </x14:conditionalFormatting>
        <x14:conditionalFormatting xmlns:xm="http://schemas.microsoft.com/office/excel/2006/main">
          <x14:cfRule type="expression" priority="3151" id="{BFF2EC27-6EB4-44DA-AD03-EE64640D4ADD}">
            <xm:f>'TC1'!#REF!="Speak"</xm:f>
            <x14:dxf>
              <font>
                <b/>
                <i val="0"/>
                <color rgb="FFFF0000"/>
              </font>
            </x14:dxf>
          </x14:cfRule>
          <xm:sqref>C17:C33</xm:sqref>
        </x14:conditionalFormatting>
        <x14:conditionalFormatting xmlns:xm="http://schemas.microsoft.com/office/excel/2006/main">
          <x14:cfRule type="containsText" priority="3155" operator="containsText" text="DB" id="{C6528F52-3487-47A4-9D89-DFF52A36D472}">
            <xm:f>NOT(ISERROR(SEARCH("DB",'TC1'!E16)))</xm:f>
            <x14:dxf>
              <font>
                <color rgb="FF006100"/>
              </font>
              <fill>
                <patternFill>
                  <bgColor rgb="FFC6EFCE"/>
                </patternFill>
              </fill>
            </x14:dxf>
          </x14:cfRule>
          <x14:cfRule type="containsText" priority="3156" operator="containsText" text="WEB SERVICE" id="{88289847-071E-450A-9187-7ACF603931A5}">
            <xm:f>NOT(ISERROR(SEARCH("WEB SERVICE",'TC1'!E16)))</xm:f>
            <x14:dxf>
              <font>
                <color rgb="FF9C0006"/>
              </font>
              <fill>
                <patternFill>
                  <bgColor rgb="FFFFC7CE"/>
                </patternFill>
              </fill>
            </x14:dxf>
          </x14:cfRule>
          <xm:sqref>E34:E43</xm:sqref>
        </x14:conditionalFormatting>
        <x14:conditionalFormatting xmlns:xm="http://schemas.microsoft.com/office/excel/2006/main">
          <x14:cfRule type="containsText" priority="3157" operator="containsText" text="DB" id="{C6528F52-3487-47A4-9D89-DFF52A36D472}">
            <xm:f>NOT(ISERROR(SEARCH("DB",'TC1'!#REF!)))</xm:f>
            <x14:dxf>
              <font>
                <color rgb="FF006100"/>
              </font>
              <fill>
                <patternFill>
                  <bgColor rgb="FFC6EFCE"/>
                </patternFill>
              </fill>
            </x14:dxf>
          </x14:cfRule>
          <x14:cfRule type="containsText" priority="3158" operator="containsText" text="WEB SERVICE" id="{88289847-071E-450A-9187-7ACF603931A5}">
            <xm:f>NOT(ISERROR(SEARCH("WEB SERVICE",'TC1'!#REF!)))</xm:f>
            <x14:dxf>
              <font>
                <color rgb="FF9C0006"/>
              </font>
              <fill>
                <patternFill>
                  <bgColor rgb="FFFFC7CE"/>
                </patternFill>
              </fill>
            </x14:dxf>
          </x14:cfRule>
          <xm:sqref>E17:E33</xm:sqref>
        </x14:conditionalFormatting>
        <x14:conditionalFormatting xmlns:xm="http://schemas.microsoft.com/office/excel/2006/main">
          <x14:cfRule type="expression" priority="5767" id="{CC3C6C2B-D25C-4BD6-A251-383DCC87CD97}">
            <xm:f>'TC1'!$B9="Dial"</xm:f>
            <x14:dxf>
              <font>
                <b/>
                <i val="0"/>
                <color rgb="FFFF0000"/>
              </font>
            </x14:dxf>
          </x14:cfRule>
          <x14:cfRule type="expression" priority="5768" id="{4BA4762E-E9F3-4B36-962A-01B3C945CE30}">
            <xm:f>'TC1'!$B9="HANGUP"</xm:f>
            <x14:dxf>
              <font>
                <b/>
                <i val="0"/>
              </font>
            </x14:dxf>
          </x14:cfRule>
          <xm:sqref>C12:C15</xm:sqref>
        </x14:conditionalFormatting>
        <x14:conditionalFormatting xmlns:xm="http://schemas.microsoft.com/office/excel/2006/main">
          <x14:cfRule type="expression" priority="5769" id="{CC3C6C2B-D25C-4BD6-A251-383DCC87CD97}">
            <xm:f>'TC1'!#REF!="Dial"</xm:f>
            <x14:dxf>
              <font>
                <b/>
                <i val="0"/>
                <color rgb="FFFF0000"/>
              </font>
            </x14:dxf>
          </x14:cfRule>
          <x14:cfRule type="expression" priority="5770" id="{4BA4762E-E9F3-4B36-962A-01B3C945CE30}">
            <xm:f>'TC1'!#REF!="HANGUP"</xm:f>
            <x14:dxf>
              <font>
                <b/>
                <i val="0"/>
              </font>
            </x14:dxf>
          </x14:cfRule>
          <xm:sqref>C9:C11</xm:sqref>
        </x14:conditionalFormatting>
        <x14:conditionalFormatting xmlns:xm="http://schemas.microsoft.com/office/excel/2006/main">
          <x14:cfRule type="expression" priority="5774" id="{BFF2EC27-6EB4-44DA-AD03-EE64640D4ADD}">
            <xm:f>'TC1'!$B9="Speak"</xm:f>
            <x14:dxf>
              <font>
                <b/>
                <i val="0"/>
                <color rgb="FFFF0000"/>
              </font>
            </x14:dxf>
          </x14:cfRule>
          <xm:sqref>C12:C15</xm:sqref>
        </x14:conditionalFormatting>
        <x14:conditionalFormatting xmlns:xm="http://schemas.microsoft.com/office/excel/2006/main">
          <x14:cfRule type="expression" priority="5775" id="{BFF2EC27-6EB4-44DA-AD03-EE64640D4ADD}">
            <xm:f>'TC1'!#REF!="Speak"</xm:f>
            <x14:dxf>
              <font>
                <b/>
                <i val="0"/>
                <color rgb="FFFF0000"/>
              </font>
            </x14:dxf>
          </x14:cfRule>
          <xm:sqref>C9:C11</xm:sqref>
        </x14:conditionalFormatting>
        <x14:conditionalFormatting xmlns:xm="http://schemas.microsoft.com/office/excel/2006/main">
          <x14:cfRule type="containsText" priority="5777" operator="containsText" text="DB" id="{C6528F52-3487-47A4-9D89-DFF52A36D472}">
            <xm:f>NOT(ISERROR(SEARCH("DB",'TC1'!#REF!)))</xm:f>
            <x14:dxf>
              <font>
                <color rgb="FF006100"/>
              </font>
              <fill>
                <patternFill>
                  <bgColor rgb="FFC6EFCE"/>
                </patternFill>
              </fill>
            </x14:dxf>
          </x14:cfRule>
          <x14:cfRule type="containsText" priority="5778" operator="containsText" text="WEB SERVICE" id="{88289847-071E-450A-9187-7ACF603931A5}">
            <xm:f>NOT(ISERROR(SEARCH("WEB SERVICE",'TC1'!#REF!)))</xm:f>
            <x14:dxf>
              <font>
                <color rgb="FF9C0006"/>
              </font>
              <fill>
                <patternFill>
                  <bgColor rgb="FFFFC7CE"/>
                </patternFill>
              </fill>
            </x14:dxf>
          </x14:cfRule>
          <xm:sqref>E9:E11</xm:sqref>
        </x14:conditionalFormatting>
        <x14:conditionalFormatting xmlns:xm="http://schemas.microsoft.com/office/excel/2006/main">
          <x14:cfRule type="containsText" priority="5779" operator="containsText" text="DB" id="{C6528F52-3487-47A4-9D89-DFF52A36D472}">
            <xm:f>NOT(ISERROR(SEARCH("DB",'TC1'!E9)))</xm:f>
            <x14:dxf>
              <font>
                <color rgb="FF006100"/>
              </font>
              <fill>
                <patternFill>
                  <bgColor rgb="FFC6EFCE"/>
                </patternFill>
              </fill>
            </x14:dxf>
          </x14:cfRule>
          <x14:cfRule type="containsText" priority="5780" operator="containsText" text="WEB SERVICE" id="{88289847-071E-450A-9187-7ACF603931A5}">
            <xm:f>NOT(ISERROR(SEARCH("WEB SERVICE",'TC1'!E9)))</xm:f>
            <x14:dxf>
              <font>
                <color rgb="FF9C0006"/>
              </font>
              <fill>
                <patternFill>
                  <bgColor rgb="FFFFC7CE"/>
                </patternFill>
              </fill>
            </x14:dxf>
          </x14:cfRule>
          <xm:sqref>E12:E15</xm:sqref>
        </x14:conditionalFormatting>
        <x14:conditionalFormatting xmlns:xm="http://schemas.microsoft.com/office/excel/2006/main">
          <x14:cfRule type="expression" priority="7985" id="{CC3C6C2B-D25C-4BD6-A251-383DCC87CD97}">
            <xm:f>'TC1'!$B15="Dial"</xm:f>
            <x14:dxf>
              <font>
                <b/>
                <i val="0"/>
                <color rgb="FFFF0000"/>
              </font>
            </x14:dxf>
          </x14:cfRule>
          <x14:cfRule type="expression" priority="7986" id="{4BA4762E-E9F3-4B36-962A-01B3C945CE30}">
            <xm:f>'TC1'!$B15="HANGUP"</xm:f>
            <x14:dxf>
              <font>
                <b/>
                <i val="0"/>
              </font>
            </x14:dxf>
          </x14:cfRule>
          <xm:sqref>C16</xm:sqref>
        </x14:conditionalFormatting>
        <x14:conditionalFormatting xmlns:xm="http://schemas.microsoft.com/office/excel/2006/main">
          <x14:cfRule type="expression" priority="7988" id="{BFF2EC27-6EB4-44DA-AD03-EE64640D4ADD}">
            <xm:f>'TC1'!$B15="Speak"</xm:f>
            <x14:dxf>
              <font>
                <b/>
                <i val="0"/>
                <color rgb="FFFF0000"/>
              </font>
            </x14:dxf>
          </x14:cfRule>
          <xm:sqref>C16</xm:sqref>
        </x14:conditionalFormatting>
        <x14:conditionalFormatting xmlns:xm="http://schemas.microsoft.com/office/excel/2006/main">
          <x14:cfRule type="containsText" priority="7991" operator="containsText" text="DB" id="{C6528F52-3487-47A4-9D89-DFF52A36D472}">
            <xm:f>NOT(ISERROR(SEARCH("DB",'TC1'!E15)))</xm:f>
            <x14:dxf>
              <font>
                <color rgb="FF006100"/>
              </font>
              <fill>
                <patternFill>
                  <bgColor rgb="FFC6EFCE"/>
                </patternFill>
              </fill>
            </x14:dxf>
          </x14:cfRule>
          <x14:cfRule type="containsText" priority="7992" operator="containsText" text="WEB SERVICE" id="{88289847-071E-450A-9187-7ACF603931A5}">
            <xm:f>NOT(ISERROR(SEARCH("WEB SERVICE",'TC1'!E15)))</xm:f>
            <x14:dxf>
              <font>
                <color rgb="FF9C0006"/>
              </font>
              <fill>
                <patternFill>
                  <bgColor rgb="FFFFC7CE"/>
                </patternFill>
              </fill>
            </x14:dxf>
          </x14:cfRule>
          <xm:sqref>E16</xm:sqref>
        </x14:conditionalFormatting>
        <x14:conditionalFormatting xmlns:xm="http://schemas.microsoft.com/office/excel/2006/main">
          <x14:cfRule type="containsText" priority="10714" operator="containsText" text="Hear" id="{82B6AEC5-8794-4F0D-AA71-6DF96E33EAF4}">
            <xm:f>NOT(ISERROR(SEARCH("Hear",'TC26'!#REF!)))</xm:f>
            <x14:dxf>
              <font>
                <color theme="9" tint="-0.24994659260841701"/>
              </font>
              <fill>
                <patternFill>
                  <bgColor theme="9" tint="0.59996337778862885"/>
                </patternFill>
              </fill>
            </x14:dxf>
          </x14:cfRule>
          <xm:sqref>B39</xm:sqref>
        </x14:conditionalFormatting>
      </x14:conditionalFormattings>
    </ext>
  </extLst>
</worksheet>
</file>

<file path=xl/worksheets/sheet1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100-000000000000}">
  <sheetPr codeName="Sheet147"/>
  <dimension ref="A1:E44"/>
  <sheetViews>
    <sheetView zoomScaleNormal="100" workbookViewId="0">
      <selection sqref="A1:E44"/>
    </sheetView>
  </sheetViews>
  <sheetFormatPr defaultRowHeight="14.5" x14ac:dyDescent="0.35"/>
  <cols>
    <col min="1" max="1" width="14.453125" bestFit="1" customWidth="1"/>
    <col min="2" max="2" width="42.6328125" customWidth="1"/>
    <col min="3" max="3" width="106.1796875" customWidth="1"/>
    <col min="4" max="4" width="21.81640625" bestFit="1" customWidth="1"/>
    <col min="5" max="5" width="20.6328125" customWidth="1"/>
  </cols>
  <sheetData>
    <row r="1" spans="1:5" ht="18.5" x14ac:dyDescent="0.35">
      <c r="A1" s="192" t="s">
        <v>4</v>
      </c>
      <c r="B1" s="192"/>
      <c r="C1" s="105"/>
      <c r="D1" s="111"/>
      <c r="E1" s="97"/>
    </row>
    <row r="2" spans="1:5" x14ac:dyDescent="0.35">
      <c r="A2" s="106" t="s">
        <v>5</v>
      </c>
      <c r="B2" s="107" t="str">
        <f ca="1">MID(CELL("filename",A1),FIND("]",CELL("filename",A1))+1,LEN(CELL("filename",A1))-FIND("]",CELL("filename",A1)))</f>
        <v>TC145</v>
      </c>
      <c r="C2" s="98"/>
      <c r="D2" s="111"/>
      <c r="E2" s="97"/>
    </row>
    <row r="3" spans="1:5" x14ac:dyDescent="0.35">
      <c r="A3" s="104" t="s">
        <v>19</v>
      </c>
      <c r="B3" s="112" t="e">
        <f ca="1">VLOOKUP(B2,Table53[#All],2,FALSE)</f>
        <v>#N/A</v>
      </c>
      <c r="C3" s="98"/>
      <c r="D3" s="111"/>
      <c r="E3" s="97"/>
    </row>
    <row r="4" spans="1:5" ht="29" x14ac:dyDescent="0.35">
      <c r="A4" s="113" t="s">
        <v>20</v>
      </c>
      <c r="B4" s="99" t="e">
        <f ca="1">VLOOKUP(B2,Table53[#All],4,FALSE)</f>
        <v>#N/A</v>
      </c>
      <c r="C4" s="98"/>
      <c r="D4" s="111"/>
      <c r="E4" s="97"/>
    </row>
    <row r="5" spans="1:5" x14ac:dyDescent="0.35">
      <c r="A5" s="104" t="s">
        <v>6</v>
      </c>
      <c r="B5" s="77" t="e">
        <f ca="1">VLOOKUP(B2,Table53[#All],3,FALSE)</f>
        <v>#N/A</v>
      </c>
      <c r="C5" s="98"/>
      <c r="D5" s="111"/>
      <c r="E5" s="97"/>
    </row>
    <row r="6" spans="1:5" x14ac:dyDescent="0.35">
      <c r="A6" s="97"/>
      <c r="B6" s="97"/>
      <c r="C6" s="98"/>
      <c r="D6" s="111"/>
      <c r="E6" s="97"/>
    </row>
    <row r="7" spans="1:5" ht="15.5" x14ac:dyDescent="0.35">
      <c r="A7" s="100" t="s">
        <v>7</v>
      </c>
      <c r="B7" s="101" t="s">
        <v>8</v>
      </c>
      <c r="C7" s="102" t="s">
        <v>9</v>
      </c>
      <c r="D7" s="102" t="s">
        <v>14</v>
      </c>
      <c r="E7" s="103" t="s">
        <v>10</v>
      </c>
    </row>
    <row r="8" spans="1:5" x14ac:dyDescent="0.35">
      <c r="A8" s="118">
        <v>1</v>
      </c>
      <c r="B8" s="114" t="s">
        <v>114</v>
      </c>
      <c r="C8" s="109" t="s">
        <v>125</v>
      </c>
      <c r="D8" s="128"/>
      <c r="E8" s="125" t="s">
        <v>11</v>
      </c>
    </row>
    <row r="9" spans="1:5" x14ac:dyDescent="0.35">
      <c r="A9" s="118">
        <v>2</v>
      </c>
      <c r="B9" s="114" t="s">
        <v>12</v>
      </c>
      <c r="C9" s="109" t="e">
        <f>VLOOKUP(Table257519913140106110151155170178198[[#This Row],[PEG]],Table1016[#All],2,FALSE)</f>
        <v>#N/A</v>
      </c>
      <c r="D9" s="128"/>
      <c r="E9" s="125" t="e">
        <f>VLOOKUP(Table257519913140106110151155170178198[[#This Row],[PEG]],Table1016[#All],3,FALSE)</f>
        <v>#N/A</v>
      </c>
    </row>
    <row r="10" spans="1:5" x14ac:dyDescent="0.35">
      <c r="A10" s="118">
        <v>3</v>
      </c>
      <c r="B10" s="114" t="s">
        <v>115</v>
      </c>
      <c r="C10" s="109" t="e">
        <f>VLOOKUP(Table257519913140106110151155170178198[[#This Row],[PEG]],Table1016[#All],2,FALSE)</f>
        <v>#N/A</v>
      </c>
      <c r="D10" s="128"/>
      <c r="E10" s="125" t="e">
        <f>VLOOKUP(Table257519913140106110151155170178198[[#This Row],[PEG]],Table1016[#All],3,FALSE)</f>
        <v>#N/A</v>
      </c>
    </row>
    <row r="11" spans="1:5" x14ac:dyDescent="0.35">
      <c r="A11" s="118">
        <v>4</v>
      </c>
      <c r="B11" s="114" t="s">
        <v>115</v>
      </c>
      <c r="C11" s="109" t="e">
        <f>VLOOKUP(Table257519913140106110151155170178198[[#This Row],[PEG]],Table1016[#All],2,FALSE)</f>
        <v>#N/A</v>
      </c>
      <c r="D11" s="128"/>
      <c r="E11" s="125" t="e">
        <f>VLOOKUP(Table257519913140106110151155170178198[[#This Row],[PEG]],Table1016[#All],3,FALSE)</f>
        <v>#N/A</v>
      </c>
    </row>
    <row r="12" spans="1:5" x14ac:dyDescent="0.35">
      <c r="A12" s="118">
        <v>5</v>
      </c>
      <c r="B12" s="114" t="s">
        <v>114</v>
      </c>
      <c r="C12" s="109" t="e">
        <f>VLOOKUP(Table257519913140106110151155170178198[[#This Row],[PEG]],Table1016[#All],2,FALSE)</f>
        <v>#N/A</v>
      </c>
      <c r="D12" s="128"/>
      <c r="E12" s="125" t="e">
        <f>VLOOKUP(Table257519913140106110151155170178198[[#This Row],[PEG]],Table1016[#All],3,FALSE)</f>
        <v>#N/A</v>
      </c>
    </row>
    <row r="13" spans="1:5" x14ac:dyDescent="0.35">
      <c r="A13" s="118">
        <v>6</v>
      </c>
      <c r="B13" s="114" t="s">
        <v>115</v>
      </c>
      <c r="C13" s="109" t="e">
        <f>VLOOKUP(Table257519913140106110151155170178198[[#This Row],[PEG]],Table1016[#All],2,FALSE)</f>
        <v>#N/A</v>
      </c>
      <c r="D13" s="128"/>
      <c r="E13" s="125" t="e">
        <f>VLOOKUP(Table257519913140106110151155170178198[[#This Row],[PEG]],Table1016[#All],3,FALSE)</f>
        <v>#N/A</v>
      </c>
    </row>
    <row r="14" spans="1:5" x14ac:dyDescent="0.35">
      <c r="A14" s="118">
        <v>7</v>
      </c>
      <c r="B14" s="114" t="s">
        <v>114</v>
      </c>
      <c r="C14" s="109" t="e">
        <f>VLOOKUP(Table257519913140106110151155170178198[[#This Row],[PEG]],Table1016[#All],2,FALSE)</f>
        <v>#N/A</v>
      </c>
      <c r="D14" s="128"/>
      <c r="E14" s="125" t="e">
        <f>VLOOKUP(Table257519913140106110151155170178198[[#This Row],[PEG]],Table1016[#All],3,FALSE)</f>
        <v>#N/A</v>
      </c>
    </row>
    <row r="15" spans="1:5" x14ac:dyDescent="0.35">
      <c r="A15" s="118">
        <v>8</v>
      </c>
      <c r="B15" s="114" t="s">
        <v>115</v>
      </c>
      <c r="C15" s="109" t="e">
        <f>VLOOKUP(Table257519913140106110151155170178198[[#This Row],[PEG]],Table1016[#All],2,FALSE)</f>
        <v>#N/A</v>
      </c>
      <c r="D15" s="116"/>
      <c r="E15" s="125" t="e">
        <f>VLOOKUP(Table257519913140106110151155170178198[[#This Row],[PEG]],Table1016[#All],3,FALSE)</f>
        <v>#N/A</v>
      </c>
    </row>
    <row r="16" spans="1:5" x14ac:dyDescent="0.35">
      <c r="A16" s="118">
        <v>9</v>
      </c>
      <c r="B16" s="114" t="s">
        <v>12</v>
      </c>
      <c r="C16" s="109" t="e">
        <f>VLOOKUP(Table257519913140106110151155170178198[[#This Row],[PEG]],Table1016[#All],2,FALSE)</f>
        <v>#N/A</v>
      </c>
      <c r="D16" s="116"/>
      <c r="E16" s="125" t="e">
        <f>VLOOKUP(Table257519913140106110151155170178198[[#This Row],[PEG]],Table1016[#All],3,FALSE)</f>
        <v>#N/A</v>
      </c>
    </row>
    <row r="17" spans="1:5" x14ac:dyDescent="0.35">
      <c r="A17" s="118">
        <v>10</v>
      </c>
      <c r="B17" s="114" t="s">
        <v>12</v>
      </c>
      <c r="C17" s="109" t="e">
        <f>VLOOKUP(Table257519913140106110151155170178198[[#This Row],[PEG]],Table1016[#All],2,FALSE)</f>
        <v>#N/A</v>
      </c>
      <c r="D17" s="117"/>
      <c r="E17" s="125" t="e">
        <f>VLOOKUP(Table257519913140106110151155170178198[[#This Row],[PEG]],Table1016[#All],3,FALSE)</f>
        <v>#N/A</v>
      </c>
    </row>
    <row r="18" spans="1:5" x14ac:dyDescent="0.35">
      <c r="A18" s="118">
        <v>11</v>
      </c>
      <c r="B18" s="114" t="s">
        <v>115</v>
      </c>
      <c r="C18" s="109" t="e">
        <f>VLOOKUP(Table257519913140106110151155170178198[[#This Row],[PEG]],Table1016[#All],2,FALSE)</f>
        <v>#N/A</v>
      </c>
      <c r="D18" s="117"/>
      <c r="E18" s="125" t="e">
        <f>VLOOKUP(Table257519913140106110151155170178198[[#This Row],[PEG]],Table1016[#All],3,FALSE)</f>
        <v>#N/A</v>
      </c>
    </row>
    <row r="19" spans="1:5" x14ac:dyDescent="0.35">
      <c r="A19" s="118">
        <v>12</v>
      </c>
      <c r="B19" s="114" t="s">
        <v>115</v>
      </c>
      <c r="C19" s="109" t="e">
        <f>VLOOKUP(Table257519913140106110151155170178198[[#This Row],[PEG]],Table1016[#All],2,FALSE)</f>
        <v>#N/A</v>
      </c>
      <c r="D19" s="117"/>
      <c r="E19" s="125" t="e">
        <f>VLOOKUP(Table257519913140106110151155170178198[[#This Row],[PEG]],Table1016[#All],3,FALSE)</f>
        <v>#N/A</v>
      </c>
    </row>
    <row r="20" spans="1:5" x14ac:dyDescent="0.35">
      <c r="A20" s="118">
        <v>13</v>
      </c>
      <c r="B20" s="114" t="s">
        <v>114</v>
      </c>
      <c r="C20" s="109" t="e">
        <f>VLOOKUP(Table257519913140106110151155170178198[[#This Row],[PEG]],Table1016[#All],2,FALSE)</f>
        <v>#N/A</v>
      </c>
      <c r="D20" s="117"/>
      <c r="E20" s="125" t="e">
        <f>VLOOKUP(Table257519913140106110151155170178198[[#This Row],[PEG]],Table1016[#All],3,FALSE)</f>
        <v>#N/A</v>
      </c>
    </row>
    <row r="21" spans="1:5" x14ac:dyDescent="0.35">
      <c r="A21" s="118">
        <v>14</v>
      </c>
      <c r="B21" s="114" t="s">
        <v>12</v>
      </c>
      <c r="C21" s="109" t="e">
        <f>VLOOKUP(Table257519913140106110151155170178198[[#This Row],[PEG]],Table1016[#All],2,FALSE)</f>
        <v>#N/A</v>
      </c>
      <c r="D21" s="117"/>
      <c r="E21" s="125" t="e">
        <f>VLOOKUP(Table257519913140106110151155170178198[[#This Row],[PEG]],Table1016[#All],3,FALSE)</f>
        <v>#N/A</v>
      </c>
    </row>
    <row r="22" spans="1:5" x14ac:dyDescent="0.35">
      <c r="A22" s="118">
        <v>15</v>
      </c>
      <c r="B22" s="114" t="s">
        <v>12</v>
      </c>
      <c r="C22" s="109" t="e">
        <f>VLOOKUP(Table257519913140106110151155170178198[[#This Row],[PEG]],Table1016[#All],2,FALSE)</f>
        <v>#N/A</v>
      </c>
      <c r="D22" s="117"/>
      <c r="E22" s="125" t="e">
        <f>VLOOKUP(Table257519913140106110151155170178198[[#This Row],[PEG]],Table1016[#All],3,FALSE)</f>
        <v>#N/A</v>
      </c>
    </row>
    <row r="23" spans="1:5" x14ac:dyDescent="0.35">
      <c r="A23" s="118">
        <v>16</v>
      </c>
      <c r="B23" s="114" t="s">
        <v>115</v>
      </c>
      <c r="C23" s="109" t="e">
        <f>VLOOKUP(Table257519913140106110151155170178198[[#This Row],[PEG]],Table1016[#All],2,FALSE)</f>
        <v>#N/A</v>
      </c>
      <c r="D23" s="117"/>
      <c r="E23" s="125" t="e">
        <f>VLOOKUP(Table257519913140106110151155170178198[[#This Row],[PEG]],Table1016[#All],3,FALSE)</f>
        <v>#N/A</v>
      </c>
    </row>
    <row r="24" spans="1:5" x14ac:dyDescent="0.35">
      <c r="A24" s="118">
        <v>17</v>
      </c>
      <c r="B24" s="114" t="s">
        <v>114</v>
      </c>
      <c r="C24" s="109" t="e">
        <f>VLOOKUP(Table257519913140106110151155170178198[[#This Row],[PEG]],Table1016[#All],2,FALSE)</f>
        <v>#N/A</v>
      </c>
      <c r="D24" s="117"/>
      <c r="E24" s="125" t="e">
        <f>VLOOKUP(Table257519913140106110151155170178198[[#This Row],[PEG]],Table1016[#All],3,FALSE)</f>
        <v>#N/A</v>
      </c>
    </row>
    <row r="25" spans="1:5" x14ac:dyDescent="0.35">
      <c r="A25" s="118">
        <v>18</v>
      </c>
      <c r="B25" s="114" t="s">
        <v>12</v>
      </c>
      <c r="C25" s="109" t="e">
        <f>VLOOKUP(Table257519913140106110151155170178198[[#This Row],[PEG]],Table1016[#All],2,FALSE)</f>
        <v>#N/A</v>
      </c>
      <c r="D25" s="117"/>
      <c r="E25" s="125" t="e">
        <f>VLOOKUP(Table257519913140106110151155170178198[[#This Row],[PEG]],Table1016[#All],3,FALSE)</f>
        <v>#N/A</v>
      </c>
    </row>
    <row r="26" spans="1:5" x14ac:dyDescent="0.35">
      <c r="A26" s="118">
        <v>19</v>
      </c>
      <c r="B26" s="114" t="s">
        <v>12</v>
      </c>
      <c r="C26" s="109" t="e">
        <f>VLOOKUP(Table257519913140106110151155170178198[[#This Row],[PEG]],Table1016[#All],2,FALSE)</f>
        <v>#N/A</v>
      </c>
      <c r="D26" s="117"/>
      <c r="E26" s="125" t="e">
        <f>VLOOKUP(Table257519913140106110151155170178198[[#This Row],[PEG]],Table1016[#All],3,FALSE)</f>
        <v>#N/A</v>
      </c>
    </row>
    <row r="27" spans="1:5" x14ac:dyDescent="0.35">
      <c r="A27" s="118">
        <v>20</v>
      </c>
      <c r="B27" s="114" t="s">
        <v>115</v>
      </c>
      <c r="C27" s="109" t="e">
        <f>VLOOKUP(Table257519913140106110151155170178198[[#This Row],[PEG]],Table1016[#All],2,FALSE)</f>
        <v>#N/A</v>
      </c>
      <c r="D27" s="117"/>
      <c r="E27" s="125" t="e">
        <f>VLOOKUP(Table257519913140106110151155170178198[[#This Row],[PEG]],Table1016[#All],3,FALSE)</f>
        <v>#N/A</v>
      </c>
    </row>
    <row r="28" spans="1:5" x14ac:dyDescent="0.35">
      <c r="A28" s="118">
        <v>21</v>
      </c>
      <c r="B28" s="114" t="s">
        <v>114</v>
      </c>
      <c r="C28" s="109" t="e">
        <f>VLOOKUP(Table257519913140106110151155170178198[[#This Row],[PEG]],Table1016[#All],2,FALSE)</f>
        <v>#N/A</v>
      </c>
      <c r="D28" s="117"/>
      <c r="E28" s="125" t="e">
        <f>VLOOKUP(Table257519913140106110151155170178198[[#This Row],[PEG]],Table1016[#All],3,FALSE)</f>
        <v>#N/A</v>
      </c>
    </row>
    <row r="29" spans="1:5" x14ac:dyDescent="0.35">
      <c r="A29" s="118">
        <v>22</v>
      </c>
      <c r="B29" s="114" t="s">
        <v>12</v>
      </c>
      <c r="C29" s="109" t="e">
        <f>VLOOKUP(Table257519913140106110151155170178198[[#This Row],[PEG]],Table1016[#All],2,FALSE)</f>
        <v>#N/A</v>
      </c>
      <c r="D29" s="117"/>
      <c r="E29" s="125" t="e">
        <f>VLOOKUP(Table257519913140106110151155170178198[[#This Row],[PEG]],Table1016[#All],3,FALSE)</f>
        <v>#N/A</v>
      </c>
    </row>
    <row r="30" spans="1:5" x14ac:dyDescent="0.35">
      <c r="A30" s="118">
        <v>23</v>
      </c>
      <c r="B30" s="114" t="s">
        <v>12</v>
      </c>
      <c r="C30" s="109" t="e">
        <f>VLOOKUP(Table257519913140106110151155170178198[[#This Row],[PEG]],Table1016[#All],2,FALSE)</f>
        <v>#N/A</v>
      </c>
      <c r="D30" s="117"/>
      <c r="E30" s="125" t="e">
        <f>VLOOKUP(Table257519913140106110151155170178198[[#This Row],[PEG]],Table1016[#All],3,FALSE)</f>
        <v>#N/A</v>
      </c>
    </row>
    <row r="31" spans="1:5" x14ac:dyDescent="0.35">
      <c r="A31" s="118">
        <v>24</v>
      </c>
      <c r="B31" s="114" t="s">
        <v>115</v>
      </c>
      <c r="C31" s="109" t="e">
        <f>VLOOKUP(Table257519913140106110151155170178198[[#This Row],[PEG]],Table1016[#All],2,FALSE)</f>
        <v>#N/A</v>
      </c>
      <c r="D31" s="117"/>
      <c r="E31" s="125" t="e">
        <f>VLOOKUP(Table257519913140106110151155170178198[[#This Row],[PEG]],Table1016[#All],3,FALSE)</f>
        <v>#N/A</v>
      </c>
    </row>
    <row r="32" spans="1:5" x14ac:dyDescent="0.35">
      <c r="A32" s="118">
        <v>25</v>
      </c>
      <c r="B32" s="114" t="s">
        <v>115</v>
      </c>
      <c r="C32" s="109" t="e">
        <f>VLOOKUP(Table257519913140106110151155170178198[[#This Row],[PEG]],Table1016[#All],2,FALSE)</f>
        <v>#N/A</v>
      </c>
      <c r="D32" s="117"/>
      <c r="E32" s="125" t="e">
        <f>VLOOKUP(Table257519913140106110151155170178198[[#This Row],[PEG]],Table1016[#All],3,FALSE)</f>
        <v>#N/A</v>
      </c>
    </row>
    <row r="33" spans="1:5" x14ac:dyDescent="0.35">
      <c r="A33" s="118">
        <v>26</v>
      </c>
      <c r="B33" s="114" t="s">
        <v>124</v>
      </c>
      <c r="C33" s="109" t="e">
        <f>VLOOKUP(Table257519913140106110151155170178198[[#This Row],[PEG]],Table1016[#All],2,FALSE)</f>
        <v>#N/A</v>
      </c>
      <c r="D33" s="117"/>
      <c r="E33" s="125" t="e">
        <f>VLOOKUP(Table257519913140106110151155170178198[[#This Row],[PEG]],Table1016[#All],3,FALSE)</f>
        <v>#N/A</v>
      </c>
    </row>
    <row r="34" spans="1:5" x14ac:dyDescent="0.35">
      <c r="A34" s="118">
        <v>27</v>
      </c>
      <c r="B34" s="114" t="s">
        <v>115</v>
      </c>
      <c r="C34" s="109" t="e">
        <f>VLOOKUP(Table257519913140106110151155170178198[[#This Row],[PEG]],Table1016[#All],2,FALSE)</f>
        <v>#N/A</v>
      </c>
      <c r="D34" s="117"/>
      <c r="E34" s="125" t="e">
        <f>VLOOKUP(Table257519913140106110151155170178198[[#This Row],[PEG]],Table1016[#All],3,FALSE)</f>
        <v>#N/A</v>
      </c>
    </row>
    <row r="35" spans="1:5" x14ac:dyDescent="0.35">
      <c r="A35" s="118">
        <v>28</v>
      </c>
      <c r="B35" s="114" t="s">
        <v>124</v>
      </c>
      <c r="C35" s="109" t="e">
        <f>VLOOKUP(Table257519913140106110151155170178198[[#This Row],[PEG]],Table1016[#All],2,FALSE)</f>
        <v>#N/A</v>
      </c>
      <c r="D35" s="117"/>
      <c r="E35" s="125" t="e">
        <f>VLOOKUP(Table257519913140106110151155170178198[[#This Row],[PEG]],Table1016[#All],3,FALSE)</f>
        <v>#N/A</v>
      </c>
    </row>
    <row r="36" spans="1:5" x14ac:dyDescent="0.35">
      <c r="A36" s="118">
        <v>29</v>
      </c>
      <c r="B36" s="114" t="s">
        <v>115</v>
      </c>
      <c r="C36" s="109" t="e">
        <f>VLOOKUP(Table257519913140106110151155170178198[[#This Row],[PEG]],Table1016[#All],2,FALSE)</f>
        <v>#N/A</v>
      </c>
      <c r="D36" s="117"/>
      <c r="E36" s="125" t="e">
        <f>VLOOKUP(Table257519913140106110151155170178198[[#This Row],[PEG]],Table1016[#All],3,FALSE)</f>
        <v>#N/A</v>
      </c>
    </row>
    <row r="37" spans="1:5" x14ac:dyDescent="0.35">
      <c r="A37" s="118">
        <v>30</v>
      </c>
      <c r="B37" s="114" t="s">
        <v>12</v>
      </c>
      <c r="C37" s="109" t="e">
        <f>VLOOKUP(Table257519913140106110151155170178198[[#This Row],[PEG]],Table1016[#All],2,FALSE)</f>
        <v>#N/A</v>
      </c>
      <c r="D37" s="117"/>
      <c r="E37" s="125" t="e">
        <f>VLOOKUP(Table257519913140106110151155170178198[[#This Row],[PEG]],Table1016[#All],3,FALSE)</f>
        <v>#N/A</v>
      </c>
    </row>
    <row r="38" spans="1:5" x14ac:dyDescent="0.35">
      <c r="A38" s="118">
        <v>31</v>
      </c>
      <c r="B38" s="114" t="s">
        <v>12</v>
      </c>
      <c r="C38" s="109" t="e">
        <f>VLOOKUP(Table257519913140106110151155170178198[[#This Row],[PEG]],Table1016[#All],2,FALSE)</f>
        <v>#N/A</v>
      </c>
      <c r="D38" s="117"/>
      <c r="E38" s="125" t="e">
        <f>VLOOKUP(Table257519913140106110151155170178198[[#This Row],[PEG]],Table1016[#All],3,FALSE)</f>
        <v>#N/A</v>
      </c>
    </row>
    <row r="39" spans="1:5" x14ac:dyDescent="0.35">
      <c r="A39" s="118">
        <v>32</v>
      </c>
      <c r="B39" s="114" t="s">
        <v>12</v>
      </c>
      <c r="C39" s="109" t="e">
        <f>VLOOKUP(Table257519913140106110151155170178198[[#This Row],[PEG]],Table1016[#All],2,FALSE)</f>
        <v>#N/A</v>
      </c>
      <c r="D39" s="117"/>
      <c r="E39" s="125" t="e">
        <f>VLOOKUP(Table257519913140106110151155170178198[[#This Row],[PEG]],Table1016[#All],3,FALSE)</f>
        <v>#N/A</v>
      </c>
    </row>
    <row r="40" spans="1:5" x14ac:dyDescent="0.35">
      <c r="A40" s="118">
        <v>33</v>
      </c>
      <c r="B40" s="114" t="s">
        <v>12</v>
      </c>
      <c r="C40" s="109" t="e">
        <f>VLOOKUP(Table257519913140106110151155170178198[[#This Row],[PEG]],Table1016[#All],2,FALSE)</f>
        <v>#N/A</v>
      </c>
      <c r="D40" s="117"/>
      <c r="E40" s="125" t="e">
        <f>VLOOKUP(Table257519913140106110151155170178198[[#This Row],[PEG]],Table1016[#All],3,FALSE)</f>
        <v>#N/A</v>
      </c>
    </row>
    <row r="41" spans="1:5" x14ac:dyDescent="0.35">
      <c r="A41" s="118">
        <v>34</v>
      </c>
      <c r="B41" s="114" t="s">
        <v>115</v>
      </c>
      <c r="C41" s="109" t="e">
        <f>VLOOKUP(Table257519913140106110151155170178198[[#This Row],[PEG]],Table1016[#All],2,FALSE)</f>
        <v>#N/A</v>
      </c>
      <c r="D41" s="117"/>
      <c r="E41" s="125" t="e">
        <f>VLOOKUP(Table257519913140106110151155170178198[[#This Row],[PEG]],Table1016[#All],3,FALSE)</f>
        <v>#N/A</v>
      </c>
    </row>
    <row r="42" spans="1:5" x14ac:dyDescent="0.35">
      <c r="A42" s="118">
        <v>35</v>
      </c>
      <c r="B42" s="114" t="s">
        <v>12</v>
      </c>
      <c r="C42" s="109" t="e">
        <f>VLOOKUP(Table257519913140106110151155170178198[[#This Row],[PEG]],Table1016[#All],2,FALSE)</f>
        <v>#N/A</v>
      </c>
      <c r="D42" s="115"/>
      <c r="E42" s="125" t="e">
        <f>VLOOKUP(Table257519913140106110151155170178198[[#This Row],[PEG]],Table1016[#All],3,FALSE)</f>
        <v>#N/A</v>
      </c>
    </row>
    <row r="43" spans="1:5" x14ac:dyDescent="0.35">
      <c r="A43" s="118">
        <v>36</v>
      </c>
      <c r="B43" s="114" t="s">
        <v>115</v>
      </c>
      <c r="C43" s="109" t="e">
        <f>VLOOKUP(Table257519913140106110151155170178198[[#This Row],[PEG]],Table1016[#All],2,FALSE)</f>
        <v>#N/A</v>
      </c>
      <c r="D43" s="115"/>
      <c r="E43" s="125" t="e">
        <f>VLOOKUP(Table257519913140106110151155170178198[[#This Row],[PEG]],Table1016[#All],3,FALSE)</f>
        <v>#N/A</v>
      </c>
    </row>
    <row r="44" spans="1:5" x14ac:dyDescent="0.35">
      <c r="A44" s="118">
        <v>37</v>
      </c>
      <c r="B44" s="114" t="s">
        <v>13</v>
      </c>
      <c r="C44" s="18" t="s">
        <v>13</v>
      </c>
      <c r="D44" s="115"/>
      <c r="E44" s="32"/>
    </row>
  </sheetData>
  <mergeCells count="1">
    <mergeCell ref="A1:B1"/>
  </mergeCells>
  <conditionalFormatting sqref="B8:B18">
    <cfRule type="containsText" dxfId="1005" priority="1" operator="containsText" text="Hear">
      <formula>NOT(ISERROR(SEARCH("Hear",B8)))</formula>
    </cfRule>
  </conditionalFormatting>
  <conditionalFormatting sqref="B30">
    <cfRule type="containsText" dxfId="1004" priority="4" operator="containsText" text="Hear">
      <formula>NOT(ISERROR(SEARCH("Hear",B30)))</formula>
    </cfRule>
  </conditionalFormatting>
  <conditionalFormatting sqref="B43:B44">
    <cfRule type="containsText" dxfId="1003" priority="8" operator="containsText" text="Hear">
      <formula>NOT(ISERROR(SEARCH("Hear",B43)))</formula>
    </cfRule>
  </conditionalFormatting>
  <conditionalFormatting sqref="E44">
    <cfRule type="containsText" dxfId="1002" priority="6" operator="containsText" text="WEB SERVICE">
      <formula>NOT(ISERROR(SEARCH("WEB SERVICE",E44)))</formula>
    </cfRule>
    <cfRule type="containsText" dxfId="1001" priority="7" operator="containsText" text="DB">
      <formula>NOT(ISERROR(SEARCH("DB",E44)))</formula>
    </cfRule>
  </conditionalFormatting>
  <conditionalFormatting sqref="C44">
    <cfRule type="expression" dxfId="1000" priority="9">
      <formula>$B44="HANGUP"</formula>
    </cfRule>
    <cfRule type="expression" dxfId="999" priority="9">
      <formula>$B44="Dial"</formula>
    </cfRule>
  </conditionalFormatting>
  <conditionalFormatting sqref="C44">
    <cfRule type="expression" dxfId="998" priority="3">
      <formula>$B44="Speak"</formula>
    </cfRule>
  </conditionalFormatting>
  <conditionalFormatting sqref="B36:B38 B40:B41">
    <cfRule type="containsText" dxfId="997" priority="2" operator="containsText" text="Hear">
      <formula>NOT(ISERROR(SEARCH("Hear",B36)))</formula>
    </cfRule>
  </conditionalFormatting>
  <conditionalFormatting sqref="B19:B29 B31:B35 B42">
    <cfRule type="containsText" dxfId="996" priority="5" operator="containsText" text="Hear">
      <formula>NOT(ISERROR(SEARCH("Hear",B19)))</formula>
    </cfRule>
  </conditionalFormatting>
  <hyperlinks>
    <hyperlink ref="A1" location="'Test Case Overview'!A1" display="Return to Test Case Overview" xr:uid="{F42CB225-EEB9-48D4-AF97-99FA4B6B62BA}"/>
  </hyperlinks>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expression" priority="10" id="{5455AEEC-2B0D-4FF5-84E8-B31157190CEA}">
            <xm:f>'TC1'!$B8="Dial"</xm:f>
            <x14:dxf>
              <font>
                <b/>
                <i val="0"/>
                <color rgb="FFFF0000"/>
              </font>
            </x14:dxf>
          </x14:cfRule>
          <x14:cfRule type="expression" priority="10" id="{93D14877-BF66-4C57-9505-51725AD69BA5}">
            <xm:f>'TC1'!$B8="HANGUP"</xm:f>
            <x14:dxf>
              <font>
                <b/>
                <i val="0"/>
              </font>
            </x14:dxf>
          </x14:cfRule>
          <xm:sqref>C8</xm:sqref>
        </x14:conditionalFormatting>
        <x14:conditionalFormatting xmlns:xm="http://schemas.microsoft.com/office/excel/2006/main">
          <x14:cfRule type="expression" priority="11" id="{AE90A712-B510-457B-A389-21BA55531DC7}">
            <xm:f>'TC1'!$B8="Speak"</xm:f>
            <x14:dxf>
              <font>
                <b/>
                <i val="0"/>
                <color rgb="FFFF0000"/>
              </font>
            </x14:dxf>
          </x14:cfRule>
          <xm:sqref>C8</xm:sqref>
        </x14:conditionalFormatting>
        <x14:conditionalFormatting xmlns:xm="http://schemas.microsoft.com/office/excel/2006/main">
          <x14:cfRule type="containsText" priority="14" operator="containsText" text="Hear" id="{2CDB9262-6B62-479C-84E4-662205B71FF4}">
            <xm:f>NOT(ISERROR(SEARCH("Hear",'TC3'!B34)))</xm:f>
            <x14:dxf>
              <font>
                <color theme="9" tint="-0.24994659260841701"/>
              </font>
              <fill>
                <patternFill>
                  <bgColor theme="9" tint="0.59996337778862885"/>
                </patternFill>
              </fill>
            </x14:dxf>
          </x14:cfRule>
          <xm:sqref>B41</xm:sqref>
        </x14:conditionalFormatting>
        <x14:conditionalFormatting xmlns:xm="http://schemas.microsoft.com/office/excel/2006/main">
          <x14:cfRule type="expression" priority="3163" id="{5455AEEC-2B0D-4FF5-84E8-B31157190CEA}">
            <xm:f>'TC1'!$B16="Dial"</xm:f>
            <x14:dxf>
              <font>
                <b/>
                <i val="0"/>
                <color rgb="FFFF0000"/>
              </font>
            </x14:dxf>
          </x14:cfRule>
          <x14:cfRule type="expression" priority="3164" id="{93D14877-BF66-4C57-9505-51725AD69BA5}">
            <xm:f>'TC1'!$B16="HANGUP"</xm:f>
            <x14:dxf>
              <font>
                <b/>
                <i val="0"/>
              </font>
            </x14:dxf>
          </x14:cfRule>
          <xm:sqref>C34:C43</xm:sqref>
        </x14:conditionalFormatting>
        <x14:conditionalFormatting xmlns:xm="http://schemas.microsoft.com/office/excel/2006/main">
          <x14:cfRule type="expression" priority="3165" id="{5455AEEC-2B0D-4FF5-84E8-B31157190CEA}">
            <xm:f>'TC1'!#REF!="Dial"</xm:f>
            <x14:dxf>
              <font>
                <b/>
                <i val="0"/>
                <color rgb="FFFF0000"/>
              </font>
            </x14:dxf>
          </x14:cfRule>
          <x14:cfRule type="expression" priority="3166" id="{93D14877-BF66-4C57-9505-51725AD69BA5}">
            <xm:f>'TC1'!#REF!="HANGUP"</xm:f>
            <x14:dxf>
              <font>
                <b/>
                <i val="0"/>
              </font>
            </x14:dxf>
          </x14:cfRule>
          <xm:sqref>C17:C33</xm:sqref>
        </x14:conditionalFormatting>
        <x14:conditionalFormatting xmlns:xm="http://schemas.microsoft.com/office/excel/2006/main">
          <x14:cfRule type="expression" priority="3170" id="{AE90A712-B510-457B-A389-21BA55531DC7}">
            <xm:f>'TC1'!$B16="Speak"</xm:f>
            <x14:dxf>
              <font>
                <b/>
                <i val="0"/>
                <color rgb="FFFF0000"/>
              </font>
            </x14:dxf>
          </x14:cfRule>
          <xm:sqref>C34:C43</xm:sqref>
        </x14:conditionalFormatting>
        <x14:conditionalFormatting xmlns:xm="http://schemas.microsoft.com/office/excel/2006/main">
          <x14:cfRule type="expression" priority="3171" id="{AE90A712-B510-457B-A389-21BA55531DC7}">
            <xm:f>'TC1'!#REF!="Speak"</xm:f>
            <x14:dxf>
              <font>
                <b/>
                <i val="0"/>
                <color rgb="FFFF0000"/>
              </font>
            </x14:dxf>
          </x14:cfRule>
          <xm:sqref>C17:C33</xm:sqref>
        </x14:conditionalFormatting>
        <x14:conditionalFormatting xmlns:xm="http://schemas.microsoft.com/office/excel/2006/main">
          <x14:cfRule type="containsText" priority="3175" operator="containsText" text="DB" id="{61C2D40E-A062-4E13-8889-7AC7277AA12A}">
            <xm:f>NOT(ISERROR(SEARCH("DB",'TC1'!E16)))</xm:f>
            <x14:dxf>
              <font>
                <color rgb="FF006100"/>
              </font>
              <fill>
                <patternFill>
                  <bgColor rgb="FFC6EFCE"/>
                </patternFill>
              </fill>
            </x14:dxf>
          </x14:cfRule>
          <x14:cfRule type="containsText" priority="3176" operator="containsText" text="WEB SERVICE" id="{B2FB573D-B202-457A-B976-CF6963CDB0E6}">
            <xm:f>NOT(ISERROR(SEARCH("WEB SERVICE",'TC1'!E16)))</xm:f>
            <x14:dxf>
              <font>
                <color rgb="FF9C0006"/>
              </font>
              <fill>
                <patternFill>
                  <bgColor rgb="FFFFC7CE"/>
                </patternFill>
              </fill>
            </x14:dxf>
          </x14:cfRule>
          <xm:sqref>E34:E43</xm:sqref>
        </x14:conditionalFormatting>
        <x14:conditionalFormatting xmlns:xm="http://schemas.microsoft.com/office/excel/2006/main">
          <x14:cfRule type="containsText" priority="3177" operator="containsText" text="DB" id="{61C2D40E-A062-4E13-8889-7AC7277AA12A}">
            <xm:f>NOT(ISERROR(SEARCH("DB",'TC1'!#REF!)))</xm:f>
            <x14:dxf>
              <font>
                <color rgb="FF006100"/>
              </font>
              <fill>
                <patternFill>
                  <bgColor rgb="FFC6EFCE"/>
                </patternFill>
              </fill>
            </x14:dxf>
          </x14:cfRule>
          <x14:cfRule type="containsText" priority="3178" operator="containsText" text="WEB SERVICE" id="{B2FB573D-B202-457A-B976-CF6963CDB0E6}">
            <xm:f>NOT(ISERROR(SEARCH("WEB SERVICE",'TC1'!#REF!)))</xm:f>
            <x14:dxf>
              <font>
                <color rgb="FF9C0006"/>
              </font>
              <fill>
                <patternFill>
                  <bgColor rgb="FFFFC7CE"/>
                </patternFill>
              </fill>
            </x14:dxf>
          </x14:cfRule>
          <xm:sqref>E17:E33</xm:sqref>
        </x14:conditionalFormatting>
        <x14:conditionalFormatting xmlns:xm="http://schemas.microsoft.com/office/excel/2006/main">
          <x14:cfRule type="expression" priority="5785" id="{5455AEEC-2B0D-4FF5-84E8-B31157190CEA}">
            <xm:f>'TC1'!$B9="Dial"</xm:f>
            <x14:dxf>
              <font>
                <b/>
                <i val="0"/>
                <color rgb="FFFF0000"/>
              </font>
            </x14:dxf>
          </x14:cfRule>
          <x14:cfRule type="expression" priority="5786" id="{93D14877-BF66-4C57-9505-51725AD69BA5}">
            <xm:f>'TC1'!$B9="HANGUP"</xm:f>
            <x14:dxf>
              <font>
                <b/>
                <i val="0"/>
              </font>
            </x14:dxf>
          </x14:cfRule>
          <xm:sqref>C12:C15</xm:sqref>
        </x14:conditionalFormatting>
        <x14:conditionalFormatting xmlns:xm="http://schemas.microsoft.com/office/excel/2006/main">
          <x14:cfRule type="expression" priority="5787" id="{5455AEEC-2B0D-4FF5-84E8-B31157190CEA}">
            <xm:f>'TC1'!#REF!="Dial"</xm:f>
            <x14:dxf>
              <font>
                <b/>
                <i val="0"/>
                <color rgb="FFFF0000"/>
              </font>
            </x14:dxf>
          </x14:cfRule>
          <x14:cfRule type="expression" priority="5788" id="{93D14877-BF66-4C57-9505-51725AD69BA5}">
            <xm:f>'TC1'!#REF!="HANGUP"</xm:f>
            <x14:dxf>
              <font>
                <b/>
                <i val="0"/>
              </font>
            </x14:dxf>
          </x14:cfRule>
          <xm:sqref>C9:C11</xm:sqref>
        </x14:conditionalFormatting>
        <x14:conditionalFormatting xmlns:xm="http://schemas.microsoft.com/office/excel/2006/main">
          <x14:cfRule type="expression" priority="5792" id="{AE90A712-B510-457B-A389-21BA55531DC7}">
            <xm:f>'TC1'!$B9="Speak"</xm:f>
            <x14:dxf>
              <font>
                <b/>
                <i val="0"/>
                <color rgb="FFFF0000"/>
              </font>
            </x14:dxf>
          </x14:cfRule>
          <xm:sqref>C12:C15</xm:sqref>
        </x14:conditionalFormatting>
        <x14:conditionalFormatting xmlns:xm="http://schemas.microsoft.com/office/excel/2006/main">
          <x14:cfRule type="expression" priority="5793" id="{AE90A712-B510-457B-A389-21BA55531DC7}">
            <xm:f>'TC1'!#REF!="Speak"</xm:f>
            <x14:dxf>
              <font>
                <b/>
                <i val="0"/>
                <color rgb="FFFF0000"/>
              </font>
            </x14:dxf>
          </x14:cfRule>
          <xm:sqref>C9:C11</xm:sqref>
        </x14:conditionalFormatting>
        <x14:conditionalFormatting xmlns:xm="http://schemas.microsoft.com/office/excel/2006/main">
          <x14:cfRule type="containsText" priority="5795" operator="containsText" text="DB" id="{61C2D40E-A062-4E13-8889-7AC7277AA12A}">
            <xm:f>NOT(ISERROR(SEARCH("DB",'TC1'!#REF!)))</xm:f>
            <x14:dxf>
              <font>
                <color rgb="FF006100"/>
              </font>
              <fill>
                <patternFill>
                  <bgColor rgb="FFC6EFCE"/>
                </patternFill>
              </fill>
            </x14:dxf>
          </x14:cfRule>
          <x14:cfRule type="containsText" priority="5796" operator="containsText" text="WEB SERVICE" id="{B2FB573D-B202-457A-B976-CF6963CDB0E6}">
            <xm:f>NOT(ISERROR(SEARCH("WEB SERVICE",'TC1'!#REF!)))</xm:f>
            <x14:dxf>
              <font>
                <color rgb="FF9C0006"/>
              </font>
              <fill>
                <patternFill>
                  <bgColor rgb="FFFFC7CE"/>
                </patternFill>
              </fill>
            </x14:dxf>
          </x14:cfRule>
          <xm:sqref>E9:E11</xm:sqref>
        </x14:conditionalFormatting>
        <x14:conditionalFormatting xmlns:xm="http://schemas.microsoft.com/office/excel/2006/main">
          <x14:cfRule type="containsText" priority="5797" operator="containsText" text="DB" id="{61C2D40E-A062-4E13-8889-7AC7277AA12A}">
            <xm:f>NOT(ISERROR(SEARCH("DB",'TC1'!E9)))</xm:f>
            <x14:dxf>
              <font>
                <color rgb="FF006100"/>
              </font>
              <fill>
                <patternFill>
                  <bgColor rgb="FFC6EFCE"/>
                </patternFill>
              </fill>
            </x14:dxf>
          </x14:cfRule>
          <x14:cfRule type="containsText" priority="5798" operator="containsText" text="WEB SERVICE" id="{B2FB573D-B202-457A-B976-CF6963CDB0E6}">
            <xm:f>NOT(ISERROR(SEARCH("WEB SERVICE",'TC1'!E9)))</xm:f>
            <x14:dxf>
              <font>
                <color rgb="FF9C0006"/>
              </font>
              <fill>
                <patternFill>
                  <bgColor rgb="FFFFC7CE"/>
                </patternFill>
              </fill>
            </x14:dxf>
          </x14:cfRule>
          <xm:sqref>E12:E15</xm:sqref>
        </x14:conditionalFormatting>
        <x14:conditionalFormatting xmlns:xm="http://schemas.microsoft.com/office/excel/2006/main">
          <x14:cfRule type="expression" priority="8000" id="{5455AEEC-2B0D-4FF5-84E8-B31157190CEA}">
            <xm:f>'TC1'!$B15="Dial"</xm:f>
            <x14:dxf>
              <font>
                <b/>
                <i val="0"/>
                <color rgb="FFFF0000"/>
              </font>
            </x14:dxf>
          </x14:cfRule>
          <x14:cfRule type="expression" priority="8001" id="{93D14877-BF66-4C57-9505-51725AD69BA5}">
            <xm:f>'TC1'!$B15="HANGUP"</xm:f>
            <x14:dxf>
              <font>
                <b/>
                <i val="0"/>
              </font>
            </x14:dxf>
          </x14:cfRule>
          <xm:sqref>C16</xm:sqref>
        </x14:conditionalFormatting>
        <x14:conditionalFormatting xmlns:xm="http://schemas.microsoft.com/office/excel/2006/main">
          <x14:cfRule type="expression" priority="8003" id="{AE90A712-B510-457B-A389-21BA55531DC7}">
            <xm:f>'TC1'!$B15="Speak"</xm:f>
            <x14:dxf>
              <font>
                <b/>
                <i val="0"/>
                <color rgb="FFFF0000"/>
              </font>
            </x14:dxf>
          </x14:cfRule>
          <xm:sqref>C16</xm:sqref>
        </x14:conditionalFormatting>
        <x14:conditionalFormatting xmlns:xm="http://schemas.microsoft.com/office/excel/2006/main">
          <x14:cfRule type="containsText" priority="8006" operator="containsText" text="DB" id="{61C2D40E-A062-4E13-8889-7AC7277AA12A}">
            <xm:f>NOT(ISERROR(SEARCH("DB",'TC1'!E15)))</xm:f>
            <x14:dxf>
              <font>
                <color rgb="FF006100"/>
              </font>
              <fill>
                <patternFill>
                  <bgColor rgb="FFC6EFCE"/>
                </patternFill>
              </fill>
            </x14:dxf>
          </x14:cfRule>
          <x14:cfRule type="containsText" priority="8007" operator="containsText" text="WEB SERVICE" id="{B2FB573D-B202-457A-B976-CF6963CDB0E6}">
            <xm:f>NOT(ISERROR(SEARCH("WEB SERVICE",'TC1'!E15)))</xm:f>
            <x14:dxf>
              <font>
                <color rgb="FF9C0006"/>
              </font>
              <fill>
                <patternFill>
                  <bgColor rgb="FFFFC7CE"/>
                </patternFill>
              </fill>
            </x14:dxf>
          </x14:cfRule>
          <xm:sqref>E16</xm:sqref>
        </x14:conditionalFormatting>
        <x14:conditionalFormatting xmlns:xm="http://schemas.microsoft.com/office/excel/2006/main">
          <x14:cfRule type="containsText" priority="10734" operator="containsText" text="Hear" id="{B27BD773-C726-46C0-A3E2-F32B70F07D76}">
            <xm:f>NOT(ISERROR(SEARCH("Hear",'TC26'!#REF!)))</xm:f>
            <x14:dxf>
              <font>
                <color theme="9" tint="-0.24994659260841701"/>
              </font>
              <fill>
                <patternFill>
                  <bgColor theme="9" tint="0.59996337778862885"/>
                </patternFill>
              </fill>
            </x14:dxf>
          </x14:cfRule>
          <xm:sqref>B39</xm:sqref>
        </x14:conditionalFormatting>
      </x14:conditionalFormattings>
    </ext>
  </extLst>
</worksheet>
</file>

<file path=xl/worksheets/sheet1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200-000000000000}">
  <sheetPr codeName="Sheet148"/>
  <dimension ref="A1:E44"/>
  <sheetViews>
    <sheetView zoomScaleNormal="100" workbookViewId="0">
      <selection sqref="A1:E44"/>
    </sheetView>
  </sheetViews>
  <sheetFormatPr defaultRowHeight="14.5" x14ac:dyDescent="0.35"/>
  <cols>
    <col min="1" max="1" width="14.453125" bestFit="1" customWidth="1"/>
    <col min="2" max="2" width="42.6328125" customWidth="1"/>
    <col min="3" max="3" width="106.1796875" customWidth="1"/>
    <col min="4" max="4" width="21.81640625" bestFit="1" customWidth="1"/>
    <col min="5" max="5" width="20.6328125" customWidth="1"/>
  </cols>
  <sheetData>
    <row r="1" spans="1:5" ht="18.5" x14ac:dyDescent="0.35">
      <c r="A1" s="192" t="s">
        <v>4</v>
      </c>
      <c r="B1" s="192"/>
      <c r="C1" s="105"/>
      <c r="D1" s="111"/>
      <c r="E1" s="97"/>
    </row>
    <row r="2" spans="1:5" x14ac:dyDescent="0.35">
      <c r="A2" s="106" t="s">
        <v>5</v>
      </c>
      <c r="B2" s="107" t="str">
        <f ca="1">MID(CELL("filename",A1),FIND("]",CELL("filename",A1))+1,LEN(CELL("filename",A1))-FIND("]",CELL("filename",A1)))</f>
        <v>TC146</v>
      </c>
      <c r="C2" s="98"/>
      <c r="D2" s="111"/>
      <c r="E2" s="97"/>
    </row>
    <row r="3" spans="1:5" x14ac:dyDescent="0.35">
      <c r="A3" s="104" t="s">
        <v>19</v>
      </c>
      <c r="B3" s="112" t="e">
        <f ca="1">VLOOKUP(B2,Table53[#All],2,FALSE)</f>
        <v>#N/A</v>
      </c>
      <c r="C3" s="98"/>
      <c r="D3" s="111"/>
      <c r="E3" s="97"/>
    </row>
    <row r="4" spans="1:5" ht="29" x14ac:dyDescent="0.35">
      <c r="A4" s="113" t="s">
        <v>20</v>
      </c>
      <c r="B4" s="99" t="e">
        <f ca="1">VLOOKUP(B2,Table53[#All],4,FALSE)</f>
        <v>#N/A</v>
      </c>
      <c r="C4" s="98"/>
      <c r="D4" s="111"/>
      <c r="E4" s="97"/>
    </row>
    <row r="5" spans="1:5" x14ac:dyDescent="0.35">
      <c r="A5" s="104" t="s">
        <v>6</v>
      </c>
      <c r="B5" s="77" t="e">
        <f ca="1">VLOOKUP(B2,Table53[#All],3,FALSE)</f>
        <v>#N/A</v>
      </c>
      <c r="C5" s="98"/>
      <c r="D5" s="111"/>
      <c r="E5" s="97"/>
    </row>
    <row r="6" spans="1:5" x14ac:dyDescent="0.35">
      <c r="A6" s="97"/>
      <c r="B6" s="97"/>
      <c r="C6" s="98"/>
      <c r="D6" s="111"/>
      <c r="E6" s="97"/>
    </row>
    <row r="7" spans="1:5" ht="15.5" x14ac:dyDescent="0.35">
      <c r="A7" s="100" t="s">
        <v>7</v>
      </c>
      <c r="B7" s="101" t="s">
        <v>8</v>
      </c>
      <c r="C7" s="102" t="s">
        <v>9</v>
      </c>
      <c r="D7" s="102" t="s">
        <v>14</v>
      </c>
      <c r="E7" s="103" t="s">
        <v>10</v>
      </c>
    </row>
    <row r="8" spans="1:5" x14ac:dyDescent="0.35">
      <c r="A8" s="118">
        <v>1</v>
      </c>
      <c r="B8" s="114" t="s">
        <v>114</v>
      </c>
      <c r="C8" s="109" t="s">
        <v>125</v>
      </c>
      <c r="D8" s="128"/>
      <c r="E8" s="125" t="s">
        <v>11</v>
      </c>
    </row>
    <row r="9" spans="1:5" x14ac:dyDescent="0.35">
      <c r="A9" s="118">
        <v>2</v>
      </c>
      <c r="B9" s="114" t="s">
        <v>12</v>
      </c>
      <c r="C9" s="109" t="e">
        <f>VLOOKUP(Table257519913140106110151155170178200[[#This Row],[PEG]],Table1016[#All],2,FALSE)</f>
        <v>#N/A</v>
      </c>
      <c r="D9" s="128"/>
      <c r="E9" s="125" t="e">
        <f>VLOOKUP(Table257519913140106110151155170178200[[#This Row],[PEG]],Table1016[#All],3,FALSE)</f>
        <v>#N/A</v>
      </c>
    </row>
    <row r="10" spans="1:5" x14ac:dyDescent="0.35">
      <c r="A10" s="118">
        <v>3</v>
      </c>
      <c r="B10" s="114" t="s">
        <v>115</v>
      </c>
      <c r="C10" s="109" t="e">
        <f>VLOOKUP(Table257519913140106110151155170178200[[#This Row],[PEG]],Table1016[#All],2,FALSE)</f>
        <v>#N/A</v>
      </c>
      <c r="D10" s="128"/>
      <c r="E10" s="125" t="e">
        <f>VLOOKUP(Table257519913140106110151155170178200[[#This Row],[PEG]],Table1016[#All],3,FALSE)</f>
        <v>#N/A</v>
      </c>
    </row>
    <row r="11" spans="1:5" x14ac:dyDescent="0.35">
      <c r="A11" s="118">
        <v>4</v>
      </c>
      <c r="B11" s="114" t="s">
        <v>115</v>
      </c>
      <c r="C11" s="109" t="e">
        <f>VLOOKUP(Table257519913140106110151155170178200[[#This Row],[PEG]],Table1016[#All],2,FALSE)</f>
        <v>#N/A</v>
      </c>
      <c r="D11" s="128"/>
      <c r="E11" s="125" t="e">
        <f>VLOOKUP(Table257519913140106110151155170178200[[#This Row],[PEG]],Table1016[#All],3,FALSE)</f>
        <v>#N/A</v>
      </c>
    </row>
    <row r="12" spans="1:5" x14ac:dyDescent="0.35">
      <c r="A12" s="118">
        <v>5</v>
      </c>
      <c r="B12" s="114" t="s">
        <v>114</v>
      </c>
      <c r="C12" s="109" t="e">
        <f>VLOOKUP(Table257519913140106110151155170178200[[#This Row],[PEG]],Table1016[#All],2,FALSE)</f>
        <v>#N/A</v>
      </c>
      <c r="D12" s="128"/>
      <c r="E12" s="125" t="e">
        <f>VLOOKUP(Table257519913140106110151155170178200[[#This Row],[PEG]],Table1016[#All],3,FALSE)</f>
        <v>#N/A</v>
      </c>
    </row>
    <row r="13" spans="1:5" x14ac:dyDescent="0.35">
      <c r="A13" s="118">
        <v>6</v>
      </c>
      <c r="B13" s="114" t="s">
        <v>115</v>
      </c>
      <c r="C13" s="109" t="e">
        <f>VLOOKUP(Table257519913140106110151155170178200[[#This Row],[PEG]],Table1016[#All],2,FALSE)</f>
        <v>#N/A</v>
      </c>
      <c r="D13" s="128"/>
      <c r="E13" s="125" t="e">
        <f>VLOOKUP(Table257519913140106110151155170178200[[#This Row],[PEG]],Table1016[#All],3,FALSE)</f>
        <v>#N/A</v>
      </c>
    </row>
    <row r="14" spans="1:5" x14ac:dyDescent="0.35">
      <c r="A14" s="118">
        <v>7</v>
      </c>
      <c r="B14" s="114" t="s">
        <v>114</v>
      </c>
      <c r="C14" s="109" t="e">
        <f>VLOOKUP(Table257519913140106110151155170178200[[#This Row],[PEG]],Table1016[#All],2,FALSE)</f>
        <v>#N/A</v>
      </c>
      <c r="D14" s="128"/>
      <c r="E14" s="125" t="e">
        <f>VLOOKUP(Table257519913140106110151155170178200[[#This Row],[PEG]],Table1016[#All],3,FALSE)</f>
        <v>#N/A</v>
      </c>
    </row>
    <row r="15" spans="1:5" x14ac:dyDescent="0.35">
      <c r="A15" s="118">
        <v>8</v>
      </c>
      <c r="B15" s="114" t="s">
        <v>115</v>
      </c>
      <c r="C15" s="109" t="e">
        <f>VLOOKUP(Table257519913140106110151155170178200[[#This Row],[PEG]],Table1016[#All],2,FALSE)</f>
        <v>#N/A</v>
      </c>
      <c r="D15" s="116"/>
      <c r="E15" s="125" t="e">
        <f>VLOOKUP(Table257519913140106110151155170178200[[#This Row],[PEG]],Table1016[#All],3,FALSE)</f>
        <v>#N/A</v>
      </c>
    </row>
    <row r="16" spans="1:5" x14ac:dyDescent="0.35">
      <c r="A16" s="118">
        <v>9</v>
      </c>
      <c r="B16" s="114" t="s">
        <v>12</v>
      </c>
      <c r="C16" s="109" t="e">
        <f>VLOOKUP(Table257519913140106110151155170178200[[#This Row],[PEG]],Table1016[#All],2,FALSE)</f>
        <v>#N/A</v>
      </c>
      <c r="D16" s="116"/>
      <c r="E16" s="125" t="e">
        <f>VLOOKUP(Table257519913140106110151155170178200[[#This Row],[PEG]],Table1016[#All],3,FALSE)</f>
        <v>#N/A</v>
      </c>
    </row>
    <row r="17" spans="1:5" x14ac:dyDescent="0.35">
      <c r="A17" s="118">
        <v>10</v>
      </c>
      <c r="B17" s="114" t="s">
        <v>12</v>
      </c>
      <c r="C17" s="109" t="e">
        <f>VLOOKUP(Table257519913140106110151155170178200[[#This Row],[PEG]],Table1016[#All],2,FALSE)</f>
        <v>#N/A</v>
      </c>
      <c r="D17" s="117"/>
      <c r="E17" s="125" t="e">
        <f>VLOOKUP(Table257519913140106110151155170178200[[#This Row],[PEG]],Table1016[#All],3,FALSE)</f>
        <v>#N/A</v>
      </c>
    </row>
    <row r="18" spans="1:5" x14ac:dyDescent="0.35">
      <c r="A18" s="118">
        <v>11</v>
      </c>
      <c r="B18" s="114" t="s">
        <v>115</v>
      </c>
      <c r="C18" s="109" t="e">
        <f>VLOOKUP(Table257519913140106110151155170178200[[#This Row],[PEG]],Table1016[#All],2,FALSE)</f>
        <v>#N/A</v>
      </c>
      <c r="D18" s="117"/>
      <c r="E18" s="125" t="e">
        <f>VLOOKUP(Table257519913140106110151155170178200[[#This Row],[PEG]],Table1016[#All],3,FALSE)</f>
        <v>#N/A</v>
      </c>
    </row>
    <row r="19" spans="1:5" x14ac:dyDescent="0.35">
      <c r="A19" s="118">
        <v>12</v>
      </c>
      <c r="B19" s="114" t="s">
        <v>115</v>
      </c>
      <c r="C19" s="109" t="e">
        <f>VLOOKUP(Table257519913140106110151155170178200[[#This Row],[PEG]],Table1016[#All],2,FALSE)</f>
        <v>#N/A</v>
      </c>
      <c r="D19" s="117"/>
      <c r="E19" s="125" t="e">
        <f>VLOOKUP(Table257519913140106110151155170178200[[#This Row],[PEG]],Table1016[#All],3,FALSE)</f>
        <v>#N/A</v>
      </c>
    </row>
    <row r="20" spans="1:5" x14ac:dyDescent="0.35">
      <c r="A20" s="118">
        <v>13</v>
      </c>
      <c r="B20" s="114" t="s">
        <v>114</v>
      </c>
      <c r="C20" s="109" t="e">
        <f>VLOOKUP(Table257519913140106110151155170178200[[#This Row],[PEG]],Table1016[#All],2,FALSE)</f>
        <v>#N/A</v>
      </c>
      <c r="D20" s="117"/>
      <c r="E20" s="125" t="e">
        <f>VLOOKUP(Table257519913140106110151155170178200[[#This Row],[PEG]],Table1016[#All],3,FALSE)</f>
        <v>#N/A</v>
      </c>
    </row>
    <row r="21" spans="1:5" x14ac:dyDescent="0.35">
      <c r="A21" s="118">
        <v>14</v>
      </c>
      <c r="B21" s="114" t="s">
        <v>12</v>
      </c>
      <c r="C21" s="109" t="e">
        <f>VLOOKUP(Table257519913140106110151155170178200[[#This Row],[PEG]],Table1016[#All],2,FALSE)</f>
        <v>#N/A</v>
      </c>
      <c r="D21" s="117"/>
      <c r="E21" s="125" t="e">
        <f>VLOOKUP(Table257519913140106110151155170178200[[#This Row],[PEG]],Table1016[#All],3,FALSE)</f>
        <v>#N/A</v>
      </c>
    </row>
    <row r="22" spans="1:5" x14ac:dyDescent="0.35">
      <c r="A22" s="118">
        <v>15</v>
      </c>
      <c r="B22" s="114" t="s">
        <v>12</v>
      </c>
      <c r="C22" s="109" t="e">
        <f>VLOOKUP(Table257519913140106110151155170178200[[#This Row],[PEG]],Table1016[#All],2,FALSE)</f>
        <v>#N/A</v>
      </c>
      <c r="D22" s="117"/>
      <c r="E22" s="125" t="e">
        <f>VLOOKUP(Table257519913140106110151155170178200[[#This Row],[PEG]],Table1016[#All],3,FALSE)</f>
        <v>#N/A</v>
      </c>
    </row>
    <row r="23" spans="1:5" x14ac:dyDescent="0.35">
      <c r="A23" s="118">
        <v>16</v>
      </c>
      <c r="B23" s="114" t="s">
        <v>115</v>
      </c>
      <c r="C23" s="109" t="e">
        <f>VLOOKUP(Table257519913140106110151155170178200[[#This Row],[PEG]],Table1016[#All],2,FALSE)</f>
        <v>#N/A</v>
      </c>
      <c r="D23" s="117"/>
      <c r="E23" s="125" t="e">
        <f>VLOOKUP(Table257519913140106110151155170178200[[#This Row],[PEG]],Table1016[#All],3,FALSE)</f>
        <v>#N/A</v>
      </c>
    </row>
    <row r="24" spans="1:5" x14ac:dyDescent="0.35">
      <c r="A24" s="118">
        <v>17</v>
      </c>
      <c r="B24" s="114" t="s">
        <v>114</v>
      </c>
      <c r="C24" s="109" t="e">
        <f>VLOOKUP(Table257519913140106110151155170178200[[#This Row],[PEG]],Table1016[#All],2,FALSE)</f>
        <v>#N/A</v>
      </c>
      <c r="D24" s="117"/>
      <c r="E24" s="125" t="e">
        <f>VLOOKUP(Table257519913140106110151155170178200[[#This Row],[PEG]],Table1016[#All],3,FALSE)</f>
        <v>#N/A</v>
      </c>
    </row>
    <row r="25" spans="1:5" x14ac:dyDescent="0.35">
      <c r="A25" s="118">
        <v>18</v>
      </c>
      <c r="B25" s="114" t="s">
        <v>12</v>
      </c>
      <c r="C25" s="109" t="e">
        <f>VLOOKUP(Table257519913140106110151155170178200[[#This Row],[PEG]],Table1016[#All],2,FALSE)</f>
        <v>#N/A</v>
      </c>
      <c r="D25" s="117"/>
      <c r="E25" s="125" t="e">
        <f>VLOOKUP(Table257519913140106110151155170178200[[#This Row],[PEG]],Table1016[#All],3,FALSE)</f>
        <v>#N/A</v>
      </c>
    </row>
    <row r="26" spans="1:5" x14ac:dyDescent="0.35">
      <c r="A26" s="118">
        <v>19</v>
      </c>
      <c r="B26" s="114" t="s">
        <v>12</v>
      </c>
      <c r="C26" s="109" t="e">
        <f>VLOOKUP(Table257519913140106110151155170178200[[#This Row],[PEG]],Table1016[#All],2,FALSE)</f>
        <v>#N/A</v>
      </c>
      <c r="D26" s="117"/>
      <c r="E26" s="125" t="e">
        <f>VLOOKUP(Table257519913140106110151155170178200[[#This Row],[PEG]],Table1016[#All],3,FALSE)</f>
        <v>#N/A</v>
      </c>
    </row>
    <row r="27" spans="1:5" x14ac:dyDescent="0.35">
      <c r="A27" s="118">
        <v>20</v>
      </c>
      <c r="B27" s="114" t="s">
        <v>115</v>
      </c>
      <c r="C27" s="109" t="e">
        <f>VLOOKUP(Table257519913140106110151155170178200[[#This Row],[PEG]],Table1016[#All],2,FALSE)</f>
        <v>#N/A</v>
      </c>
      <c r="D27" s="117"/>
      <c r="E27" s="125" t="e">
        <f>VLOOKUP(Table257519913140106110151155170178200[[#This Row],[PEG]],Table1016[#All],3,FALSE)</f>
        <v>#N/A</v>
      </c>
    </row>
    <row r="28" spans="1:5" x14ac:dyDescent="0.35">
      <c r="A28" s="118">
        <v>21</v>
      </c>
      <c r="B28" s="114" t="s">
        <v>114</v>
      </c>
      <c r="C28" s="109" t="e">
        <f>VLOOKUP(Table257519913140106110151155170178200[[#This Row],[PEG]],Table1016[#All],2,FALSE)</f>
        <v>#N/A</v>
      </c>
      <c r="D28" s="117"/>
      <c r="E28" s="125" t="e">
        <f>VLOOKUP(Table257519913140106110151155170178200[[#This Row],[PEG]],Table1016[#All],3,FALSE)</f>
        <v>#N/A</v>
      </c>
    </row>
    <row r="29" spans="1:5" x14ac:dyDescent="0.35">
      <c r="A29" s="118">
        <v>22</v>
      </c>
      <c r="B29" s="114" t="s">
        <v>12</v>
      </c>
      <c r="C29" s="109" t="e">
        <f>VLOOKUP(Table257519913140106110151155170178200[[#This Row],[PEG]],Table1016[#All],2,FALSE)</f>
        <v>#N/A</v>
      </c>
      <c r="D29" s="117"/>
      <c r="E29" s="125" t="e">
        <f>VLOOKUP(Table257519913140106110151155170178200[[#This Row],[PEG]],Table1016[#All],3,FALSE)</f>
        <v>#N/A</v>
      </c>
    </row>
    <row r="30" spans="1:5" x14ac:dyDescent="0.35">
      <c r="A30" s="118">
        <v>23</v>
      </c>
      <c r="B30" s="114" t="s">
        <v>12</v>
      </c>
      <c r="C30" s="109" t="e">
        <f>VLOOKUP(Table257519913140106110151155170178200[[#This Row],[PEG]],Table1016[#All],2,FALSE)</f>
        <v>#N/A</v>
      </c>
      <c r="D30" s="117"/>
      <c r="E30" s="125" t="e">
        <f>VLOOKUP(Table257519913140106110151155170178200[[#This Row],[PEG]],Table1016[#All],3,FALSE)</f>
        <v>#N/A</v>
      </c>
    </row>
    <row r="31" spans="1:5" x14ac:dyDescent="0.35">
      <c r="A31" s="118">
        <v>24</v>
      </c>
      <c r="B31" s="114" t="s">
        <v>115</v>
      </c>
      <c r="C31" s="109" t="e">
        <f>VLOOKUP(Table257519913140106110151155170178200[[#This Row],[PEG]],Table1016[#All],2,FALSE)</f>
        <v>#N/A</v>
      </c>
      <c r="D31" s="117"/>
      <c r="E31" s="125" t="e">
        <f>VLOOKUP(Table257519913140106110151155170178200[[#This Row],[PEG]],Table1016[#All],3,FALSE)</f>
        <v>#N/A</v>
      </c>
    </row>
    <row r="32" spans="1:5" x14ac:dyDescent="0.35">
      <c r="A32" s="118">
        <v>25</v>
      </c>
      <c r="B32" s="114" t="s">
        <v>115</v>
      </c>
      <c r="C32" s="109" t="e">
        <f>VLOOKUP(Table257519913140106110151155170178200[[#This Row],[PEG]],Table1016[#All],2,FALSE)</f>
        <v>#N/A</v>
      </c>
      <c r="D32" s="117"/>
      <c r="E32" s="125" t="e">
        <f>VLOOKUP(Table257519913140106110151155170178200[[#This Row],[PEG]],Table1016[#All],3,FALSE)</f>
        <v>#N/A</v>
      </c>
    </row>
    <row r="33" spans="1:5" x14ac:dyDescent="0.35">
      <c r="A33" s="118">
        <v>26</v>
      </c>
      <c r="B33" s="114" t="s">
        <v>124</v>
      </c>
      <c r="C33" s="109" t="e">
        <f>VLOOKUP(Table257519913140106110151155170178200[[#This Row],[PEG]],Table1016[#All],2,FALSE)</f>
        <v>#N/A</v>
      </c>
      <c r="D33" s="117"/>
      <c r="E33" s="125" t="e">
        <f>VLOOKUP(Table257519913140106110151155170178200[[#This Row],[PEG]],Table1016[#All],3,FALSE)</f>
        <v>#N/A</v>
      </c>
    </row>
    <row r="34" spans="1:5" x14ac:dyDescent="0.35">
      <c r="A34" s="118">
        <v>27</v>
      </c>
      <c r="B34" s="114" t="s">
        <v>115</v>
      </c>
      <c r="C34" s="109" t="e">
        <f>VLOOKUP(Table257519913140106110151155170178200[[#This Row],[PEG]],Table1016[#All],2,FALSE)</f>
        <v>#N/A</v>
      </c>
      <c r="D34" s="117"/>
      <c r="E34" s="125" t="e">
        <f>VLOOKUP(Table257519913140106110151155170178200[[#This Row],[PEG]],Table1016[#All],3,FALSE)</f>
        <v>#N/A</v>
      </c>
    </row>
    <row r="35" spans="1:5" x14ac:dyDescent="0.35">
      <c r="A35" s="118">
        <v>28</v>
      </c>
      <c r="B35" s="114" t="s">
        <v>124</v>
      </c>
      <c r="C35" s="109" t="e">
        <f>VLOOKUP(Table257519913140106110151155170178200[[#This Row],[PEG]],Table1016[#All],2,FALSE)</f>
        <v>#N/A</v>
      </c>
      <c r="D35" s="117"/>
      <c r="E35" s="125" t="e">
        <f>VLOOKUP(Table257519913140106110151155170178200[[#This Row],[PEG]],Table1016[#All],3,FALSE)</f>
        <v>#N/A</v>
      </c>
    </row>
    <row r="36" spans="1:5" x14ac:dyDescent="0.35">
      <c r="A36" s="118">
        <v>29</v>
      </c>
      <c r="B36" s="114" t="s">
        <v>115</v>
      </c>
      <c r="C36" s="109" t="e">
        <f>VLOOKUP(Table257519913140106110151155170178200[[#This Row],[PEG]],Table1016[#All],2,FALSE)</f>
        <v>#N/A</v>
      </c>
      <c r="D36" s="117"/>
      <c r="E36" s="125" t="e">
        <f>VLOOKUP(Table257519913140106110151155170178200[[#This Row],[PEG]],Table1016[#All],3,FALSE)</f>
        <v>#N/A</v>
      </c>
    </row>
    <row r="37" spans="1:5" x14ac:dyDescent="0.35">
      <c r="A37" s="118">
        <v>30</v>
      </c>
      <c r="B37" s="114" t="s">
        <v>12</v>
      </c>
      <c r="C37" s="109" t="e">
        <f>VLOOKUP(Table257519913140106110151155170178200[[#This Row],[PEG]],Table1016[#All],2,FALSE)</f>
        <v>#N/A</v>
      </c>
      <c r="D37" s="117"/>
      <c r="E37" s="125" t="e">
        <f>VLOOKUP(Table257519913140106110151155170178200[[#This Row],[PEG]],Table1016[#All],3,FALSE)</f>
        <v>#N/A</v>
      </c>
    </row>
    <row r="38" spans="1:5" x14ac:dyDescent="0.35">
      <c r="A38" s="118">
        <v>31</v>
      </c>
      <c r="B38" s="114" t="s">
        <v>12</v>
      </c>
      <c r="C38" s="109" t="e">
        <f>VLOOKUP(Table257519913140106110151155170178200[[#This Row],[PEG]],Table1016[#All],2,FALSE)</f>
        <v>#N/A</v>
      </c>
      <c r="D38" s="117"/>
      <c r="E38" s="125" t="e">
        <f>VLOOKUP(Table257519913140106110151155170178200[[#This Row],[PEG]],Table1016[#All],3,FALSE)</f>
        <v>#N/A</v>
      </c>
    </row>
    <row r="39" spans="1:5" x14ac:dyDescent="0.35">
      <c r="A39" s="118">
        <v>32</v>
      </c>
      <c r="B39" s="114" t="s">
        <v>12</v>
      </c>
      <c r="C39" s="109" t="e">
        <f>VLOOKUP(Table257519913140106110151155170178200[[#This Row],[PEG]],Table1016[#All],2,FALSE)</f>
        <v>#N/A</v>
      </c>
      <c r="D39" s="117"/>
      <c r="E39" s="125" t="e">
        <f>VLOOKUP(Table257519913140106110151155170178200[[#This Row],[PEG]],Table1016[#All],3,FALSE)</f>
        <v>#N/A</v>
      </c>
    </row>
    <row r="40" spans="1:5" x14ac:dyDescent="0.35">
      <c r="A40" s="118">
        <v>33</v>
      </c>
      <c r="B40" s="114" t="s">
        <v>12</v>
      </c>
      <c r="C40" s="109" t="e">
        <f>VLOOKUP(Table257519913140106110151155170178200[[#This Row],[PEG]],Table1016[#All],2,FALSE)</f>
        <v>#N/A</v>
      </c>
      <c r="D40" s="117"/>
      <c r="E40" s="125" t="e">
        <f>VLOOKUP(Table257519913140106110151155170178200[[#This Row],[PEG]],Table1016[#All],3,FALSE)</f>
        <v>#N/A</v>
      </c>
    </row>
    <row r="41" spans="1:5" x14ac:dyDescent="0.35">
      <c r="A41" s="118">
        <v>34</v>
      </c>
      <c r="B41" s="114" t="s">
        <v>115</v>
      </c>
      <c r="C41" s="109" t="e">
        <f>VLOOKUP(Table257519913140106110151155170178200[[#This Row],[PEG]],Table1016[#All],2,FALSE)</f>
        <v>#N/A</v>
      </c>
      <c r="D41" s="117"/>
      <c r="E41" s="125" t="e">
        <f>VLOOKUP(Table257519913140106110151155170178200[[#This Row],[PEG]],Table1016[#All],3,FALSE)</f>
        <v>#N/A</v>
      </c>
    </row>
    <row r="42" spans="1:5" x14ac:dyDescent="0.35">
      <c r="A42" s="118">
        <v>35</v>
      </c>
      <c r="B42" s="114" t="s">
        <v>12</v>
      </c>
      <c r="C42" s="109" t="e">
        <f>VLOOKUP(Table257519913140106110151155170178200[[#This Row],[PEG]],Table1016[#All],2,FALSE)</f>
        <v>#N/A</v>
      </c>
      <c r="D42" s="115"/>
      <c r="E42" s="125" t="e">
        <f>VLOOKUP(Table257519913140106110151155170178200[[#This Row],[PEG]],Table1016[#All],3,FALSE)</f>
        <v>#N/A</v>
      </c>
    </row>
    <row r="43" spans="1:5" x14ac:dyDescent="0.35">
      <c r="A43" s="118">
        <v>36</v>
      </c>
      <c r="B43" s="114" t="s">
        <v>115</v>
      </c>
      <c r="C43" s="109" t="e">
        <f>VLOOKUP(Table257519913140106110151155170178200[[#This Row],[PEG]],Table1016[#All],2,FALSE)</f>
        <v>#N/A</v>
      </c>
      <c r="D43" s="115"/>
      <c r="E43" s="125" t="e">
        <f>VLOOKUP(Table257519913140106110151155170178200[[#This Row],[PEG]],Table1016[#All],3,FALSE)</f>
        <v>#N/A</v>
      </c>
    </row>
    <row r="44" spans="1:5" x14ac:dyDescent="0.35">
      <c r="A44" s="118">
        <v>37</v>
      </c>
      <c r="B44" s="114" t="s">
        <v>13</v>
      </c>
      <c r="C44" s="18" t="s">
        <v>13</v>
      </c>
      <c r="D44" s="115"/>
      <c r="E44" s="32"/>
    </row>
  </sheetData>
  <mergeCells count="1">
    <mergeCell ref="A1:B1"/>
  </mergeCells>
  <conditionalFormatting sqref="B8:B18">
    <cfRule type="containsText" dxfId="965" priority="1" operator="containsText" text="Hear">
      <formula>NOT(ISERROR(SEARCH("Hear",B8)))</formula>
    </cfRule>
  </conditionalFormatting>
  <conditionalFormatting sqref="B30">
    <cfRule type="containsText" dxfId="964" priority="4" operator="containsText" text="Hear">
      <formula>NOT(ISERROR(SEARCH("Hear",B30)))</formula>
    </cfRule>
  </conditionalFormatting>
  <conditionalFormatting sqref="B43:B44">
    <cfRule type="containsText" dxfId="963" priority="8" operator="containsText" text="Hear">
      <formula>NOT(ISERROR(SEARCH("Hear",B43)))</formula>
    </cfRule>
  </conditionalFormatting>
  <conditionalFormatting sqref="E44">
    <cfRule type="containsText" dxfId="962" priority="6" operator="containsText" text="WEB SERVICE">
      <formula>NOT(ISERROR(SEARCH("WEB SERVICE",E44)))</formula>
    </cfRule>
    <cfRule type="containsText" dxfId="961" priority="7" operator="containsText" text="DB">
      <formula>NOT(ISERROR(SEARCH("DB",E44)))</formula>
    </cfRule>
  </conditionalFormatting>
  <conditionalFormatting sqref="C44">
    <cfRule type="expression" dxfId="960" priority="9">
      <formula>$B44="HANGUP"</formula>
    </cfRule>
    <cfRule type="expression" dxfId="959" priority="9">
      <formula>$B44="Dial"</formula>
    </cfRule>
  </conditionalFormatting>
  <conditionalFormatting sqref="C44">
    <cfRule type="expression" dxfId="958" priority="3">
      <formula>$B44="Speak"</formula>
    </cfRule>
  </conditionalFormatting>
  <conditionalFormatting sqref="B36:B38 B40:B41">
    <cfRule type="containsText" dxfId="957" priority="2" operator="containsText" text="Hear">
      <formula>NOT(ISERROR(SEARCH("Hear",B36)))</formula>
    </cfRule>
  </conditionalFormatting>
  <conditionalFormatting sqref="B19:B29 B31:B35 B42">
    <cfRule type="containsText" dxfId="956" priority="5" operator="containsText" text="Hear">
      <formula>NOT(ISERROR(SEARCH("Hear",B19)))</formula>
    </cfRule>
  </conditionalFormatting>
  <hyperlinks>
    <hyperlink ref="A1" location="'Test Case Overview'!A1" display="Return to Test Case Overview" xr:uid="{60BC0BEB-C72A-41F5-9C67-D9259F4537C9}"/>
  </hyperlinks>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expression" priority="10" id="{30EB170E-B6D5-4ABA-A328-1D97DFEE36DA}">
            <xm:f>'TC1'!$B8="Dial"</xm:f>
            <x14:dxf>
              <font>
                <b/>
                <i val="0"/>
                <color rgb="FFFF0000"/>
              </font>
            </x14:dxf>
          </x14:cfRule>
          <x14:cfRule type="expression" priority="10" id="{A1EA5A18-838A-4B36-837F-3E27C9962E6B}">
            <xm:f>'TC1'!$B8="HANGUP"</xm:f>
            <x14:dxf>
              <font>
                <b/>
                <i val="0"/>
              </font>
            </x14:dxf>
          </x14:cfRule>
          <xm:sqref>C8</xm:sqref>
        </x14:conditionalFormatting>
        <x14:conditionalFormatting xmlns:xm="http://schemas.microsoft.com/office/excel/2006/main">
          <x14:cfRule type="expression" priority="11" id="{3105145E-3C4D-4DDA-8420-FE58E6C33771}">
            <xm:f>'TC1'!$B8="Speak"</xm:f>
            <x14:dxf>
              <font>
                <b/>
                <i val="0"/>
                <color rgb="FFFF0000"/>
              </font>
            </x14:dxf>
          </x14:cfRule>
          <xm:sqref>C8</xm:sqref>
        </x14:conditionalFormatting>
        <x14:conditionalFormatting xmlns:xm="http://schemas.microsoft.com/office/excel/2006/main">
          <x14:cfRule type="containsText" priority="14" operator="containsText" text="Hear" id="{DFCE92B4-A419-4243-99D8-E7382E0AADF1}">
            <xm:f>NOT(ISERROR(SEARCH("Hear",'TC3'!B34)))</xm:f>
            <x14:dxf>
              <font>
                <color theme="9" tint="-0.24994659260841701"/>
              </font>
              <fill>
                <patternFill>
                  <bgColor theme="9" tint="0.59996337778862885"/>
                </patternFill>
              </fill>
            </x14:dxf>
          </x14:cfRule>
          <xm:sqref>B41</xm:sqref>
        </x14:conditionalFormatting>
        <x14:conditionalFormatting xmlns:xm="http://schemas.microsoft.com/office/excel/2006/main">
          <x14:cfRule type="expression" priority="3183" id="{30EB170E-B6D5-4ABA-A328-1D97DFEE36DA}">
            <xm:f>'TC1'!$B16="Dial"</xm:f>
            <x14:dxf>
              <font>
                <b/>
                <i val="0"/>
                <color rgb="FFFF0000"/>
              </font>
            </x14:dxf>
          </x14:cfRule>
          <x14:cfRule type="expression" priority="3184" id="{A1EA5A18-838A-4B36-837F-3E27C9962E6B}">
            <xm:f>'TC1'!$B16="HANGUP"</xm:f>
            <x14:dxf>
              <font>
                <b/>
                <i val="0"/>
              </font>
            </x14:dxf>
          </x14:cfRule>
          <xm:sqref>C34:C43</xm:sqref>
        </x14:conditionalFormatting>
        <x14:conditionalFormatting xmlns:xm="http://schemas.microsoft.com/office/excel/2006/main">
          <x14:cfRule type="expression" priority="3185" id="{30EB170E-B6D5-4ABA-A328-1D97DFEE36DA}">
            <xm:f>'TC1'!#REF!="Dial"</xm:f>
            <x14:dxf>
              <font>
                <b/>
                <i val="0"/>
                <color rgb="FFFF0000"/>
              </font>
            </x14:dxf>
          </x14:cfRule>
          <x14:cfRule type="expression" priority="3186" id="{A1EA5A18-838A-4B36-837F-3E27C9962E6B}">
            <xm:f>'TC1'!#REF!="HANGUP"</xm:f>
            <x14:dxf>
              <font>
                <b/>
                <i val="0"/>
              </font>
            </x14:dxf>
          </x14:cfRule>
          <xm:sqref>C17:C33</xm:sqref>
        </x14:conditionalFormatting>
        <x14:conditionalFormatting xmlns:xm="http://schemas.microsoft.com/office/excel/2006/main">
          <x14:cfRule type="expression" priority="3190" id="{3105145E-3C4D-4DDA-8420-FE58E6C33771}">
            <xm:f>'TC1'!$B16="Speak"</xm:f>
            <x14:dxf>
              <font>
                <b/>
                <i val="0"/>
                <color rgb="FFFF0000"/>
              </font>
            </x14:dxf>
          </x14:cfRule>
          <xm:sqref>C34:C43</xm:sqref>
        </x14:conditionalFormatting>
        <x14:conditionalFormatting xmlns:xm="http://schemas.microsoft.com/office/excel/2006/main">
          <x14:cfRule type="expression" priority="3191" id="{3105145E-3C4D-4DDA-8420-FE58E6C33771}">
            <xm:f>'TC1'!#REF!="Speak"</xm:f>
            <x14:dxf>
              <font>
                <b/>
                <i val="0"/>
                <color rgb="FFFF0000"/>
              </font>
            </x14:dxf>
          </x14:cfRule>
          <xm:sqref>C17:C33</xm:sqref>
        </x14:conditionalFormatting>
        <x14:conditionalFormatting xmlns:xm="http://schemas.microsoft.com/office/excel/2006/main">
          <x14:cfRule type="containsText" priority="3195" operator="containsText" text="DB" id="{0B32047C-B583-4992-B034-3A7470D3DC23}">
            <xm:f>NOT(ISERROR(SEARCH("DB",'TC1'!E16)))</xm:f>
            <x14:dxf>
              <font>
                <color rgb="FF006100"/>
              </font>
              <fill>
                <patternFill>
                  <bgColor rgb="FFC6EFCE"/>
                </patternFill>
              </fill>
            </x14:dxf>
          </x14:cfRule>
          <x14:cfRule type="containsText" priority="3196" operator="containsText" text="WEB SERVICE" id="{87FABD2E-701A-4615-9E25-837218EE0C96}">
            <xm:f>NOT(ISERROR(SEARCH("WEB SERVICE",'TC1'!E16)))</xm:f>
            <x14:dxf>
              <font>
                <color rgb="FF9C0006"/>
              </font>
              <fill>
                <patternFill>
                  <bgColor rgb="FFFFC7CE"/>
                </patternFill>
              </fill>
            </x14:dxf>
          </x14:cfRule>
          <xm:sqref>E34:E43</xm:sqref>
        </x14:conditionalFormatting>
        <x14:conditionalFormatting xmlns:xm="http://schemas.microsoft.com/office/excel/2006/main">
          <x14:cfRule type="containsText" priority="3197" operator="containsText" text="DB" id="{0B32047C-B583-4992-B034-3A7470D3DC23}">
            <xm:f>NOT(ISERROR(SEARCH("DB",'TC1'!#REF!)))</xm:f>
            <x14:dxf>
              <font>
                <color rgb="FF006100"/>
              </font>
              <fill>
                <patternFill>
                  <bgColor rgb="FFC6EFCE"/>
                </patternFill>
              </fill>
            </x14:dxf>
          </x14:cfRule>
          <x14:cfRule type="containsText" priority="3198" operator="containsText" text="WEB SERVICE" id="{87FABD2E-701A-4615-9E25-837218EE0C96}">
            <xm:f>NOT(ISERROR(SEARCH("WEB SERVICE",'TC1'!#REF!)))</xm:f>
            <x14:dxf>
              <font>
                <color rgb="FF9C0006"/>
              </font>
              <fill>
                <patternFill>
                  <bgColor rgb="FFFFC7CE"/>
                </patternFill>
              </fill>
            </x14:dxf>
          </x14:cfRule>
          <xm:sqref>E17:E33</xm:sqref>
        </x14:conditionalFormatting>
        <x14:conditionalFormatting xmlns:xm="http://schemas.microsoft.com/office/excel/2006/main">
          <x14:cfRule type="expression" priority="5803" id="{30EB170E-B6D5-4ABA-A328-1D97DFEE36DA}">
            <xm:f>'TC1'!$B9="Dial"</xm:f>
            <x14:dxf>
              <font>
                <b/>
                <i val="0"/>
                <color rgb="FFFF0000"/>
              </font>
            </x14:dxf>
          </x14:cfRule>
          <x14:cfRule type="expression" priority="5804" id="{A1EA5A18-838A-4B36-837F-3E27C9962E6B}">
            <xm:f>'TC1'!$B9="HANGUP"</xm:f>
            <x14:dxf>
              <font>
                <b/>
                <i val="0"/>
              </font>
            </x14:dxf>
          </x14:cfRule>
          <xm:sqref>C12:C15</xm:sqref>
        </x14:conditionalFormatting>
        <x14:conditionalFormatting xmlns:xm="http://schemas.microsoft.com/office/excel/2006/main">
          <x14:cfRule type="expression" priority="5805" id="{30EB170E-B6D5-4ABA-A328-1D97DFEE36DA}">
            <xm:f>'TC1'!#REF!="Dial"</xm:f>
            <x14:dxf>
              <font>
                <b/>
                <i val="0"/>
                <color rgb="FFFF0000"/>
              </font>
            </x14:dxf>
          </x14:cfRule>
          <x14:cfRule type="expression" priority="5806" id="{A1EA5A18-838A-4B36-837F-3E27C9962E6B}">
            <xm:f>'TC1'!#REF!="HANGUP"</xm:f>
            <x14:dxf>
              <font>
                <b/>
                <i val="0"/>
              </font>
            </x14:dxf>
          </x14:cfRule>
          <xm:sqref>C9:C11</xm:sqref>
        </x14:conditionalFormatting>
        <x14:conditionalFormatting xmlns:xm="http://schemas.microsoft.com/office/excel/2006/main">
          <x14:cfRule type="expression" priority="5810" id="{3105145E-3C4D-4DDA-8420-FE58E6C33771}">
            <xm:f>'TC1'!$B9="Speak"</xm:f>
            <x14:dxf>
              <font>
                <b/>
                <i val="0"/>
                <color rgb="FFFF0000"/>
              </font>
            </x14:dxf>
          </x14:cfRule>
          <xm:sqref>C12:C15</xm:sqref>
        </x14:conditionalFormatting>
        <x14:conditionalFormatting xmlns:xm="http://schemas.microsoft.com/office/excel/2006/main">
          <x14:cfRule type="expression" priority="5811" id="{3105145E-3C4D-4DDA-8420-FE58E6C33771}">
            <xm:f>'TC1'!#REF!="Speak"</xm:f>
            <x14:dxf>
              <font>
                <b/>
                <i val="0"/>
                <color rgb="FFFF0000"/>
              </font>
            </x14:dxf>
          </x14:cfRule>
          <xm:sqref>C9:C11</xm:sqref>
        </x14:conditionalFormatting>
        <x14:conditionalFormatting xmlns:xm="http://schemas.microsoft.com/office/excel/2006/main">
          <x14:cfRule type="containsText" priority="5813" operator="containsText" text="DB" id="{0B32047C-B583-4992-B034-3A7470D3DC23}">
            <xm:f>NOT(ISERROR(SEARCH("DB",'TC1'!#REF!)))</xm:f>
            <x14:dxf>
              <font>
                <color rgb="FF006100"/>
              </font>
              <fill>
                <patternFill>
                  <bgColor rgb="FFC6EFCE"/>
                </patternFill>
              </fill>
            </x14:dxf>
          </x14:cfRule>
          <x14:cfRule type="containsText" priority="5814" operator="containsText" text="WEB SERVICE" id="{87FABD2E-701A-4615-9E25-837218EE0C96}">
            <xm:f>NOT(ISERROR(SEARCH("WEB SERVICE",'TC1'!#REF!)))</xm:f>
            <x14:dxf>
              <font>
                <color rgb="FF9C0006"/>
              </font>
              <fill>
                <patternFill>
                  <bgColor rgb="FFFFC7CE"/>
                </patternFill>
              </fill>
            </x14:dxf>
          </x14:cfRule>
          <xm:sqref>E9:E11</xm:sqref>
        </x14:conditionalFormatting>
        <x14:conditionalFormatting xmlns:xm="http://schemas.microsoft.com/office/excel/2006/main">
          <x14:cfRule type="containsText" priority="5815" operator="containsText" text="DB" id="{0B32047C-B583-4992-B034-3A7470D3DC23}">
            <xm:f>NOT(ISERROR(SEARCH("DB",'TC1'!E9)))</xm:f>
            <x14:dxf>
              <font>
                <color rgb="FF006100"/>
              </font>
              <fill>
                <patternFill>
                  <bgColor rgb="FFC6EFCE"/>
                </patternFill>
              </fill>
            </x14:dxf>
          </x14:cfRule>
          <x14:cfRule type="containsText" priority="5816" operator="containsText" text="WEB SERVICE" id="{87FABD2E-701A-4615-9E25-837218EE0C96}">
            <xm:f>NOT(ISERROR(SEARCH("WEB SERVICE",'TC1'!E9)))</xm:f>
            <x14:dxf>
              <font>
                <color rgb="FF9C0006"/>
              </font>
              <fill>
                <patternFill>
                  <bgColor rgb="FFFFC7CE"/>
                </patternFill>
              </fill>
            </x14:dxf>
          </x14:cfRule>
          <xm:sqref>E12:E15</xm:sqref>
        </x14:conditionalFormatting>
        <x14:conditionalFormatting xmlns:xm="http://schemas.microsoft.com/office/excel/2006/main">
          <x14:cfRule type="expression" priority="8015" id="{30EB170E-B6D5-4ABA-A328-1D97DFEE36DA}">
            <xm:f>'TC1'!$B15="Dial"</xm:f>
            <x14:dxf>
              <font>
                <b/>
                <i val="0"/>
                <color rgb="FFFF0000"/>
              </font>
            </x14:dxf>
          </x14:cfRule>
          <x14:cfRule type="expression" priority="8016" id="{A1EA5A18-838A-4B36-837F-3E27C9962E6B}">
            <xm:f>'TC1'!$B15="HANGUP"</xm:f>
            <x14:dxf>
              <font>
                <b/>
                <i val="0"/>
              </font>
            </x14:dxf>
          </x14:cfRule>
          <xm:sqref>C16</xm:sqref>
        </x14:conditionalFormatting>
        <x14:conditionalFormatting xmlns:xm="http://schemas.microsoft.com/office/excel/2006/main">
          <x14:cfRule type="expression" priority="8018" id="{3105145E-3C4D-4DDA-8420-FE58E6C33771}">
            <xm:f>'TC1'!$B15="Speak"</xm:f>
            <x14:dxf>
              <font>
                <b/>
                <i val="0"/>
                <color rgb="FFFF0000"/>
              </font>
            </x14:dxf>
          </x14:cfRule>
          <xm:sqref>C16</xm:sqref>
        </x14:conditionalFormatting>
        <x14:conditionalFormatting xmlns:xm="http://schemas.microsoft.com/office/excel/2006/main">
          <x14:cfRule type="containsText" priority="8021" operator="containsText" text="DB" id="{0B32047C-B583-4992-B034-3A7470D3DC23}">
            <xm:f>NOT(ISERROR(SEARCH("DB",'TC1'!E15)))</xm:f>
            <x14:dxf>
              <font>
                <color rgb="FF006100"/>
              </font>
              <fill>
                <patternFill>
                  <bgColor rgb="FFC6EFCE"/>
                </patternFill>
              </fill>
            </x14:dxf>
          </x14:cfRule>
          <x14:cfRule type="containsText" priority="8022" operator="containsText" text="WEB SERVICE" id="{87FABD2E-701A-4615-9E25-837218EE0C96}">
            <xm:f>NOT(ISERROR(SEARCH("WEB SERVICE",'TC1'!E15)))</xm:f>
            <x14:dxf>
              <font>
                <color rgb="FF9C0006"/>
              </font>
              <fill>
                <patternFill>
                  <bgColor rgb="FFFFC7CE"/>
                </patternFill>
              </fill>
            </x14:dxf>
          </x14:cfRule>
          <xm:sqref>E16</xm:sqref>
        </x14:conditionalFormatting>
        <x14:conditionalFormatting xmlns:xm="http://schemas.microsoft.com/office/excel/2006/main">
          <x14:cfRule type="containsText" priority="10754" operator="containsText" text="Hear" id="{2C03AB8B-2337-4DBF-8E86-FA7808C7FE28}">
            <xm:f>NOT(ISERROR(SEARCH("Hear",'TC26'!#REF!)))</xm:f>
            <x14:dxf>
              <font>
                <color theme="9" tint="-0.24994659260841701"/>
              </font>
              <fill>
                <patternFill>
                  <bgColor theme="9" tint="0.59996337778862885"/>
                </patternFill>
              </fill>
            </x14:dxf>
          </x14:cfRule>
          <xm:sqref>B39</xm:sqref>
        </x14:conditionalFormatting>
      </x14:conditionalFormattings>
    </ext>
  </extLst>
</worksheet>
</file>

<file path=xl/worksheets/sheet1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300-000000000000}">
  <sheetPr codeName="Sheet149"/>
  <dimension ref="A1:E44"/>
  <sheetViews>
    <sheetView zoomScaleNormal="100" workbookViewId="0">
      <selection sqref="A1:E44"/>
    </sheetView>
  </sheetViews>
  <sheetFormatPr defaultRowHeight="14.5" x14ac:dyDescent="0.35"/>
  <cols>
    <col min="1" max="1" width="14.453125" bestFit="1" customWidth="1"/>
    <col min="2" max="2" width="42.6328125" customWidth="1"/>
    <col min="3" max="3" width="106.1796875" customWidth="1"/>
    <col min="4" max="4" width="21.81640625" bestFit="1" customWidth="1"/>
    <col min="5" max="5" width="20.6328125" customWidth="1"/>
  </cols>
  <sheetData>
    <row r="1" spans="1:5" ht="18.5" x14ac:dyDescent="0.35">
      <c r="A1" s="192" t="s">
        <v>4</v>
      </c>
      <c r="B1" s="192"/>
      <c r="C1" s="105"/>
      <c r="D1" s="111"/>
      <c r="E1" s="97"/>
    </row>
    <row r="2" spans="1:5" x14ac:dyDescent="0.35">
      <c r="A2" s="106" t="s">
        <v>5</v>
      </c>
      <c r="B2" s="107" t="str">
        <f ca="1">MID(CELL("filename",A1),FIND("]",CELL("filename",A1))+1,LEN(CELL("filename",A1))-FIND("]",CELL("filename",A1)))</f>
        <v>TC147</v>
      </c>
      <c r="C2" s="98"/>
      <c r="D2" s="111"/>
      <c r="E2" s="97"/>
    </row>
    <row r="3" spans="1:5" x14ac:dyDescent="0.35">
      <c r="A3" s="104" t="s">
        <v>19</v>
      </c>
      <c r="B3" s="112" t="e">
        <f ca="1">VLOOKUP(B2,Table53[#All],2,FALSE)</f>
        <v>#N/A</v>
      </c>
      <c r="C3" s="98"/>
      <c r="D3" s="111"/>
      <c r="E3" s="97"/>
    </row>
    <row r="4" spans="1:5" ht="29" x14ac:dyDescent="0.35">
      <c r="A4" s="113" t="s">
        <v>20</v>
      </c>
      <c r="B4" s="99" t="e">
        <f ca="1">VLOOKUP(B2,Table53[#All],4,FALSE)</f>
        <v>#N/A</v>
      </c>
      <c r="C4" s="98"/>
      <c r="D4" s="111"/>
      <c r="E4" s="97"/>
    </row>
    <row r="5" spans="1:5" x14ac:dyDescent="0.35">
      <c r="A5" s="104" t="s">
        <v>6</v>
      </c>
      <c r="B5" s="77" t="e">
        <f ca="1">VLOOKUP(B2,Table53[#All],3,FALSE)</f>
        <v>#N/A</v>
      </c>
      <c r="C5" s="98"/>
      <c r="D5" s="111"/>
      <c r="E5" s="97"/>
    </row>
    <row r="6" spans="1:5" x14ac:dyDescent="0.35">
      <c r="A6" s="97"/>
      <c r="B6" s="97"/>
      <c r="C6" s="98"/>
      <c r="D6" s="111"/>
      <c r="E6" s="97"/>
    </row>
    <row r="7" spans="1:5" ht="15.5" x14ac:dyDescent="0.35">
      <c r="A7" s="100" t="s">
        <v>7</v>
      </c>
      <c r="B7" s="101" t="s">
        <v>8</v>
      </c>
      <c r="C7" s="102" t="s">
        <v>9</v>
      </c>
      <c r="D7" s="102" t="s">
        <v>14</v>
      </c>
      <c r="E7" s="103" t="s">
        <v>10</v>
      </c>
    </row>
    <row r="8" spans="1:5" x14ac:dyDescent="0.35">
      <c r="A8" s="118">
        <v>1</v>
      </c>
      <c r="B8" s="114" t="s">
        <v>114</v>
      </c>
      <c r="C8" s="109" t="s">
        <v>125</v>
      </c>
      <c r="D8" s="128"/>
      <c r="E8" s="125" t="s">
        <v>11</v>
      </c>
    </row>
    <row r="9" spans="1:5" x14ac:dyDescent="0.35">
      <c r="A9" s="118">
        <v>2</v>
      </c>
      <c r="B9" s="114" t="s">
        <v>12</v>
      </c>
      <c r="C9" s="109" t="e">
        <f>VLOOKUP(Table257519913140106110151155170178202[[#This Row],[PEG]],Table1016[#All],2,FALSE)</f>
        <v>#N/A</v>
      </c>
      <c r="D9" s="128"/>
      <c r="E9" s="125" t="e">
        <f>VLOOKUP(Table257519913140106110151155170178202[[#This Row],[PEG]],Table1016[#All],3,FALSE)</f>
        <v>#N/A</v>
      </c>
    </row>
    <row r="10" spans="1:5" x14ac:dyDescent="0.35">
      <c r="A10" s="118">
        <v>3</v>
      </c>
      <c r="B10" s="114" t="s">
        <v>115</v>
      </c>
      <c r="C10" s="109" t="e">
        <f>VLOOKUP(Table257519913140106110151155170178202[[#This Row],[PEG]],Table1016[#All],2,FALSE)</f>
        <v>#N/A</v>
      </c>
      <c r="D10" s="128"/>
      <c r="E10" s="125" t="e">
        <f>VLOOKUP(Table257519913140106110151155170178202[[#This Row],[PEG]],Table1016[#All],3,FALSE)</f>
        <v>#N/A</v>
      </c>
    </row>
    <row r="11" spans="1:5" x14ac:dyDescent="0.35">
      <c r="A11" s="118">
        <v>4</v>
      </c>
      <c r="B11" s="114" t="s">
        <v>115</v>
      </c>
      <c r="C11" s="109" t="e">
        <f>VLOOKUP(Table257519913140106110151155170178202[[#This Row],[PEG]],Table1016[#All],2,FALSE)</f>
        <v>#N/A</v>
      </c>
      <c r="D11" s="128"/>
      <c r="E11" s="125" t="e">
        <f>VLOOKUP(Table257519913140106110151155170178202[[#This Row],[PEG]],Table1016[#All],3,FALSE)</f>
        <v>#N/A</v>
      </c>
    </row>
    <row r="12" spans="1:5" x14ac:dyDescent="0.35">
      <c r="A12" s="118">
        <v>5</v>
      </c>
      <c r="B12" s="114" t="s">
        <v>114</v>
      </c>
      <c r="C12" s="109" t="e">
        <f>VLOOKUP(Table257519913140106110151155170178202[[#This Row],[PEG]],Table1016[#All],2,FALSE)</f>
        <v>#N/A</v>
      </c>
      <c r="D12" s="128"/>
      <c r="E12" s="125" t="e">
        <f>VLOOKUP(Table257519913140106110151155170178202[[#This Row],[PEG]],Table1016[#All],3,FALSE)</f>
        <v>#N/A</v>
      </c>
    </row>
    <row r="13" spans="1:5" x14ac:dyDescent="0.35">
      <c r="A13" s="118">
        <v>6</v>
      </c>
      <c r="B13" s="114" t="s">
        <v>115</v>
      </c>
      <c r="C13" s="109" t="e">
        <f>VLOOKUP(Table257519913140106110151155170178202[[#This Row],[PEG]],Table1016[#All],2,FALSE)</f>
        <v>#N/A</v>
      </c>
      <c r="D13" s="128"/>
      <c r="E13" s="125" t="e">
        <f>VLOOKUP(Table257519913140106110151155170178202[[#This Row],[PEG]],Table1016[#All],3,FALSE)</f>
        <v>#N/A</v>
      </c>
    </row>
    <row r="14" spans="1:5" x14ac:dyDescent="0.35">
      <c r="A14" s="118">
        <v>7</v>
      </c>
      <c r="B14" s="114" t="s">
        <v>114</v>
      </c>
      <c r="C14" s="109" t="e">
        <f>VLOOKUP(Table257519913140106110151155170178202[[#This Row],[PEG]],Table1016[#All],2,FALSE)</f>
        <v>#N/A</v>
      </c>
      <c r="D14" s="128"/>
      <c r="E14" s="125" t="e">
        <f>VLOOKUP(Table257519913140106110151155170178202[[#This Row],[PEG]],Table1016[#All],3,FALSE)</f>
        <v>#N/A</v>
      </c>
    </row>
    <row r="15" spans="1:5" x14ac:dyDescent="0.35">
      <c r="A15" s="118">
        <v>8</v>
      </c>
      <c r="B15" s="114" t="s">
        <v>115</v>
      </c>
      <c r="C15" s="109" t="e">
        <f>VLOOKUP(Table257519913140106110151155170178202[[#This Row],[PEG]],Table1016[#All],2,FALSE)</f>
        <v>#N/A</v>
      </c>
      <c r="D15" s="116"/>
      <c r="E15" s="125" t="e">
        <f>VLOOKUP(Table257519913140106110151155170178202[[#This Row],[PEG]],Table1016[#All],3,FALSE)</f>
        <v>#N/A</v>
      </c>
    </row>
    <row r="16" spans="1:5" x14ac:dyDescent="0.35">
      <c r="A16" s="118">
        <v>9</v>
      </c>
      <c r="B16" s="114" t="s">
        <v>12</v>
      </c>
      <c r="C16" s="109" t="e">
        <f>VLOOKUP(Table257519913140106110151155170178202[[#This Row],[PEG]],Table1016[#All],2,FALSE)</f>
        <v>#N/A</v>
      </c>
      <c r="D16" s="116"/>
      <c r="E16" s="125" t="e">
        <f>VLOOKUP(Table257519913140106110151155170178202[[#This Row],[PEG]],Table1016[#All],3,FALSE)</f>
        <v>#N/A</v>
      </c>
    </row>
    <row r="17" spans="1:5" x14ac:dyDescent="0.35">
      <c r="A17" s="118">
        <v>10</v>
      </c>
      <c r="B17" s="114" t="s">
        <v>12</v>
      </c>
      <c r="C17" s="109" t="e">
        <f>VLOOKUP(Table257519913140106110151155170178202[[#This Row],[PEG]],Table1016[#All],2,FALSE)</f>
        <v>#N/A</v>
      </c>
      <c r="D17" s="117"/>
      <c r="E17" s="125" t="e">
        <f>VLOOKUP(Table257519913140106110151155170178202[[#This Row],[PEG]],Table1016[#All],3,FALSE)</f>
        <v>#N/A</v>
      </c>
    </row>
    <row r="18" spans="1:5" x14ac:dyDescent="0.35">
      <c r="A18" s="118">
        <v>11</v>
      </c>
      <c r="B18" s="114" t="s">
        <v>115</v>
      </c>
      <c r="C18" s="109" t="e">
        <f>VLOOKUP(Table257519913140106110151155170178202[[#This Row],[PEG]],Table1016[#All],2,FALSE)</f>
        <v>#N/A</v>
      </c>
      <c r="D18" s="117"/>
      <c r="E18" s="125" t="e">
        <f>VLOOKUP(Table257519913140106110151155170178202[[#This Row],[PEG]],Table1016[#All],3,FALSE)</f>
        <v>#N/A</v>
      </c>
    </row>
    <row r="19" spans="1:5" x14ac:dyDescent="0.35">
      <c r="A19" s="118">
        <v>12</v>
      </c>
      <c r="B19" s="114" t="s">
        <v>115</v>
      </c>
      <c r="C19" s="109" t="e">
        <f>VLOOKUP(Table257519913140106110151155170178202[[#This Row],[PEG]],Table1016[#All],2,FALSE)</f>
        <v>#N/A</v>
      </c>
      <c r="D19" s="117"/>
      <c r="E19" s="125" t="e">
        <f>VLOOKUP(Table257519913140106110151155170178202[[#This Row],[PEG]],Table1016[#All],3,FALSE)</f>
        <v>#N/A</v>
      </c>
    </row>
    <row r="20" spans="1:5" x14ac:dyDescent="0.35">
      <c r="A20" s="118">
        <v>13</v>
      </c>
      <c r="B20" s="114" t="s">
        <v>114</v>
      </c>
      <c r="C20" s="109" t="e">
        <f>VLOOKUP(Table257519913140106110151155170178202[[#This Row],[PEG]],Table1016[#All],2,FALSE)</f>
        <v>#N/A</v>
      </c>
      <c r="D20" s="117"/>
      <c r="E20" s="125" t="e">
        <f>VLOOKUP(Table257519913140106110151155170178202[[#This Row],[PEG]],Table1016[#All],3,FALSE)</f>
        <v>#N/A</v>
      </c>
    </row>
    <row r="21" spans="1:5" x14ac:dyDescent="0.35">
      <c r="A21" s="118">
        <v>14</v>
      </c>
      <c r="B21" s="114" t="s">
        <v>12</v>
      </c>
      <c r="C21" s="109" t="e">
        <f>VLOOKUP(Table257519913140106110151155170178202[[#This Row],[PEG]],Table1016[#All],2,FALSE)</f>
        <v>#N/A</v>
      </c>
      <c r="D21" s="117"/>
      <c r="E21" s="125" t="e">
        <f>VLOOKUP(Table257519913140106110151155170178202[[#This Row],[PEG]],Table1016[#All],3,FALSE)</f>
        <v>#N/A</v>
      </c>
    </row>
    <row r="22" spans="1:5" x14ac:dyDescent="0.35">
      <c r="A22" s="118">
        <v>15</v>
      </c>
      <c r="B22" s="114" t="s">
        <v>12</v>
      </c>
      <c r="C22" s="109" t="e">
        <f>VLOOKUP(Table257519913140106110151155170178202[[#This Row],[PEG]],Table1016[#All],2,FALSE)</f>
        <v>#N/A</v>
      </c>
      <c r="D22" s="117"/>
      <c r="E22" s="125" t="e">
        <f>VLOOKUP(Table257519913140106110151155170178202[[#This Row],[PEG]],Table1016[#All],3,FALSE)</f>
        <v>#N/A</v>
      </c>
    </row>
    <row r="23" spans="1:5" x14ac:dyDescent="0.35">
      <c r="A23" s="118">
        <v>16</v>
      </c>
      <c r="B23" s="114" t="s">
        <v>115</v>
      </c>
      <c r="C23" s="109" t="e">
        <f>VLOOKUP(Table257519913140106110151155170178202[[#This Row],[PEG]],Table1016[#All],2,FALSE)</f>
        <v>#N/A</v>
      </c>
      <c r="D23" s="117"/>
      <c r="E23" s="125" t="e">
        <f>VLOOKUP(Table257519913140106110151155170178202[[#This Row],[PEG]],Table1016[#All],3,FALSE)</f>
        <v>#N/A</v>
      </c>
    </row>
    <row r="24" spans="1:5" x14ac:dyDescent="0.35">
      <c r="A24" s="118">
        <v>17</v>
      </c>
      <c r="B24" s="114" t="s">
        <v>114</v>
      </c>
      <c r="C24" s="109" t="e">
        <f>VLOOKUP(Table257519913140106110151155170178202[[#This Row],[PEG]],Table1016[#All],2,FALSE)</f>
        <v>#N/A</v>
      </c>
      <c r="D24" s="117"/>
      <c r="E24" s="125" t="e">
        <f>VLOOKUP(Table257519913140106110151155170178202[[#This Row],[PEG]],Table1016[#All],3,FALSE)</f>
        <v>#N/A</v>
      </c>
    </row>
    <row r="25" spans="1:5" x14ac:dyDescent="0.35">
      <c r="A25" s="118">
        <v>18</v>
      </c>
      <c r="B25" s="114" t="s">
        <v>12</v>
      </c>
      <c r="C25" s="109" t="e">
        <f>VLOOKUP(Table257519913140106110151155170178202[[#This Row],[PEG]],Table1016[#All],2,FALSE)</f>
        <v>#N/A</v>
      </c>
      <c r="D25" s="117"/>
      <c r="E25" s="125" t="e">
        <f>VLOOKUP(Table257519913140106110151155170178202[[#This Row],[PEG]],Table1016[#All],3,FALSE)</f>
        <v>#N/A</v>
      </c>
    </row>
    <row r="26" spans="1:5" x14ac:dyDescent="0.35">
      <c r="A26" s="118">
        <v>19</v>
      </c>
      <c r="B26" s="114" t="s">
        <v>12</v>
      </c>
      <c r="C26" s="109" t="e">
        <f>VLOOKUP(Table257519913140106110151155170178202[[#This Row],[PEG]],Table1016[#All],2,FALSE)</f>
        <v>#N/A</v>
      </c>
      <c r="D26" s="117"/>
      <c r="E26" s="125" t="e">
        <f>VLOOKUP(Table257519913140106110151155170178202[[#This Row],[PEG]],Table1016[#All],3,FALSE)</f>
        <v>#N/A</v>
      </c>
    </row>
    <row r="27" spans="1:5" x14ac:dyDescent="0.35">
      <c r="A27" s="118">
        <v>20</v>
      </c>
      <c r="B27" s="114" t="s">
        <v>115</v>
      </c>
      <c r="C27" s="109" t="e">
        <f>VLOOKUP(Table257519913140106110151155170178202[[#This Row],[PEG]],Table1016[#All],2,FALSE)</f>
        <v>#N/A</v>
      </c>
      <c r="D27" s="117"/>
      <c r="E27" s="125" t="e">
        <f>VLOOKUP(Table257519913140106110151155170178202[[#This Row],[PEG]],Table1016[#All],3,FALSE)</f>
        <v>#N/A</v>
      </c>
    </row>
    <row r="28" spans="1:5" x14ac:dyDescent="0.35">
      <c r="A28" s="118">
        <v>21</v>
      </c>
      <c r="B28" s="114" t="s">
        <v>114</v>
      </c>
      <c r="C28" s="109" t="e">
        <f>VLOOKUP(Table257519913140106110151155170178202[[#This Row],[PEG]],Table1016[#All],2,FALSE)</f>
        <v>#N/A</v>
      </c>
      <c r="D28" s="117"/>
      <c r="E28" s="125" t="e">
        <f>VLOOKUP(Table257519913140106110151155170178202[[#This Row],[PEG]],Table1016[#All],3,FALSE)</f>
        <v>#N/A</v>
      </c>
    </row>
    <row r="29" spans="1:5" x14ac:dyDescent="0.35">
      <c r="A29" s="118">
        <v>22</v>
      </c>
      <c r="B29" s="114" t="s">
        <v>12</v>
      </c>
      <c r="C29" s="109" t="e">
        <f>VLOOKUP(Table257519913140106110151155170178202[[#This Row],[PEG]],Table1016[#All],2,FALSE)</f>
        <v>#N/A</v>
      </c>
      <c r="D29" s="117"/>
      <c r="E29" s="125" t="e">
        <f>VLOOKUP(Table257519913140106110151155170178202[[#This Row],[PEG]],Table1016[#All],3,FALSE)</f>
        <v>#N/A</v>
      </c>
    </row>
    <row r="30" spans="1:5" x14ac:dyDescent="0.35">
      <c r="A30" s="118">
        <v>23</v>
      </c>
      <c r="B30" s="114" t="s">
        <v>12</v>
      </c>
      <c r="C30" s="109" t="e">
        <f>VLOOKUP(Table257519913140106110151155170178202[[#This Row],[PEG]],Table1016[#All],2,FALSE)</f>
        <v>#N/A</v>
      </c>
      <c r="D30" s="117"/>
      <c r="E30" s="125" t="e">
        <f>VLOOKUP(Table257519913140106110151155170178202[[#This Row],[PEG]],Table1016[#All],3,FALSE)</f>
        <v>#N/A</v>
      </c>
    </row>
    <row r="31" spans="1:5" x14ac:dyDescent="0.35">
      <c r="A31" s="118">
        <v>24</v>
      </c>
      <c r="B31" s="114" t="s">
        <v>115</v>
      </c>
      <c r="C31" s="109" t="e">
        <f>VLOOKUP(Table257519913140106110151155170178202[[#This Row],[PEG]],Table1016[#All],2,FALSE)</f>
        <v>#N/A</v>
      </c>
      <c r="D31" s="117"/>
      <c r="E31" s="125" t="e">
        <f>VLOOKUP(Table257519913140106110151155170178202[[#This Row],[PEG]],Table1016[#All],3,FALSE)</f>
        <v>#N/A</v>
      </c>
    </row>
    <row r="32" spans="1:5" x14ac:dyDescent="0.35">
      <c r="A32" s="118">
        <v>25</v>
      </c>
      <c r="B32" s="114" t="s">
        <v>115</v>
      </c>
      <c r="C32" s="109" t="e">
        <f>VLOOKUP(Table257519913140106110151155170178202[[#This Row],[PEG]],Table1016[#All],2,FALSE)</f>
        <v>#N/A</v>
      </c>
      <c r="D32" s="117"/>
      <c r="E32" s="125" t="e">
        <f>VLOOKUP(Table257519913140106110151155170178202[[#This Row],[PEG]],Table1016[#All],3,FALSE)</f>
        <v>#N/A</v>
      </c>
    </row>
    <row r="33" spans="1:5" x14ac:dyDescent="0.35">
      <c r="A33" s="118">
        <v>26</v>
      </c>
      <c r="B33" s="114" t="s">
        <v>124</v>
      </c>
      <c r="C33" s="109" t="e">
        <f>VLOOKUP(Table257519913140106110151155170178202[[#This Row],[PEG]],Table1016[#All],2,FALSE)</f>
        <v>#N/A</v>
      </c>
      <c r="D33" s="117"/>
      <c r="E33" s="125" t="e">
        <f>VLOOKUP(Table257519913140106110151155170178202[[#This Row],[PEG]],Table1016[#All],3,FALSE)</f>
        <v>#N/A</v>
      </c>
    </row>
    <row r="34" spans="1:5" x14ac:dyDescent="0.35">
      <c r="A34" s="118">
        <v>27</v>
      </c>
      <c r="B34" s="114" t="s">
        <v>115</v>
      </c>
      <c r="C34" s="109" t="e">
        <f>VLOOKUP(Table257519913140106110151155170178202[[#This Row],[PEG]],Table1016[#All],2,FALSE)</f>
        <v>#N/A</v>
      </c>
      <c r="D34" s="117"/>
      <c r="E34" s="125" t="e">
        <f>VLOOKUP(Table257519913140106110151155170178202[[#This Row],[PEG]],Table1016[#All],3,FALSE)</f>
        <v>#N/A</v>
      </c>
    </row>
    <row r="35" spans="1:5" x14ac:dyDescent="0.35">
      <c r="A35" s="118">
        <v>28</v>
      </c>
      <c r="B35" s="114" t="s">
        <v>124</v>
      </c>
      <c r="C35" s="109" t="e">
        <f>VLOOKUP(Table257519913140106110151155170178202[[#This Row],[PEG]],Table1016[#All],2,FALSE)</f>
        <v>#N/A</v>
      </c>
      <c r="D35" s="117"/>
      <c r="E35" s="125" t="e">
        <f>VLOOKUP(Table257519913140106110151155170178202[[#This Row],[PEG]],Table1016[#All],3,FALSE)</f>
        <v>#N/A</v>
      </c>
    </row>
    <row r="36" spans="1:5" x14ac:dyDescent="0.35">
      <c r="A36" s="118">
        <v>29</v>
      </c>
      <c r="B36" s="114" t="s">
        <v>115</v>
      </c>
      <c r="C36" s="109" t="e">
        <f>VLOOKUP(Table257519913140106110151155170178202[[#This Row],[PEG]],Table1016[#All],2,FALSE)</f>
        <v>#N/A</v>
      </c>
      <c r="D36" s="117"/>
      <c r="E36" s="125" t="e">
        <f>VLOOKUP(Table257519913140106110151155170178202[[#This Row],[PEG]],Table1016[#All],3,FALSE)</f>
        <v>#N/A</v>
      </c>
    </row>
    <row r="37" spans="1:5" x14ac:dyDescent="0.35">
      <c r="A37" s="118">
        <v>30</v>
      </c>
      <c r="B37" s="114" t="s">
        <v>12</v>
      </c>
      <c r="C37" s="109" t="e">
        <f>VLOOKUP(Table257519913140106110151155170178202[[#This Row],[PEG]],Table1016[#All],2,FALSE)</f>
        <v>#N/A</v>
      </c>
      <c r="D37" s="117"/>
      <c r="E37" s="125" t="e">
        <f>VLOOKUP(Table257519913140106110151155170178202[[#This Row],[PEG]],Table1016[#All],3,FALSE)</f>
        <v>#N/A</v>
      </c>
    </row>
    <row r="38" spans="1:5" x14ac:dyDescent="0.35">
      <c r="A38" s="118">
        <v>31</v>
      </c>
      <c r="B38" s="114" t="s">
        <v>12</v>
      </c>
      <c r="C38" s="109" t="e">
        <f>VLOOKUP(Table257519913140106110151155170178202[[#This Row],[PEG]],Table1016[#All],2,FALSE)</f>
        <v>#N/A</v>
      </c>
      <c r="D38" s="117"/>
      <c r="E38" s="125" t="e">
        <f>VLOOKUP(Table257519913140106110151155170178202[[#This Row],[PEG]],Table1016[#All],3,FALSE)</f>
        <v>#N/A</v>
      </c>
    </row>
    <row r="39" spans="1:5" x14ac:dyDescent="0.35">
      <c r="A39" s="118">
        <v>32</v>
      </c>
      <c r="B39" s="114" t="s">
        <v>12</v>
      </c>
      <c r="C39" s="109" t="e">
        <f>VLOOKUP(Table257519913140106110151155170178202[[#This Row],[PEG]],Table1016[#All],2,FALSE)</f>
        <v>#N/A</v>
      </c>
      <c r="D39" s="117"/>
      <c r="E39" s="125" t="e">
        <f>VLOOKUP(Table257519913140106110151155170178202[[#This Row],[PEG]],Table1016[#All],3,FALSE)</f>
        <v>#N/A</v>
      </c>
    </row>
    <row r="40" spans="1:5" x14ac:dyDescent="0.35">
      <c r="A40" s="118">
        <v>33</v>
      </c>
      <c r="B40" s="114" t="s">
        <v>12</v>
      </c>
      <c r="C40" s="109" t="e">
        <f>VLOOKUP(Table257519913140106110151155170178202[[#This Row],[PEG]],Table1016[#All],2,FALSE)</f>
        <v>#N/A</v>
      </c>
      <c r="D40" s="117"/>
      <c r="E40" s="125" t="e">
        <f>VLOOKUP(Table257519913140106110151155170178202[[#This Row],[PEG]],Table1016[#All],3,FALSE)</f>
        <v>#N/A</v>
      </c>
    </row>
    <row r="41" spans="1:5" x14ac:dyDescent="0.35">
      <c r="A41" s="118">
        <v>34</v>
      </c>
      <c r="B41" s="114" t="s">
        <v>115</v>
      </c>
      <c r="C41" s="109" t="e">
        <f>VLOOKUP(Table257519913140106110151155170178202[[#This Row],[PEG]],Table1016[#All],2,FALSE)</f>
        <v>#N/A</v>
      </c>
      <c r="D41" s="117"/>
      <c r="E41" s="125" t="e">
        <f>VLOOKUP(Table257519913140106110151155170178202[[#This Row],[PEG]],Table1016[#All],3,FALSE)</f>
        <v>#N/A</v>
      </c>
    </row>
    <row r="42" spans="1:5" x14ac:dyDescent="0.35">
      <c r="A42" s="118">
        <v>35</v>
      </c>
      <c r="B42" s="114" t="s">
        <v>12</v>
      </c>
      <c r="C42" s="109" t="e">
        <f>VLOOKUP(Table257519913140106110151155170178202[[#This Row],[PEG]],Table1016[#All],2,FALSE)</f>
        <v>#N/A</v>
      </c>
      <c r="D42" s="115"/>
      <c r="E42" s="125" t="e">
        <f>VLOOKUP(Table257519913140106110151155170178202[[#This Row],[PEG]],Table1016[#All],3,FALSE)</f>
        <v>#N/A</v>
      </c>
    </row>
    <row r="43" spans="1:5" x14ac:dyDescent="0.35">
      <c r="A43" s="118">
        <v>36</v>
      </c>
      <c r="B43" s="114" t="s">
        <v>115</v>
      </c>
      <c r="C43" s="109" t="e">
        <f>VLOOKUP(Table257519913140106110151155170178202[[#This Row],[PEG]],Table1016[#All],2,FALSE)</f>
        <v>#N/A</v>
      </c>
      <c r="D43" s="115"/>
      <c r="E43" s="125" t="e">
        <f>VLOOKUP(Table257519913140106110151155170178202[[#This Row],[PEG]],Table1016[#All],3,FALSE)</f>
        <v>#N/A</v>
      </c>
    </row>
    <row r="44" spans="1:5" x14ac:dyDescent="0.35">
      <c r="A44" s="118">
        <v>37</v>
      </c>
      <c r="B44" s="114" t="s">
        <v>13</v>
      </c>
      <c r="C44" s="18" t="s">
        <v>13</v>
      </c>
      <c r="D44" s="115"/>
      <c r="E44" s="32"/>
    </row>
  </sheetData>
  <mergeCells count="1">
    <mergeCell ref="A1:B1"/>
  </mergeCells>
  <conditionalFormatting sqref="B8:B18">
    <cfRule type="containsText" dxfId="925" priority="1" operator="containsText" text="Hear">
      <formula>NOT(ISERROR(SEARCH("Hear",B8)))</formula>
    </cfRule>
  </conditionalFormatting>
  <conditionalFormatting sqref="B30">
    <cfRule type="containsText" dxfId="924" priority="4" operator="containsText" text="Hear">
      <formula>NOT(ISERROR(SEARCH("Hear",B30)))</formula>
    </cfRule>
  </conditionalFormatting>
  <conditionalFormatting sqref="B43:B44">
    <cfRule type="containsText" dxfId="923" priority="8" operator="containsText" text="Hear">
      <formula>NOT(ISERROR(SEARCH("Hear",B43)))</formula>
    </cfRule>
  </conditionalFormatting>
  <conditionalFormatting sqref="E44">
    <cfRule type="containsText" dxfId="922" priority="6" operator="containsText" text="WEB SERVICE">
      <formula>NOT(ISERROR(SEARCH("WEB SERVICE",E44)))</formula>
    </cfRule>
    <cfRule type="containsText" dxfId="921" priority="7" operator="containsText" text="DB">
      <formula>NOT(ISERROR(SEARCH("DB",E44)))</formula>
    </cfRule>
  </conditionalFormatting>
  <conditionalFormatting sqref="C44">
    <cfRule type="expression" dxfId="920" priority="9">
      <formula>$B44="HANGUP"</formula>
    </cfRule>
    <cfRule type="expression" dxfId="919" priority="9">
      <formula>$B44="Dial"</formula>
    </cfRule>
  </conditionalFormatting>
  <conditionalFormatting sqref="C44">
    <cfRule type="expression" dxfId="918" priority="3">
      <formula>$B44="Speak"</formula>
    </cfRule>
  </conditionalFormatting>
  <conditionalFormatting sqref="B36:B38 B40:B41">
    <cfRule type="containsText" dxfId="917" priority="2" operator="containsText" text="Hear">
      <formula>NOT(ISERROR(SEARCH("Hear",B36)))</formula>
    </cfRule>
  </conditionalFormatting>
  <conditionalFormatting sqref="B19:B29 B31:B35 B42">
    <cfRule type="containsText" dxfId="916" priority="5" operator="containsText" text="Hear">
      <formula>NOT(ISERROR(SEARCH("Hear",B19)))</formula>
    </cfRule>
  </conditionalFormatting>
  <hyperlinks>
    <hyperlink ref="A1" location="'Test Case Overview'!A1" display="Return to Test Case Overview" xr:uid="{29855F11-3709-488A-8F58-268B06222368}"/>
  </hyperlinks>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expression" priority="10" id="{FC4769FD-2062-4662-AA8F-671D31FC7321}">
            <xm:f>'TC1'!$B8="Dial"</xm:f>
            <x14:dxf>
              <font>
                <b/>
                <i val="0"/>
                <color rgb="FFFF0000"/>
              </font>
            </x14:dxf>
          </x14:cfRule>
          <x14:cfRule type="expression" priority="10" id="{DCFD6B69-6601-49FD-A0DF-61A0C9E86CE6}">
            <xm:f>'TC1'!$B8="HANGUP"</xm:f>
            <x14:dxf>
              <font>
                <b/>
                <i val="0"/>
              </font>
            </x14:dxf>
          </x14:cfRule>
          <xm:sqref>C8</xm:sqref>
        </x14:conditionalFormatting>
        <x14:conditionalFormatting xmlns:xm="http://schemas.microsoft.com/office/excel/2006/main">
          <x14:cfRule type="expression" priority="11" id="{37D0A747-A85C-468C-9288-8BEC2AB30E3C}">
            <xm:f>'TC1'!$B8="Speak"</xm:f>
            <x14:dxf>
              <font>
                <b/>
                <i val="0"/>
                <color rgb="FFFF0000"/>
              </font>
            </x14:dxf>
          </x14:cfRule>
          <xm:sqref>C8</xm:sqref>
        </x14:conditionalFormatting>
        <x14:conditionalFormatting xmlns:xm="http://schemas.microsoft.com/office/excel/2006/main">
          <x14:cfRule type="containsText" priority="14" operator="containsText" text="Hear" id="{CE5328FD-BA04-49EB-B764-6C421FD6D8CE}">
            <xm:f>NOT(ISERROR(SEARCH("Hear",'TC3'!B34)))</xm:f>
            <x14:dxf>
              <font>
                <color theme="9" tint="-0.24994659260841701"/>
              </font>
              <fill>
                <patternFill>
                  <bgColor theme="9" tint="0.59996337778862885"/>
                </patternFill>
              </fill>
            </x14:dxf>
          </x14:cfRule>
          <xm:sqref>B41</xm:sqref>
        </x14:conditionalFormatting>
        <x14:conditionalFormatting xmlns:xm="http://schemas.microsoft.com/office/excel/2006/main">
          <x14:cfRule type="expression" priority="3203" id="{FC4769FD-2062-4662-AA8F-671D31FC7321}">
            <xm:f>'TC1'!$B16="Dial"</xm:f>
            <x14:dxf>
              <font>
                <b/>
                <i val="0"/>
                <color rgb="FFFF0000"/>
              </font>
            </x14:dxf>
          </x14:cfRule>
          <x14:cfRule type="expression" priority="3204" id="{DCFD6B69-6601-49FD-A0DF-61A0C9E86CE6}">
            <xm:f>'TC1'!$B16="HANGUP"</xm:f>
            <x14:dxf>
              <font>
                <b/>
                <i val="0"/>
              </font>
            </x14:dxf>
          </x14:cfRule>
          <xm:sqref>C34:C43</xm:sqref>
        </x14:conditionalFormatting>
        <x14:conditionalFormatting xmlns:xm="http://schemas.microsoft.com/office/excel/2006/main">
          <x14:cfRule type="expression" priority="3205" id="{FC4769FD-2062-4662-AA8F-671D31FC7321}">
            <xm:f>'TC1'!#REF!="Dial"</xm:f>
            <x14:dxf>
              <font>
                <b/>
                <i val="0"/>
                <color rgb="FFFF0000"/>
              </font>
            </x14:dxf>
          </x14:cfRule>
          <x14:cfRule type="expression" priority="3206" id="{DCFD6B69-6601-49FD-A0DF-61A0C9E86CE6}">
            <xm:f>'TC1'!#REF!="HANGUP"</xm:f>
            <x14:dxf>
              <font>
                <b/>
                <i val="0"/>
              </font>
            </x14:dxf>
          </x14:cfRule>
          <xm:sqref>C17:C33</xm:sqref>
        </x14:conditionalFormatting>
        <x14:conditionalFormatting xmlns:xm="http://schemas.microsoft.com/office/excel/2006/main">
          <x14:cfRule type="expression" priority="3210" id="{37D0A747-A85C-468C-9288-8BEC2AB30E3C}">
            <xm:f>'TC1'!$B16="Speak"</xm:f>
            <x14:dxf>
              <font>
                <b/>
                <i val="0"/>
                <color rgb="FFFF0000"/>
              </font>
            </x14:dxf>
          </x14:cfRule>
          <xm:sqref>C34:C43</xm:sqref>
        </x14:conditionalFormatting>
        <x14:conditionalFormatting xmlns:xm="http://schemas.microsoft.com/office/excel/2006/main">
          <x14:cfRule type="expression" priority="3211" id="{37D0A747-A85C-468C-9288-8BEC2AB30E3C}">
            <xm:f>'TC1'!#REF!="Speak"</xm:f>
            <x14:dxf>
              <font>
                <b/>
                <i val="0"/>
                <color rgb="FFFF0000"/>
              </font>
            </x14:dxf>
          </x14:cfRule>
          <xm:sqref>C17:C33</xm:sqref>
        </x14:conditionalFormatting>
        <x14:conditionalFormatting xmlns:xm="http://schemas.microsoft.com/office/excel/2006/main">
          <x14:cfRule type="containsText" priority="3215" operator="containsText" text="DB" id="{7CA268D7-C101-480A-9692-9730F4A34997}">
            <xm:f>NOT(ISERROR(SEARCH("DB",'TC1'!E16)))</xm:f>
            <x14:dxf>
              <font>
                <color rgb="FF006100"/>
              </font>
              <fill>
                <patternFill>
                  <bgColor rgb="FFC6EFCE"/>
                </patternFill>
              </fill>
            </x14:dxf>
          </x14:cfRule>
          <x14:cfRule type="containsText" priority="3216" operator="containsText" text="WEB SERVICE" id="{FC9E33E6-D103-4162-B252-AE685112591F}">
            <xm:f>NOT(ISERROR(SEARCH("WEB SERVICE",'TC1'!E16)))</xm:f>
            <x14:dxf>
              <font>
                <color rgb="FF9C0006"/>
              </font>
              <fill>
                <patternFill>
                  <bgColor rgb="FFFFC7CE"/>
                </patternFill>
              </fill>
            </x14:dxf>
          </x14:cfRule>
          <xm:sqref>E34:E43</xm:sqref>
        </x14:conditionalFormatting>
        <x14:conditionalFormatting xmlns:xm="http://schemas.microsoft.com/office/excel/2006/main">
          <x14:cfRule type="containsText" priority="3217" operator="containsText" text="DB" id="{7CA268D7-C101-480A-9692-9730F4A34997}">
            <xm:f>NOT(ISERROR(SEARCH("DB",'TC1'!#REF!)))</xm:f>
            <x14:dxf>
              <font>
                <color rgb="FF006100"/>
              </font>
              <fill>
                <patternFill>
                  <bgColor rgb="FFC6EFCE"/>
                </patternFill>
              </fill>
            </x14:dxf>
          </x14:cfRule>
          <x14:cfRule type="containsText" priority="3218" operator="containsText" text="WEB SERVICE" id="{FC9E33E6-D103-4162-B252-AE685112591F}">
            <xm:f>NOT(ISERROR(SEARCH("WEB SERVICE",'TC1'!#REF!)))</xm:f>
            <x14:dxf>
              <font>
                <color rgb="FF9C0006"/>
              </font>
              <fill>
                <patternFill>
                  <bgColor rgb="FFFFC7CE"/>
                </patternFill>
              </fill>
            </x14:dxf>
          </x14:cfRule>
          <xm:sqref>E17:E33</xm:sqref>
        </x14:conditionalFormatting>
        <x14:conditionalFormatting xmlns:xm="http://schemas.microsoft.com/office/excel/2006/main">
          <x14:cfRule type="expression" priority="5821" id="{FC4769FD-2062-4662-AA8F-671D31FC7321}">
            <xm:f>'TC1'!$B9="Dial"</xm:f>
            <x14:dxf>
              <font>
                <b/>
                <i val="0"/>
                <color rgb="FFFF0000"/>
              </font>
            </x14:dxf>
          </x14:cfRule>
          <x14:cfRule type="expression" priority="5822" id="{DCFD6B69-6601-49FD-A0DF-61A0C9E86CE6}">
            <xm:f>'TC1'!$B9="HANGUP"</xm:f>
            <x14:dxf>
              <font>
                <b/>
                <i val="0"/>
              </font>
            </x14:dxf>
          </x14:cfRule>
          <xm:sqref>C12:C15</xm:sqref>
        </x14:conditionalFormatting>
        <x14:conditionalFormatting xmlns:xm="http://schemas.microsoft.com/office/excel/2006/main">
          <x14:cfRule type="expression" priority="5823" id="{FC4769FD-2062-4662-AA8F-671D31FC7321}">
            <xm:f>'TC1'!#REF!="Dial"</xm:f>
            <x14:dxf>
              <font>
                <b/>
                <i val="0"/>
                <color rgb="FFFF0000"/>
              </font>
            </x14:dxf>
          </x14:cfRule>
          <x14:cfRule type="expression" priority="5824" id="{DCFD6B69-6601-49FD-A0DF-61A0C9E86CE6}">
            <xm:f>'TC1'!#REF!="HANGUP"</xm:f>
            <x14:dxf>
              <font>
                <b/>
                <i val="0"/>
              </font>
            </x14:dxf>
          </x14:cfRule>
          <xm:sqref>C9:C11</xm:sqref>
        </x14:conditionalFormatting>
        <x14:conditionalFormatting xmlns:xm="http://schemas.microsoft.com/office/excel/2006/main">
          <x14:cfRule type="expression" priority="5828" id="{37D0A747-A85C-468C-9288-8BEC2AB30E3C}">
            <xm:f>'TC1'!$B9="Speak"</xm:f>
            <x14:dxf>
              <font>
                <b/>
                <i val="0"/>
                <color rgb="FFFF0000"/>
              </font>
            </x14:dxf>
          </x14:cfRule>
          <xm:sqref>C12:C15</xm:sqref>
        </x14:conditionalFormatting>
        <x14:conditionalFormatting xmlns:xm="http://schemas.microsoft.com/office/excel/2006/main">
          <x14:cfRule type="expression" priority="5829" id="{37D0A747-A85C-468C-9288-8BEC2AB30E3C}">
            <xm:f>'TC1'!#REF!="Speak"</xm:f>
            <x14:dxf>
              <font>
                <b/>
                <i val="0"/>
                <color rgb="FFFF0000"/>
              </font>
            </x14:dxf>
          </x14:cfRule>
          <xm:sqref>C9:C11</xm:sqref>
        </x14:conditionalFormatting>
        <x14:conditionalFormatting xmlns:xm="http://schemas.microsoft.com/office/excel/2006/main">
          <x14:cfRule type="containsText" priority="5831" operator="containsText" text="DB" id="{7CA268D7-C101-480A-9692-9730F4A34997}">
            <xm:f>NOT(ISERROR(SEARCH("DB",'TC1'!#REF!)))</xm:f>
            <x14:dxf>
              <font>
                <color rgb="FF006100"/>
              </font>
              <fill>
                <patternFill>
                  <bgColor rgb="FFC6EFCE"/>
                </patternFill>
              </fill>
            </x14:dxf>
          </x14:cfRule>
          <x14:cfRule type="containsText" priority="5832" operator="containsText" text="WEB SERVICE" id="{FC9E33E6-D103-4162-B252-AE685112591F}">
            <xm:f>NOT(ISERROR(SEARCH("WEB SERVICE",'TC1'!#REF!)))</xm:f>
            <x14:dxf>
              <font>
                <color rgb="FF9C0006"/>
              </font>
              <fill>
                <patternFill>
                  <bgColor rgb="FFFFC7CE"/>
                </patternFill>
              </fill>
            </x14:dxf>
          </x14:cfRule>
          <xm:sqref>E9:E11</xm:sqref>
        </x14:conditionalFormatting>
        <x14:conditionalFormatting xmlns:xm="http://schemas.microsoft.com/office/excel/2006/main">
          <x14:cfRule type="containsText" priority="5833" operator="containsText" text="DB" id="{7CA268D7-C101-480A-9692-9730F4A34997}">
            <xm:f>NOT(ISERROR(SEARCH("DB",'TC1'!E9)))</xm:f>
            <x14:dxf>
              <font>
                <color rgb="FF006100"/>
              </font>
              <fill>
                <patternFill>
                  <bgColor rgb="FFC6EFCE"/>
                </patternFill>
              </fill>
            </x14:dxf>
          </x14:cfRule>
          <x14:cfRule type="containsText" priority="5834" operator="containsText" text="WEB SERVICE" id="{FC9E33E6-D103-4162-B252-AE685112591F}">
            <xm:f>NOT(ISERROR(SEARCH("WEB SERVICE",'TC1'!E9)))</xm:f>
            <x14:dxf>
              <font>
                <color rgb="FF9C0006"/>
              </font>
              <fill>
                <patternFill>
                  <bgColor rgb="FFFFC7CE"/>
                </patternFill>
              </fill>
            </x14:dxf>
          </x14:cfRule>
          <xm:sqref>E12:E15</xm:sqref>
        </x14:conditionalFormatting>
        <x14:conditionalFormatting xmlns:xm="http://schemas.microsoft.com/office/excel/2006/main">
          <x14:cfRule type="expression" priority="8030" id="{FC4769FD-2062-4662-AA8F-671D31FC7321}">
            <xm:f>'TC1'!$B15="Dial"</xm:f>
            <x14:dxf>
              <font>
                <b/>
                <i val="0"/>
                <color rgb="FFFF0000"/>
              </font>
            </x14:dxf>
          </x14:cfRule>
          <x14:cfRule type="expression" priority="8031" id="{DCFD6B69-6601-49FD-A0DF-61A0C9E86CE6}">
            <xm:f>'TC1'!$B15="HANGUP"</xm:f>
            <x14:dxf>
              <font>
                <b/>
                <i val="0"/>
              </font>
            </x14:dxf>
          </x14:cfRule>
          <xm:sqref>C16</xm:sqref>
        </x14:conditionalFormatting>
        <x14:conditionalFormatting xmlns:xm="http://schemas.microsoft.com/office/excel/2006/main">
          <x14:cfRule type="expression" priority="8033" id="{37D0A747-A85C-468C-9288-8BEC2AB30E3C}">
            <xm:f>'TC1'!$B15="Speak"</xm:f>
            <x14:dxf>
              <font>
                <b/>
                <i val="0"/>
                <color rgb="FFFF0000"/>
              </font>
            </x14:dxf>
          </x14:cfRule>
          <xm:sqref>C16</xm:sqref>
        </x14:conditionalFormatting>
        <x14:conditionalFormatting xmlns:xm="http://schemas.microsoft.com/office/excel/2006/main">
          <x14:cfRule type="containsText" priority="8036" operator="containsText" text="DB" id="{7CA268D7-C101-480A-9692-9730F4A34997}">
            <xm:f>NOT(ISERROR(SEARCH("DB",'TC1'!E15)))</xm:f>
            <x14:dxf>
              <font>
                <color rgb="FF006100"/>
              </font>
              <fill>
                <patternFill>
                  <bgColor rgb="FFC6EFCE"/>
                </patternFill>
              </fill>
            </x14:dxf>
          </x14:cfRule>
          <x14:cfRule type="containsText" priority="8037" operator="containsText" text="WEB SERVICE" id="{FC9E33E6-D103-4162-B252-AE685112591F}">
            <xm:f>NOT(ISERROR(SEARCH("WEB SERVICE",'TC1'!E15)))</xm:f>
            <x14:dxf>
              <font>
                <color rgb="FF9C0006"/>
              </font>
              <fill>
                <patternFill>
                  <bgColor rgb="FFFFC7CE"/>
                </patternFill>
              </fill>
            </x14:dxf>
          </x14:cfRule>
          <xm:sqref>E16</xm:sqref>
        </x14:conditionalFormatting>
        <x14:conditionalFormatting xmlns:xm="http://schemas.microsoft.com/office/excel/2006/main">
          <x14:cfRule type="containsText" priority="10774" operator="containsText" text="Hear" id="{CD41E4E0-82A1-4D5E-8A25-805FE41C7041}">
            <xm:f>NOT(ISERROR(SEARCH("Hear",'TC26'!#REF!)))</xm:f>
            <x14:dxf>
              <font>
                <color theme="9" tint="-0.24994659260841701"/>
              </font>
              <fill>
                <patternFill>
                  <bgColor theme="9" tint="0.59996337778862885"/>
                </patternFill>
              </fill>
            </x14:dxf>
          </x14:cfRule>
          <xm:sqref>B39</xm:sqref>
        </x14:conditionalFormatting>
      </x14:conditionalFormattings>
    </ext>
  </extLst>
</worksheet>
</file>

<file path=xl/worksheets/sheet1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400-000000000000}">
  <sheetPr codeName="Sheet150"/>
  <dimension ref="A1:E44"/>
  <sheetViews>
    <sheetView zoomScaleNormal="100" workbookViewId="0">
      <selection sqref="A1:E44"/>
    </sheetView>
  </sheetViews>
  <sheetFormatPr defaultRowHeight="14.5" x14ac:dyDescent="0.35"/>
  <cols>
    <col min="1" max="1" width="14.453125" bestFit="1" customWidth="1"/>
    <col min="2" max="2" width="42.6328125" customWidth="1"/>
    <col min="3" max="3" width="106.1796875" customWidth="1"/>
    <col min="4" max="4" width="21.81640625" bestFit="1" customWidth="1"/>
    <col min="5" max="5" width="20.6328125" customWidth="1"/>
  </cols>
  <sheetData>
    <row r="1" spans="1:5" ht="18.5" x14ac:dyDescent="0.35">
      <c r="A1" s="192" t="s">
        <v>4</v>
      </c>
      <c r="B1" s="192"/>
      <c r="C1" s="105"/>
      <c r="D1" s="111"/>
      <c r="E1" s="97"/>
    </row>
    <row r="2" spans="1:5" x14ac:dyDescent="0.35">
      <c r="A2" s="106" t="s">
        <v>5</v>
      </c>
      <c r="B2" s="107" t="str">
        <f ca="1">MID(CELL("filename",A1),FIND("]",CELL("filename",A1))+1,LEN(CELL("filename",A1))-FIND("]",CELL("filename",A1)))</f>
        <v>TC148</v>
      </c>
      <c r="C2" s="98"/>
      <c r="D2" s="111"/>
      <c r="E2" s="97"/>
    </row>
    <row r="3" spans="1:5" x14ac:dyDescent="0.35">
      <c r="A3" s="104" t="s">
        <v>19</v>
      </c>
      <c r="B3" s="112" t="e">
        <f ca="1">VLOOKUP(B2,Table53[#All],2,FALSE)</f>
        <v>#N/A</v>
      </c>
      <c r="C3" s="98"/>
      <c r="D3" s="111"/>
      <c r="E3" s="97"/>
    </row>
    <row r="4" spans="1:5" ht="29" x14ac:dyDescent="0.35">
      <c r="A4" s="113" t="s">
        <v>20</v>
      </c>
      <c r="B4" s="99" t="e">
        <f ca="1">VLOOKUP(B2,Table53[#All],4,FALSE)</f>
        <v>#N/A</v>
      </c>
      <c r="C4" s="98"/>
      <c r="D4" s="111"/>
      <c r="E4" s="97"/>
    </row>
    <row r="5" spans="1:5" x14ac:dyDescent="0.35">
      <c r="A5" s="104" t="s">
        <v>6</v>
      </c>
      <c r="B5" s="77" t="e">
        <f ca="1">VLOOKUP(B2,Table53[#All],3,FALSE)</f>
        <v>#N/A</v>
      </c>
      <c r="C5" s="98"/>
      <c r="D5" s="111"/>
      <c r="E5" s="97"/>
    </row>
    <row r="6" spans="1:5" x14ac:dyDescent="0.35">
      <c r="A6" s="97"/>
      <c r="B6" s="97"/>
      <c r="C6" s="98"/>
      <c r="D6" s="111"/>
      <c r="E6" s="97"/>
    </row>
    <row r="7" spans="1:5" ht="15.5" x14ac:dyDescent="0.35">
      <c r="A7" s="100" t="s">
        <v>7</v>
      </c>
      <c r="B7" s="101" t="s">
        <v>8</v>
      </c>
      <c r="C7" s="102" t="s">
        <v>9</v>
      </c>
      <c r="D7" s="102" t="s">
        <v>14</v>
      </c>
      <c r="E7" s="103" t="s">
        <v>10</v>
      </c>
    </row>
    <row r="8" spans="1:5" x14ac:dyDescent="0.35">
      <c r="A8" s="118">
        <v>1</v>
      </c>
      <c r="B8" s="114" t="s">
        <v>114</v>
      </c>
      <c r="C8" s="109" t="s">
        <v>125</v>
      </c>
      <c r="D8" s="128"/>
      <c r="E8" s="125" t="s">
        <v>11</v>
      </c>
    </row>
    <row r="9" spans="1:5" x14ac:dyDescent="0.35">
      <c r="A9" s="118">
        <v>2</v>
      </c>
      <c r="B9" s="114" t="s">
        <v>12</v>
      </c>
      <c r="C9" s="109" t="e">
        <f>VLOOKUP(Table257519913140106110151155170178204[[#This Row],[PEG]],Table1016[#All],2,FALSE)</f>
        <v>#N/A</v>
      </c>
      <c r="D9" s="128"/>
      <c r="E9" s="125" t="e">
        <f>VLOOKUP(Table257519913140106110151155170178204[[#This Row],[PEG]],Table1016[#All],3,FALSE)</f>
        <v>#N/A</v>
      </c>
    </row>
    <row r="10" spans="1:5" x14ac:dyDescent="0.35">
      <c r="A10" s="118">
        <v>3</v>
      </c>
      <c r="B10" s="114" t="s">
        <v>115</v>
      </c>
      <c r="C10" s="109" t="e">
        <f>VLOOKUP(Table257519913140106110151155170178204[[#This Row],[PEG]],Table1016[#All],2,FALSE)</f>
        <v>#N/A</v>
      </c>
      <c r="D10" s="128"/>
      <c r="E10" s="125" t="e">
        <f>VLOOKUP(Table257519913140106110151155170178204[[#This Row],[PEG]],Table1016[#All],3,FALSE)</f>
        <v>#N/A</v>
      </c>
    </row>
    <row r="11" spans="1:5" x14ac:dyDescent="0.35">
      <c r="A11" s="118">
        <v>4</v>
      </c>
      <c r="B11" s="114" t="s">
        <v>115</v>
      </c>
      <c r="C11" s="109" t="e">
        <f>VLOOKUP(Table257519913140106110151155170178204[[#This Row],[PEG]],Table1016[#All],2,FALSE)</f>
        <v>#N/A</v>
      </c>
      <c r="D11" s="128"/>
      <c r="E11" s="125" t="e">
        <f>VLOOKUP(Table257519913140106110151155170178204[[#This Row],[PEG]],Table1016[#All],3,FALSE)</f>
        <v>#N/A</v>
      </c>
    </row>
    <row r="12" spans="1:5" x14ac:dyDescent="0.35">
      <c r="A12" s="118">
        <v>5</v>
      </c>
      <c r="B12" s="114" t="s">
        <v>114</v>
      </c>
      <c r="C12" s="109" t="e">
        <f>VLOOKUP(Table257519913140106110151155170178204[[#This Row],[PEG]],Table1016[#All],2,FALSE)</f>
        <v>#N/A</v>
      </c>
      <c r="D12" s="128"/>
      <c r="E12" s="125" t="e">
        <f>VLOOKUP(Table257519913140106110151155170178204[[#This Row],[PEG]],Table1016[#All],3,FALSE)</f>
        <v>#N/A</v>
      </c>
    </row>
    <row r="13" spans="1:5" x14ac:dyDescent="0.35">
      <c r="A13" s="118">
        <v>6</v>
      </c>
      <c r="B13" s="114" t="s">
        <v>115</v>
      </c>
      <c r="C13" s="109" t="e">
        <f>VLOOKUP(Table257519913140106110151155170178204[[#This Row],[PEG]],Table1016[#All],2,FALSE)</f>
        <v>#N/A</v>
      </c>
      <c r="D13" s="128"/>
      <c r="E13" s="125" t="e">
        <f>VLOOKUP(Table257519913140106110151155170178204[[#This Row],[PEG]],Table1016[#All],3,FALSE)</f>
        <v>#N/A</v>
      </c>
    </row>
    <row r="14" spans="1:5" x14ac:dyDescent="0.35">
      <c r="A14" s="118">
        <v>7</v>
      </c>
      <c r="B14" s="114" t="s">
        <v>114</v>
      </c>
      <c r="C14" s="109" t="e">
        <f>VLOOKUP(Table257519913140106110151155170178204[[#This Row],[PEG]],Table1016[#All],2,FALSE)</f>
        <v>#N/A</v>
      </c>
      <c r="D14" s="128"/>
      <c r="E14" s="125" t="e">
        <f>VLOOKUP(Table257519913140106110151155170178204[[#This Row],[PEG]],Table1016[#All],3,FALSE)</f>
        <v>#N/A</v>
      </c>
    </row>
    <row r="15" spans="1:5" x14ac:dyDescent="0.35">
      <c r="A15" s="118">
        <v>8</v>
      </c>
      <c r="B15" s="114" t="s">
        <v>115</v>
      </c>
      <c r="C15" s="109" t="e">
        <f>VLOOKUP(Table257519913140106110151155170178204[[#This Row],[PEG]],Table1016[#All],2,FALSE)</f>
        <v>#N/A</v>
      </c>
      <c r="D15" s="116"/>
      <c r="E15" s="125" t="e">
        <f>VLOOKUP(Table257519913140106110151155170178204[[#This Row],[PEG]],Table1016[#All],3,FALSE)</f>
        <v>#N/A</v>
      </c>
    </row>
    <row r="16" spans="1:5" x14ac:dyDescent="0.35">
      <c r="A16" s="118">
        <v>9</v>
      </c>
      <c r="B16" s="114" t="s">
        <v>12</v>
      </c>
      <c r="C16" s="109" t="e">
        <f>VLOOKUP(Table257519913140106110151155170178204[[#This Row],[PEG]],Table1016[#All],2,FALSE)</f>
        <v>#N/A</v>
      </c>
      <c r="D16" s="116"/>
      <c r="E16" s="125" t="e">
        <f>VLOOKUP(Table257519913140106110151155170178204[[#This Row],[PEG]],Table1016[#All],3,FALSE)</f>
        <v>#N/A</v>
      </c>
    </row>
    <row r="17" spans="1:5" x14ac:dyDescent="0.35">
      <c r="A17" s="118">
        <v>10</v>
      </c>
      <c r="B17" s="114" t="s">
        <v>12</v>
      </c>
      <c r="C17" s="109" t="e">
        <f>VLOOKUP(Table257519913140106110151155170178204[[#This Row],[PEG]],Table1016[#All],2,FALSE)</f>
        <v>#N/A</v>
      </c>
      <c r="D17" s="117"/>
      <c r="E17" s="125" t="e">
        <f>VLOOKUP(Table257519913140106110151155170178204[[#This Row],[PEG]],Table1016[#All],3,FALSE)</f>
        <v>#N/A</v>
      </c>
    </row>
    <row r="18" spans="1:5" x14ac:dyDescent="0.35">
      <c r="A18" s="118">
        <v>11</v>
      </c>
      <c r="B18" s="114" t="s">
        <v>115</v>
      </c>
      <c r="C18" s="109" t="e">
        <f>VLOOKUP(Table257519913140106110151155170178204[[#This Row],[PEG]],Table1016[#All],2,FALSE)</f>
        <v>#N/A</v>
      </c>
      <c r="D18" s="117"/>
      <c r="E18" s="125" t="e">
        <f>VLOOKUP(Table257519913140106110151155170178204[[#This Row],[PEG]],Table1016[#All],3,FALSE)</f>
        <v>#N/A</v>
      </c>
    </row>
    <row r="19" spans="1:5" x14ac:dyDescent="0.35">
      <c r="A19" s="118">
        <v>12</v>
      </c>
      <c r="B19" s="114" t="s">
        <v>115</v>
      </c>
      <c r="C19" s="109" t="e">
        <f>VLOOKUP(Table257519913140106110151155170178204[[#This Row],[PEG]],Table1016[#All],2,FALSE)</f>
        <v>#N/A</v>
      </c>
      <c r="D19" s="117"/>
      <c r="E19" s="125" t="e">
        <f>VLOOKUP(Table257519913140106110151155170178204[[#This Row],[PEG]],Table1016[#All],3,FALSE)</f>
        <v>#N/A</v>
      </c>
    </row>
    <row r="20" spans="1:5" x14ac:dyDescent="0.35">
      <c r="A20" s="118">
        <v>13</v>
      </c>
      <c r="B20" s="114" t="s">
        <v>114</v>
      </c>
      <c r="C20" s="109" t="e">
        <f>VLOOKUP(Table257519913140106110151155170178204[[#This Row],[PEG]],Table1016[#All],2,FALSE)</f>
        <v>#N/A</v>
      </c>
      <c r="D20" s="117"/>
      <c r="E20" s="125" t="e">
        <f>VLOOKUP(Table257519913140106110151155170178204[[#This Row],[PEG]],Table1016[#All],3,FALSE)</f>
        <v>#N/A</v>
      </c>
    </row>
    <row r="21" spans="1:5" x14ac:dyDescent="0.35">
      <c r="A21" s="118">
        <v>14</v>
      </c>
      <c r="B21" s="114" t="s">
        <v>12</v>
      </c>
      <c r="C21" s="109" t="e">
        <f>VLOOKUP(Table257519913140106110151155170178204[[#This Row],[PEG]],Table1016[#All],2,FALSE)</f>
        <v>#N/A</v>
      </c>
      <c r="D21" s="117"/>
      <c r="E21" s="125" t="e">
        <f>VLOOKUP(Table257519913140106110151155170178204[[#This Row],[PEG]],Table1016[#All],3,FALSE)</f>
        <v>#N/A</v>
      </c>
    </row>
    <row r="22" spans="1:5" x14ac:dyDescent="0.35">
      <c r="A22" s="118">
        <v>15</v>
      </c>
      <c r="B22" s="114" t="s">
        <v>12</v>
      </c>
      <c r="C22" s="109" t="e">
        <f>VLOOKUP(Table257519913140106110151155170178204[[#This Row],[PEG]],Table1016[#All],2,FALSE)</f>
        <v>#N/A</v>
      </c>
      <c r="D22" s="117"/>
      <c r="E22" s="125" t="e">
        <f>VLOOKUP(Table257519913140106110151155170178204[[#This Row],[PEG]],Table1016[#All],3,FALSE)</f>
        <v>#N/A</v>
      </c>
    </row>
    <row r="23" spans="1:5" x14ac:dyDescent="0.35">
      <c r="A23" s="118">
        <v>16</v>
      </c>
      <c r="B23" s="114" t="s">
        <v>115</v>
      </c>
      <c r="C23" s="109" t="e">
        <f>VLOOKUP(Table257519913140106110151155170178204[[#This Row],[PEG]],Table1016[#All],2,FALSE)</f>
        <v>#N/A</v>
      </c>
      <c r="D23" s="117"/>
      <c r="E23" s="125" t="e">
        <f>VLOOKUP(Table257519913140106110151155170178204[[#This Row],[PEG]],Table1016[#All],3,FALSE)</f>
        <v>#N/A</v>
      </c>
    </row>
    <row r="24" spans="1:5" x14ac:dyDescent="0.35">
      <c r="A24" s="118">
        <v>17</v>
      </c>
      <c r="B24" s="114" t="s">
        <v>114</v>
      </c>
      <c r="C24" s="109" t="e">
        <f>VLOOKUP(Table257519913140106110151155170178204[[#This Row],[PEG]],Table1016[#All],2,FALSE)</f>
        <v>#N/A</v>
      </c>
      <c r="D24" s="117"/>
      <c r="E24" s="125" t="e">
        <f>VLOOKUP(Table257519913140106110151155170178204[[#This Row],[PEG]],Table1016[#All],3,FALSE)</f>
        <v>#N/A</v>
      </c>
    </row>
    <row r="25" spans="1:5" x14ac:dyDescent="0.35">
      <c r="A25" s="118">
        <v>18</v>
      </c>
      <c r="B25" s="114" t="s">
        <v>12</v>
      </c>
      <c r="C25" s="109" t="e">
        <f>VLOOKUP(Table257519913140106110151155170178204[[#This Row],[PEG]],Table1016[#All],2,FALSE)</f>
        <v>#N/A</v>
      </c>
      <c r="D25" s="117"/>
      <c r="E25" s="125" t="e">
        <f>VLOOKUP(Table257519913140106110151155170178204[[#This Row],[PEG]],Table1016[#All],3,FALSE)</f>
        <v>#N/A</v>
      </c>
    </row>
    <row r="26" spans="1:5" x14ac:dyDescent="0.35">
      <c r="A26" s="118">
        <v>19</v>
      </c>
      <c r="B26" s="114" t="s">
        <v>12</v>
      </c>
      <c r="C26" s="109" t="e">
        <f>VLOOKUP(Table257519913140106110151155170178204[[#This Row],[PEG]],Table1016[#All],2,FALSE)</f>
        <v>#N/A</v>
      </c>
      <c r="D26" s="117"/>
      <c r="E26" s="125" t="e">
        <f>VLOOKUP(Table257519913140106110151155170178204[[#This Row],[PEG]],Table1016[#All],3,FALSE)</f>
        <v>#N/A</v>
      </c>
    </row>
    <row r="27" spans="1:5" x14ac:dyDescent="0.35">
      <c r="A27" s="118">
        <v>20</v>
      </c>
      <c r="B27" s="114" t="s">
        <v>115</v>
      </c>
      <c r="C27" s="109" t="e">
        <f>VLOOKUP(Table257519913140106110151155170178204[[#This Row],[PEG]],Table1016[#All],2,FALSE)</f>
        <v>#N/A</v>
      </c>
      <c r="D27" s="117"/>
      <c r="E27" s="125" t="e">
        <f>VLOOKUP(Table257519913140106110151155170178204[[#This Row],[PEG]],Table1016[#All],3,FALSE)</f>
        <v>#N/A</v>
      </c>
    </row>
    <row r="28" spans="1:5" x14ac:dyDescent="0.35">
      <c r="A28" s="118">
        <v>21</v>
      </c>
      <c r="B28" s="114" t="s">
        <v>114</v>
      </c>
      <c r="C28" s="109" t="e">
        <f>VLOOKUP(Table257519913140106110151155170178204[[#This Row],[PEG]],Table1016[#All],2,FALSE)</f>
        <v>#N/A</v>
      </c>
      <c r="D28" s="117"/>
      <c r="E28" s="125" t="e">
        <f>VLOOKUP(Table257519913140106110151155170178204[[#This Row],[PEG]],Table1016[#All],3,FALSE)</f>
        <v>#N/A</v>
      </c>
    </row>
    <row r="29" spans="1:5" x14ac:dyDescent="0.35">
      <c r="A29" s="118">
        <v>22</v>
      </c>
      <c r="B29" s="114" t="s">
        <v>12</v>
      </c>
      <c r="C29" s="109" t="e">
        <f>VLOOKUP(Table257519913140106110151155170178204[[#This Row],[PEG]],Table1016[#All],2,FALSE)</f>
        <v>#N/A</v>
      </c>
      <c r="D29" s="117"/>
      <c r="E29" s="125" t="e">
        <f>VLOOKUP(Table257519913140106110151155170178204[[#This Row],[PEG]],Table1016[#All],3,FALSE)</f>
        <v>#N/A</v>
      </c>
    </row>
    <row r="30" spans="1:5" x14ac:dyDescent="0.35">
      <c r="A30" s="118">
        <v>23</v>
      </c>
      <c r="B30" s="114" t="s">
        <v>12</v>
      </c>
      <c r="C30" s="109" t="e">
        <f>VLOOKUP(Table257519913140106110151155170178204[[#This Row],[PEG]],Table1016[#All],2,FALSE)</f>
        <v>#N/A</v>
      </c>
      <c r="D30" s="117"/>
      <c r="E30" s="125" t="e">
        <f>VLOOKUP(Table257519913140106110151155170178204[[#This Row],[PEG]],Table1016[#All],3,FALSE)</f>
        <v>#N/A</v>
      </c>
    </row>
    <row r="31" spans="1:5" x14ac:dyDescent="0.35">
      <c r="A31" s="118">
        <v>24</v>
      </c>
      <c r="B31" s="114" t="s">
        <v>115</v>
      </c>
      <c r="C31" s="109" t="e">
        <f>VLOOKUP(Table257519913140106110151155170178204[[#This Row],[PEG]],Table1016[#All],2,FALSE)</f>
        <v>#N/A</v>
      </c>
      <c r="D31" s="117"/>
      <c r="E31" s="125" t="e">
        <f>VLOOKUP(Table257519913140106110151155170178204[[#This Row],[PEG]],Table1016[#All],3,FALSE)</f>
        <v>#N/A</v>
      </c>
    </row>
    <row r="32" spans="1:5" x14ac:dyDescent="0.35">
      <c r="A32" s="118">
        <v>25</v>
      </c>
      <c r="B32" s="114" t="s">
        <v>115</v>
      </c>
      <c r="C32" s="109" t="e">
        <f>VLOOKUP(Table257519913140106110151155170178204[[#This Row],[PEG]],Table1016[#All],2,FALSE)</f>
        <v>#N/A</v>
      </c>
      <c r="D32" s="117"/>
      <c r="E32" s="125" t="e">
        <f>VLOOKUP(Table257519913140106110151155170178204[[#This Row],[PEG]],Table1016[#All],3,FALSE)</f>
        <v>#N/A</v>
      </c>
    </row>
    <row r="33" spans="1:5" x14ac:dyDescent="0.35">
      <c r="A33" s="118">
        <v>26</v>
      </c>
      <c r="B33" s="114" t="s">
        <v>124</v>
      </c>
      <c r="C33" s="109" t="e">
        <f>VLOOKUP(Table257519913140106110151155170178204[[#This Row],[PEG]],Table1016[#All],2,FALSE)</f>
        <v>#N/A</v>
      </c>
      <c r="D33" s="117"/>
      <c r="E33" s="125" t="e">
        <f>VLOOKUP(Table257519913140106110151155170178204[[#This Row],[PEG]],Table1016[#All],3,FALSE)</f>
        <v>#N/A</v>
      </c>
    </row>
    <row r="34" spans="1:5" x14ac:dyDescent="0.35">
      <c r="A34" s="118">
        <v>27</v>
      </c>
      <c r="B34" s="114" t="s">
        <v>115</v>
      </c>
      <c r="C34" s="109" t="e">
        <f>VLOOKUP(Table257519913140106110151155170178204[[#This Row],[PEG]],Table1016[#All],2,FALSE)</f>
        <v>#N/A</v>
      </c>
      <c r="D34" s="117"/>
      <c r="E34" s="125" t="e">
        <f>VLOOKUP(Table257519913140106110151155170178204[[#This Row],[PEG]],Table1016[#All],3,FALSE)</f>
        <v>#N/A</v>
      </c>
    </row>
    <row r="35" spans="1:5" x14ac:dyDescent="0.35">
      <c r="A35" s="118">
        <v>28</v>
      </c>
      <c r="B35" s="114" t="s">
        <v>124</v>
      </c>
      <c r="C35" s="109" t="e">
        <f>VLOOKUP(Table257519913140106110151155170178204[[#This Row],[PEG]],Table1016[#All],2,FALSE)</f>
        <v>#N/A</v>
      </c>
      <c r="D35" s="117"/>
      <c r="E35" s="125" t="e">
        <f>VLOOKUP(Table257519913140106110151155170178204[[#This Row],[PEG]],Table1016[#All],3,FALSE)</f>
        <v>#N/A</v>
      </c>
    </row>
    <row r="36" spans="1:5" x14ac:dyDescent="0.35">
      <c r="A36" s="118">
        <v>29</v>
      </c>
      <c r="B36" s="114" t="s">
        <v>115</v>
      </c>
      <c r="C36" s="109" t="e">
        <f>VLOOKUP(Table257519913140106110151155170178204[[#This Row],[PEG]],Table1016[#All],2,FALSE)</f>
        <v>#N/A</v>
      </c>
      <c r="D36" s="117"/>
      <c r="E36" s="125" t="e">
        <f>VLOOKUP(Table257519913140106110151155170178204[[#This Row],[PEG]],Table1016[#All],3,FALSE)</f>
        <v>#N/A</v>
      </c>
    </row>
    <row r="37" spans="1:5" x14ac:dyDescent="0.35">
      <c r="A37" s="118">
        <v>30</v>
      </c>
      <c r="B37" s="114" t="s">
        <v>12</v>
      </c>
      <c r="C37" s="109" t="e">
        <f>VLOOKUP(Table257519913140106110151155170178204[[#This Row],[PEG]],Table1016[#All],2,FALSE)</f>
        <v>#N/A</v>
      </c>
      <c r="D37" s="117"/>
      <c r="E37" s="125" t="e">
        <f>VLOOKUP(Table257519913140106110151155170178204[[#This Row],[PEG]],Table1016[#All],3,FALSE)</f>
        <v>#N/A</v>
      </c>
    </row>
    <row r="38" spans="1:5" x14ac:dyDescent="0.35">
      <c r="A38" s="118">
        <v>31</v>
      </c>
      <c r="B38" s="114" t="s">
        <v>12</v>
      </c>
      <c r="C38" s="109" t="e">
        <f>VLOOKUP(Table257519913140106110151155170178204[[#This Row],[PEG]],Table1016[#All],2,FALSE)</f>
        <v>#N/A</v>
      </c>
      <c r="D38" s="117"/>
      <c r="E38" s="125" t="e">
        <f>VLOOKUP(Table257519913140106110151155170178204[[#This Row],[PEG]],Table1016[#All],3,FALSE)</f>
        <v>#N/A</v>
      </c>
    </row>
    <row r="39" spans="1:5" x14ac:dyDescent="0.35">
      <c r="A39" s="118">
        <v>32</v>
      </c>
      <c r="B39" s="114" t="s">
        <v>12</v>
      </c>
      <c r="C39" s="109" t="e">
        <f>VLOOKUP(Table257519913140106110151155170178204[[#This Row],[PEG]],Table1016[#All],2,FALSE)</f>
        <v>#N/A</v>
      </c>
      <c r="D39" s="117"/>
      <c r="E39" s="125" t="e">
        <f>VLOOKUP(Table257519913140106110151155170178204[[#This Row],[PEG]],Table1016[#All],3,FALSE)</f>
        <v>#N/A</v>
      </c>
    </row>
    <row r="40" spans="1:5" x14ac:dyDescent="0.35">
      <c r="A40" s="118">
        <v>33</v>
      </c>
      <c r="B40" s="114" t="s">
        <v>12</v>
      </c>
      <c r="C40" s="109" t="e">
        <f>VLOOKUP(Table257519913140106110151155170178204[[#This Row],[PEG]],Table1016[#All],2,FALSE)</f>
        <v>#N/A</v>
      </c>
      <c r="D40" s="117"/>
      <c r="E40" s="125" t="e">
        <f>VLOOKUP(Table257519913140106110151155170178204[[#This Row],[PEG]],Table1016[#All],3,FALSE)</f>
        <v>#N/A</v>
      </c>
    </row>
    <row r="41" spans="1:5" x14ac:dyDescent="0.35">
      <c r="A41" s="118">
        <v>34</v>
      </c>
      <c r="B41" s="114" t="s">
        <v>115</v>
      </c>
      <c r="C41" s="109" t="e">
        <f>VLOOKUP(Table257519913140106110151155170178204[[#This Row],[PEG]],Table1016[#All],2,FALSE)</f>
        <v>#N/A</v>
      </c>
      <c r="D41" s="117"/>
      <c r="E41" s="125" t="e">
        <f>VLOOKUP(Table257519913140106110151155170178204[[#This Row],[PEG]],Table1016[#All],3,FALSE)</f>
        <v>#N/A</v>
      </c>
    </row>
    <row r="42" spans="1:5" x14ac:dyDescent="0.35">
      <c r="A42" s="118">
        <v>35</v>
      </c>
      <c r="B42" s="114" t="s">
        <v>12</v>
      </c>
      <c r="C42" s="109" t="e">
        <f>VLOOKUP(Table257519913140106110151155170178204[[#This Row],[PEG]],Table1016[#All],2,FALSE)</f>
        <v>#N/A</v>
      </c>
      <c r="D42" s="115"/>
      <c r="E42" s="125" t="e">
        <f>VLOOKUP(Table257519913140106110151155170178204[[#This Row],[PEG]],Table1016[#All],3,FALSE)</f>
        <v>#N/A</v>
      </c>
    </row>
    <row r="43" spans="1:5" x14ac:dyDescent="0.35">
      <c r="A43" s="118">
        <v>36</v>
      </c>
      <c r="B43" s="114" t="s">
        <v>115</v>
      </c>
      <c r="C43" s="109" t="e">
        <f>VLOOKUP(Table257519913140106110151155170178204[[#This Row],[PEG]],Table1016[#All],2,FALSE)</f>
        <v>#N/A</v>
      </c>
      <c r="D43" s="115"/>
      <c r="E43" s="125" t="e">
        <f>VLOOKUP(Table257519913140106110151155170178204[[#This Row],[PEG]],Table1016[#All],3,FALSE)</f>
        <v>#N/A</v>
      </c>
    </row>
    <row r="44" spans="1:5" x14ac:dyDescent="0.35">
      <c r="A44" s="118">
        <v>37</v>
      </c>
      <c r="B44" s="114" t="s">
        <v>13</v>
      </c>
      <c r="C44" s="18" t="s">
        <v>13</v>
      </c>
      <c r="D44" s="115"/>
      <c r="E44" s="32"/>
    </row>
  </sheetData>
  <mergeCells count="1">
    <mergeCell ref="A1:B1"/>
  </mergeCells>
  <conditionalFormatting sqref="B8:B18">
    <cfRule type="containsText" dxfId="885" priority="1" operator="containsText" text="Hear">
      <formula>NOT(ISERROR(SEARCH("Hear",B8)))</formula>
    </cfRule>
  </conditionalFormatting>
  <conditionalFormatting sqref="B30">
    <cfRule type="containsText" dxfId="884" priority="4" operator="containsText" text="Hear">
      <formula>NOT(ISERROR(SEARCH("Hear",B30)))</formula>
    </cfRule>
  </conditionalFormatting>
  <conditionalFormatting sqref="B43:B44">
    <cfRule type="containsText" dxfId="883" priority="8" operator="containsText" text="Hear">
      <formula>NOT(ISERROR(SEARCH("Hear",B43)))</formula>
    </cfRule>
  </conditionalFormatting>
  <conditionalFormatting sqref="E44">
    <cfRule type="containsText" dxfId="882" priority="6" operator="containsText" text="WEB SERVICE">
      <formula>NOT(ISERROR(SEARCH("WEB SERVICE",E44)))</formula>
    </cfRule>
    <cfRule type="containsText" dxfId="881" priority="7" operator="containsText" text="DB">
      <formula>NOT(ISERROR(SEARCH("DB",E44)))</formula>
    </cfRule>
  </conditionalFormatting>
  <conditionalFormatting sqref="C44">
    <cfRule type="expression" dxfId="880" priority="9">
      <formula>$B44="HANGUP"</formula>
    </cfRule>
    <cfRule type="expression" dxfId="879" priority="9">
      <formula>$B44="Dial"</formula>
    </cfRule>
  </conditionalFormatting>
  <conditionalFormatting sqref="C44">
    <cfRule type="expression" dxfId="878" priority="3">
      <formula>$B44="Speak"</formula>
    </cfRule>
  </conditionalFormatting>
  <conditionalFormatting sqref="B36:B38 B40:B41">
    <cfRule type="containsText" dxfId="877" priority="2" operator="containsText" text="Hear">
      <formula>NOT(ISERROR(SEARCH("Hear",B36)))</formula>
    </cfRule>
  </conditionalFormatting>
  <conditionalFormatting sqref="B19:B29 B31:B35 B42">
    <cfRule type="containsText" dxfId="876" priority="5" operator="containsText" text="Hear">
      <formula>NOT(ISERROR(SEARCH("Hear",B19)))</formula>
    </cfRule>
  </conditionalFormatting>
  <hyperlinks>
    <hyperlink ref="A1" location="'Test Case Overview'!A1" display="Return to Test Case Overview" xr:uid="{A34A9257-CA13-4664-994F-7DC42F6FC837}"/>
  </hyperlinks>
  <pageMargins left="0.7" right="0.7" top="0.75" bottom="0.75" header="0.3" footer="0.3"/>
  <pageSetup orientation="portrait" verticalDpi="0" r:id="rId1"/>
  <tableParts count="1">
    <tablePart r:id="rId2"/>
  </tableParts>
  <extLst>
    <ext xmlns:x14="http://schemas.microsoft.com/office/spreadsheetml/2009/9/main" uri="{78C0D931-6437-407d-A8EE-F0AAD7539E65}">
      <x14:conditionalFormattings>
        <x14:conditionalFormatting xmlns:xm="http://schemas.microsoft.com/office/excel/2006/main">
          <x14:cfRule type="expression" priority="10" id="{D4015DFB-1E38-45EA-B2CB-DD9A64A48F13}">
            <xm:f>'TC1'!$B8="Dial"</xm:f>
            <x14:dxf>
              <font>
                <b/>
                <i val="0"/>
                <color rgb="FFFF0000"/>
              </font>
            </x14:dxf>
          </x14:cfRule>
          <x14:cfRule type="expression" priority="10" id="{D8A2E6CC-E26B-4CB8-8F22-C1A63B18DC81}">
            <xm:f>'TC1'!$B8="HANGUP"</xm:f>
            <x14:dxf>
              <font>
                <b/>
                <i val="0"/>
              </font>
            </x14:dxf>
          </x14:cfRule>
          <xm:sqref>C8</xm:sqref>
        </x14:conditionalFormatting>
        <x14:conditionalFormatting xmlns:xm="http://schemas.microsoft.com/office/excel/2006/main">
          <x14:cfRule type="expression" priority="11" id="{1616912D-2816-4F80-A2C7-8521E2990E62}">
            <xm:f>'TC1'!$B8="Speak"</xm:f>
            <x14:dxf>
              <font>
                <b/>
                <i val="0"/>
                <color rgb="FFFF0000"/>
              </font>
            </x14:dxf>
          </x14:cfRule>
          <xm:sqref>C8</xm:sqref>
        </x14:conditionalFormatting>
        <x14:conditionalFormatting xmlns:xm="http://schemas.microsoft.com/office/excel/2006/main">
          <x14:cfRule type="containsText" priority="14" operator="containsText" text="Hear" id="{F1DF9A8B-B33D-4187-B0B5-3DD7BA28280C}">
            <xm:f>NOT(ISERROR(SEARCH("Hear",'TC3'!B34)))</xm:f>
            <x14:dxf>
              <font>
                <color theme="9" tint="-0.24994659260841701"/>
              </font>
              <fill>
                <patternFill>
                  <bgColor theme="9" tint="0.59996337778862885"/>
                </patternFill>
              </fill>
            </x14:dxf>
          </x14:cfRule>
          <xm:sqref>B41</xm:sqref>
        </x14:conditionalFormatting>
        <x14:conditionalFormatting xmlns:xm="http://schemas.microsoft.com/office/excel/2006/main">
          <x14:cfRule type="expression" priority="3223" id="{D4015DFB-1E38-45EA-B2CB-DD9A64A48F13}">
            <xm:f>'TC1'!$B16="Dial"</xm:f>
            <x14:dxf>
              <font>
                <b/>
                <i val="0"/>
                <color rgb="FFFF0000"/>
              </font>
            </x14:dxf>
          </x14:cfRule>
          <x14:cfRule type="expression" priority="3224" id="{D8A2E6CC-E26B-4CB8-8F22-C1A63B18DC81}">
            <xm:f>'TC1'!$B16="HANGUP"</xm:f>
            <x14:dxf>
              <font>
                <b/>
                <i val="0"/>
              </font>
            </x14:dxf>
          </x14:cfRule>
          <xm:sqref>C34:C43</xm:sqref>
        </x14:conditionalFormatting>
        <x14:conditionalFormatting xmlns:xm="http://schemas.microsoft.com/office/excel/2006/main">
          <x14:cfRule type="expression" priority="3225" id="{D4015DFB-1E38-45EA-B2CB-DD9A64A48F13}">
            <xm:f>'TC1'!#REF!="Dial"</xm:f>
            <x14:dxf>
              <font>
                <b/>
                <i val="0"/>
                <color rgb="FFFF0000"/>
              </font>
            </x14:dxf>
          </x14:cfRule>
          <x14:cfRule type="expression" priority="3226" id="{D8A2E6CC-E26B-4CB8-8F22-C1A63B18DC81}">
            <xm:f>'TC1'!#REF!="HANGUP"</xm:f>
            <x14:dxf>
              <font>
                <b/>
                <i val="0"/>
              </font>
            </x14:dxf>
          </x14:cfRule>
          <xm:sqref>C17:C33</xm:sqref>
        </x14:conditionalFormatting>
        <x14:conditionalFormatting xmlns:xm="http://schemas.microsoft.com/office/excel/2006/main">
          <x14:cfRule type="expression" priority="3230" id="{1616912D-2816-4F80-A2C7-8521E2990E62}">
            <xm:f>'TC1'!$B16="Speak"</xm:f>
            <x14:dxf>
              <font>
                <b/>
                <i val="0"/>
                <color rgb="FFFF0000"/>
              </font>
            </x14:dxf>
          </x14:cfRule>
          <xm:sqref>C34:C43</xm:sqref>
        </x14:conditionalFormatting>
        <x14:conditionalFormatting xmlns:xm="http://schemas.microsoft.com/office/excel/2006/main">
          <x14:cfRule type="expression" priority="3231" id="{1616912D-2816-4F80-A2C7-8521E2990E62}">
            <xm:f>'TC1'!#REF!="Speak"</xm:f>
            <x14:dxf>
              <font>
                <b/>
                <i val="0"/>
                <color rgb="FFFF0000"/>
              </font>
            </x14:dxf>
          </x14:cfRule>
          <xm:sqref>C17:C33</xm:sqref>
        </x14:conditionalFormatting>
        <x14:conditionalFormatting xmlns:xm="http://schemas.microsoft.com/office/excel/2006/main">
          <x14:cfRule type="containsText" priority="3235" operator="containsText" text="DB" id="{3A2EB06B-6DD6-4805-902D-89864B9B18F1}">
            <xm:f>NOT(ISERROR(SEARCH("DB",'TC1'!E16)))</xm:f>
            <x14:dxf>
              <font>
                <color rgb="FF006100"/>
              </font>
              <fill>
                <patternFill>
                  <bgColor rgb="FFC6EFCE"/>
                </patternFill>
              </fill>
            </x14:dxf>
          </x14:cfRule>
          <x14:cfRule type="containsText" priority="3236" operator="containsText" text="WEB SERVICE" id="{C97288F7-0093-4D2E-819C-5E4742241D9E}">
            <xm:f>NOT(ISERROR(SEARCH("WEB SERVICE",'TC1'!E16)))</xm:f>
            <x14:dxf>
              <font>
                <color rgb="FF9C0006"/>
              </font>
              <fill>
                <patternFill>
                  <bgColor rgb="FFFFC7CE"/>
                </patternFill>
              </fill>
            </x14:dxf>
          </x14:cfRule>
          <xm:sqref>E34:E43</xm:sqref>
        </x14:conditionalFormatting>
        <x14:conditionalFormatting xmlns:xm="http://schemas.microsoft.com/office/excel/2006/main">
          <x14:cfRule type="containsText" priority="3237" operator="containsText" text="DB" id="{3A2EB06B-6DD6-4805-902D-89864B9B18F1}">
            <xm:f>NOT(ISERROR(SEARCH("DB",'TC1'!#REF!)))</xm:f>
            <x14:dxf>
              <font>
                <color rgb="FF006100"/>
              </font>
              <fill>
                <patternFill>
                  <bgColor rgb="FFC6EFCE"/>
                </patternFill>
              </fill>
            </x14:dxf>
          </x14:cfRule>
          <x14:cfRule type="containsText" priority="3238" operator="containsText" text="WEB SERVICE" id="{C97288F7-0093-4D2E-819C-5E4742241D9E}">
            <xm:f>NOT(ISERROR(SEARCH("WEB SERVICE",'TC1'!#REF!)))</xm:f>
            <x14:dxf>
              <font>
                <color rgb="FF9C0006"/>
              </font>
              <fill>
                <patternFill>
                  <bgColor rgb="FFFFC7CE"/>
                </patternFill>
              </fill>
            </x14:dxf>
          </x14:cfRule>
          <xm:sqref>E17:E33</xm:sqref>
        </x14:conditionalFormatting>
        <x14:conditionalFormatting xmlns:xm="http://schemas.microsoft.com/office/excel/2006/main">
          <x14:cfRule type="expression" priority="5839" id="{D4015DFB-1E38-45EA-B2CB-DD9A64A48F13}">
            <xm:f>'TC1'!$B9="Dial"</xm:f>
            <x14:dxf>
              <font>
                <b/>
                <i val="0"/>
                <color rgb="FFFF0000"/>
              </font>
            </x14:dxf>
          </x14:cfRule>
          <x14:cfRule type="expression" priority="5840" id="{D8A2E6CC-E26B-4CB8-8F22-C1A63B18DC81}">
            <xm:f>'TC1'!$B9="HANGUP"</xm:f>
            <x14:dxf>
              <font>
                <b/>
                <i val="0"/>
              </font>
            </x14:dxf>
          </x14:cfRule>
          <xm:sqref>C12:C15</xm:sqref>
        </x14:conditionalFormatting>
        <x14:conditionalFormatting xmlns:xm="http://schemas.microsoft.com/office/excel/2006/main">
          <x14:cfRule type="expression" priority="5841" id="{D4015DFB-1E38-45EA-B2CB-DD9A64A48F13}">
            <xm:f>'TC1'!#REF!="Dial"</xm:f>
            <x14:dxf>
              <font>
                <b/>
                <i val="0"/>
                <color rgb="FFFF0000"/>
              </font>
            </x14:dxf>
          </x14:cfRule>
          <x14:cfRule type="expression" priority="5842" id="{D8A2E6CC-E26B-4CB8-8F22-C1A63B18DC81}">
            <xm:f>'TC1'!#REF!="HANGUP"</xm:f>
            <x14:dxf>
              <font>
                <b/>
                <i val="0"/>
              </font>
            </x14:dxf>
          </x14:cfRule>
          <xm:sqref>C9:C11</xm:sqref>
        </x14:conditionalFormatting>
        <x14:conditionalFormatting xmlns:xm="http://schemas.microsoft.com/office/excel/2006/main">
          <x14:cfRule type="expression" priority="5846" id="{1616912D-2816-4F80-A2C7-8521E2990E62}">
            <xm:f>'TC1'!$B9="Speak"</xm:f>
            <x14:dxf>
              <font>
                <b/>
                <i val="0"/>
                <color rgb="FFFF0000"/>
              </font>
            </x14:dxf>
          </x14:cfRule>
          <xm:sqref>C12:C15</xm:sqref>
        </x14:conditionalFormatting>
        <x14:conditionalFormatting xmlns:xm="http://schemas.microsoft.com/office/excel/2006/main">
          <x14:cfRule type="expression" priority="5847" id="{1616912D-2816-4F80-A2C7-8521E2990E62}">
            <xm:f>'TC1'!#REF!="Speak"</xm:f>
            <x14:dxf>
              <font>
                <b/>
                <i val="0"/>
                <color rgb="FFFF0000"/>
              </font>
            </x14:dxf>
          </x14:cfRule>
          <xm:sqref>C9:C11</xm:sqref>
        </x14:conditionalFormatting>
        <x14:conditionalFormatting xmlns:xm="http://schemas.microsoft.com/office/excel/2006/main">
          <x14:cfRule type="containsText" priority="5849" operator="containsText" text="DB" id="{3A2EB06B-6DD6-4805-902D-89864B9B18F1}">
            <xm:f>NOT(ISERROR(SEARCH("DB",'TC1'!#REF!)))</xm:f>
            <x14:dxf>
              <font>
                <color rgb="FF006100"/>
              </font>
              <fill>
                <patternFill>
                  <bgColor rgb="FFC6EFCE"/>
                </patternFill>
              </fill>
            </x14:dxf>
          </x14:cfRule>
          <x14:cfRule type="containsText" priority="5850" operator="containsText" text="WEB SERVICE" id="{C97288F7-0093-4D2E-819C-5E4742241D9E}">
            <xm:f>NOT(ISERROR(SEARCH("WEB SERVICE",'TC1'!#REF!)))</xm:f>
            <x14:dxf>
              <font>
                <color rgb="FF9C0006"/>
              </font>
              <fill>
                <patternFill>
                  <bgColor rgb="FFFFC7CE"/>
                </patternFill>
              </fill>
            </x14:dxf>
          </x14:cfRule>
          <xm:sqref>E9:E11</xm:sqref>
        </x14:conditionalFormatting>
        <x14:conditionalFormatting xmlns:xm="http://schemas.microsoft.com/office/excel/2006/main">
          <x14:cfRule type="containsText" priority="5851" operator="containsText" text="DB" id="{3A2EB06B-6DD6-4805-902D-89864B9B18F1}">
            <xm:f>NOT(ISERROR(SEARCH("DB",'TC1'!E9)))</xm:f>
            <x14:dxf>
              <font>
                <color rgb="FF006100"/>
              </font>
              <fill>
                <patternFill>
                  <bgColor rgb="FFC6EFCE"/>
                </patternFill>
              </fill>
            </x14:dxf>
          </x14:cfRule>
          <x14:cfRule type="containsText" priority="5852" operator="containsText" text="WEB SERVICE" id="{C97288F7-0093-4D2E-819C-5E4742241D9E}">
            <xm:f>NOT(ISERROR(SEARCH("WEB SERVICE",'TC1'!E9)))</xm:f>
            <x14:dxf>
              <font>
                <color rgb="FF9C0006"/>
              </font>
              <fill>
                <patternFill>
                  <bgColor rgb="FFFFC7CE"/>
                </patternFill>
              </fill>
            </x14:dxf>
          </x14:cfRule>
          <xm:sqref>E12:E15</xm:sqref>
        </x14:conditionalFormatting>
        <x14:conditionalFormatting xmlns:xm="http://schemas.microsoft.com/office/excel/2006/main">
          <x14:cfRule type="expression" priority="8045" id="{D4015DFB-1E38-45EA-B2CB-DD9A64A48F13}">
            <xm:f>'TC1'!$B15="Dial"</xm:f>
            <x14:dxf>
              <font>
                <b/>
                <i val="0"/>
                <color rgb="FFFF0000"/>
              </font>
            </x14:dxf>
          </x14:cfRule>
          <x14:cfRule type="expression" priority="8046" id="{D8A2E6CC-E26B-4CB8-8F22-C1A63B18DC81}">
            <xm:f>'TC1'!$B15="HANGUP"</xm:f>
            <x14:dxf>
              <font>
                <b/>
                <i val="0"/>
              </font>
            </x14:dxf>
          </x14:cfRule>
          <xm:sqref>C16</xm:sqref>
        </x14:conditionalFormatting>
        <x14:conditionalFormatting xmlns:xm="http://schemas.microsoft.com/office/excel/2006/main">
          <x14:cfRule type="expression" priority="8048" id="{1616912D-2816-4F80-A2C7-8521E2990E62}">
            <xm:f>'TC1'!$B15="Speak"</xm:f>
            <x14:dxf>
              <font>
                <b/>
                <i val="0"/>
                <color rgb="FFFF0000"/>
              </font>
            </x14:dxf>
          </x14:cfRule>
          <xm:sqref>C16</xm:sqref>
        </x14:conditionalFormatting>
        <x14:conditionalFormatting xmlns:xm="http://schemas.microsoft.com/office/excel/2006/main">
          <x14:cfRule type="containsText" priority="8051" operator="containsText" text="DB" id="{3A2EB06B-6DD6-4805-902D-89864B9B18F1}">
            <xm:f>NOT(ISERROR(SEARCH("DB",'TC1'!E15)))</xm:f>
            <x14:dxf>
              <font>
                <color rgb="FF006100"/>
              </font>
              <fill>
                <patternFill>
                  <bgColor rgb="FFC6EFCE"/>
                </patternFill>
              </fill>
            </x14:dxf>
          </x14:cfRule>
          <x14:cfRule type="containsText" priority="8052" operator="containsText" text="WEB SERVICE" id="{C97288F7-0093-4D2E-819C-5E4742241D9E}">
            <xm:f>NOT(ISERROR(SEARCH("WEB SERVICE",'TC1'!E15)))</xm:f>
            <x14:dxf>
              <font>
                <color rgb="FF9C0006"/>
              </font>
              <fill>
                <patternFill>
                  <bgColor rgb="FFFFC7CE"/>
                </patternFill>
              </fill>
            </x14:dxf>
          </x14:cfRule>
          <xm:sqref>E16</xm:sqref>
        </x14:conditionalFormatting>
        <x14:conditionalFormatting xmlns:xm="http://schemas.microsoft.com/office/excel/2006/main">
          <x14:cfRule type="containsText" priority="10794" operator="containsText" text="Hear" id="{5E1BC88B-09B7-497F-963E-DC7BD01F7392}">
            <xm:f>NOT(ISERROR(SEARCH("Hear",'TC26'!#REF!)))</xm:f>
            <x14:dxf>
              <font>
                <color theme="9" tint="-0.24994659260841701"/>
              </font>
              <fill>
                <patternFill>
                  <bgColor theme="9" tint="0.59996337778862885"/>
                </patternFill>
              </fill>
            </x14:dxf>
          </x14:cfRule>
          <xm:sqref>B39</xm:sqref>
        </x14:conditionalFormatting>
      </x14:conditionalFormatting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6"/>
  <dimension ref="A1:E47"/>
  <sheetViews>
    <sheetView topLeftCell="A10" zoomScaleNormal="100" workbookViewId="0">
      <selection activeCell="D24" sqref="D24"/>
    </sheetView>
  </sheetViews>
  <sheetFormatPr defaultRowHeight="14.5" x14ac:dyDescent="0.35"/>
  <cols>
    <col min="1" max="1" width="14.453125" style="97" bestFit="1" customWidth="1"/>
    <col min="2" max="2" width="42.6328125" style="97" customWidth="1"/>
    <col min="3" max="3" width="106.1796875" style="98" customWidth="1"/>
    <col min="4" max="4" width="21.81640625" style="111" bestFit="1" customWidth="1"/>
    <col min="5" max="5" width="20.6328125" style="97" customWidth="1"/>
  </cols>
  <sheetData>
    <row r="1" spans="1:5" ht="18.5" x14ac:dyDescent="0.35">
      <c r="A1" s="192" t="s">
        <v>4</v>
      </c>
      <c r="B1" s="192"/>
      <c r="C1" s="105"/>
    </row>
    <row r="2" spans="1:5" x14ac:dyDescent="0.35">
      <c r="A2" s="106" t="s">
        <v>5</v>
      </c>
      <c r="B2" s="107" t="str">
        <f ca="1">MID(CELL("filename",A1),FIND("]",CELL("filename",A1))+1,LEN(CELL("filename",A1))-FIND("]",CELL("filename",A1)))</f>
        <v>TC14</v>
      </c>
    </row>
    <row r="3" spans="1:5" x14ac:dyDescent="0.35">
      <c r="A3" s="104" t="s">
        <v>19</v>
      </c>
      <c r="B3" s="112">
        <f ca="1">VLOOKUP(B2,Table1[#All],2,FALSE)</f>
        <v>0</v>
      </c>
    </row>
    <row r="4" spans="1:5" ht="29" x14ac:dyDescent="0.35">
      <c r="A4" s="113" t="s">
        <v>20</v>
      </c>
      <c r="B4" s="99" t="str">
        <f ca="1">VLOOKUP(B2,Table1[#All],4,FALSE)</f>
        <v>Future Acct, Current Due, Make Payment, Savings</v>
      </c>
    </row>
    <row r="5" spans="1:5" x14ac:dyDescent="0.35">
      <c r="A5" s="104" t="s">
        <v>6</v>
      </c>
      <c r="B5" s="93" t="str">
        <f ca="1">VLOOKUP(B2,Table1[#All],3,FALSE)</f>
        <v>NACHA First Prompt - NO</v>
      </c>
    </row>
    <row r="7" spans="1:5" ht="15.5" x14ac:dyDescent="0.35">
      <c r="A7" s="100" t="s">
        <v>7</v>
      </c>
      <c r="B7" s="101" t="s">
        <v>8</v>
      </c>
      <c r="C7" s="102" t="s">
        <v>9</v>
      </c>
      <c r="D7" s="102" t="s">
        <v>14</v>
      </c>
      <c r="E7" s="103" t="s">
        <v>10</v>
      </c>
    </row>
    <row r="8" spans="1:5" x14ac:dyDescent="0.35">
      <c r="A8" s="118">
        <v>1</v>
      </c>
      <c r="B8" s="114" t="s">
        <v>114</v>
      </c>
      <c r="C8" s="127" t="s">
        <v>240</v>
      </c>
      <c r="D8" s="152"/>
      <c r="E8" s="125" t="s">
        <v>11</v>
      </c>
    </row>
    <row r="9" spans="1:5" x14ac:dyDescent="0.35">
      <c r="A9" s="118">
        <v>2</v>
      </c>
      <c r="B9" s="114" t="s">
        <v>115</v>
      </c>
      <c r="C9" s="109" t="str">
        <f>VLOOKUP(Table2575525269102425333442[[#This Row],[PEG]],Table1016[#All],2,FALSE)</f>
        <v>To get started, tell me your Account Number</v>
      </c>
      <c r="D9" s="141" t="s">
        <v>245</v>
      </c>
      <c r="E9" s="125" t="str">
        <f>VLOOKUP(Table2575525269102425333442[[#This Row],[PEG]],Table1016[#All],3,FALSE)</f>
        <v>Prompt</v>
      </c>
    </row>
    <row r="10" spans="1:5" x14ac:dyDescent="0.35">
      <c r="A10" s="118">
        <v>3</v>
      </c>
      <c r="B10" s="114" t="s">
        <v>114</v>
      </c>
      <c r="C10" s="109" t="s">
        <v>412</v>
      </c>
      <c r="D10" s="151"/>
      <c r="E10" s="125" t="e">
        <f>VLOOKUP(Table2575525269102425333442[[#This Row],[PEG]],Table1016[#All],3,FALSE)</f>
        <v>#N/A</v>
      </c>
    </row>
    <row r="11" spans="1:5" ht="174" x14ac:dyDescent="0.35">
      <c r="A11" s="118">
        <v>4</v>
      </c>
      <c r="B11" s="114" t="s">
        <v>12</v>
      </c>
      <c r="C11" s="109" t="str">
        <f>VLOOKUP(Table2575525269102425333442[[#This Row],[PEG]],Table1016[#All],2,FALSE)</f>
        <v>SAP HANA – SAP01_GetMember
inputs:
idnumber = iIdnumber	T
idtype 	= iIdtype
outputs:
~ Billing Reference
~ Enrollment Details
~ Billing Details
~ Last Payment
~ Recurring Payment Method
~ Stored Payment Method</v>
      </c>
      <c r="D11" s="141" t="s">
        <v>371</v>
      </c>
      <c r="E11" s="125" t="str">
        <f>VLOOKUP(Table2575525269102425333442[[#This Row],[PEG]],Table1016[#All],3,FALSE)</f>
        <v>DB</v>
      </c>
    </row>
    <row r="12" spans="1:5" x14ac:dyDescent="0.35">
      <c r="A12" s="118">
        <v>5</v>
      </c>
      <c r="B12" s="114" t="s">
        <v>115</v>
      </c>
      <c r="C12" s="109" t="str">
        <f>VLOOKUP(Table2575525269102425333442[[#This Row],[PEG]],Table1016[#All],2,FALSE)</f>
        <v>Thanks, I found your account!</v>
      </c>
      <c r="D12" s="141" t="s">
        <v>248</v>
      </c>
      <c r="E12" s="125" t="str">
        <f>VLOOKUP(Table2575525269102425333442[[#This Row],[PEG]],Table1016[#All],3,FALSE)</f>
        <v>Prompt</v>
      </c>
    </row>
    <row r="13" spans="1:5" x14ac:dyDescent="0.35">
      <c r="A13" s="118">
        <v>6</v>
      </c>
      <c r="B13" s="114" t="s">
        <v>115</v>
      </c>
      <c r="C13" s="109" t="str">
        <f>VLOOKUP(Table2575525269102425333442[[#This Row],[PEG]],Table1016[#All],2,FALSE)</f>
        <v>Your one-time initial payment of &lt;SAP01_CurrentDue&gt; is due by &lt;SAP01_Duedate&gt;</v>
      </c>
      <c r="D13" s="142" t="s">
        <v>256</v>
      </c>
      <c r="E13" s="125" t="str">
        <f>VLOOKUP(Table2575525269102425333442[[#This Row],[PEG]],Table1016[#All],3,FALSE)</f>
        <v>Prompt</v>
      </c>
    </row>
    <row r="14" spans="1:5" x14ac:dyDescent="0.35">
      <c r="A14" s="118">
        <v>7</v>
      </c>
      <c r="B14" s="114" t="s">
        <v>115</v>
      </c>
      <c r="C14" s="109" t="str">
        <f>VLOOKUP(Table2575525269102425333442[[#This Row],[PEG]],Table1016[#All],2,FALSE)</f>
        <v>Would you like to pay this in full today?</v>
      </c>
      <c r="D14" s="142" t="s">
        <v>260</v>
      </c>
      <c r="E14" s="125" t="str">
        <f>VLOOKUP(Table2575525269102425333442[[#This Row],[PEG]],Table1016[#All],3,FALSE)</f>
        <v>Prompt</v>
      </c>
    </row>
    <row r="15" spans="1:5" x14ac:dyDescent="0.35">
      <c r="A15" s="118">
        <v>8</v>
      </c>
      <c r="B15" s="114" t="s">
        <v>124</v>
      </c>
      <c r="C15" s="127" t="s">
        <v>388</v>
      </c>
      <c r="D15" s="143"/>
      <c r="E15" s="125" t="e">
        <f>VLOOKUP(Table2575525269102425333442[[#This Row],[PEG]],Table1016[#All],3,FALSE)</f>
        <v>#N/A</v>
      </c>
    </row>
    <row r="16" spans="1:5" x14ac:dyDescent="0.35">
      <c r="A16" s="118">
        <v>9</v>
      </c>
      <c r="B16" s="114" t="s">
        <v>115</v>
      </c>
      <c r="C16" s="109" t="str">
        <f>VLOOKUP(Table2575525269102425333442[[#This Row],[PEG]],Table1016[#All],2,FALSE)</f>
        <v>Ok, are you using Credit, Debit, Checking or Savings?</v>
      </c>
      <c r="D16" s="143" t="s">
        <v>286</v>
      </c>
      <c r="E16" s="125" t="str">
        <f>VLOOKUP(Table2575525269102425333442[[#This Row],[PEG]],Table1016[#All],3,FALSE)</f>
        <v>Prompt</v>
      </c>
    </row>
    <row r="17" spans="1:5" x14ac:dyDescent="0.35">
      <c r="A17" s="118">
        <v>10</v>
      </c>
      <c r="B17" s="114" t="s">
        <v>124</v>
      </c>
      <c r="C17" s="127" t="s">
        <v>419</v>
      </c>
      <c r="D17" s="143"/>
      <c r="E17" s="125" t="e">
        <f>VLOOKUP(Table2575525269102425333442[[#This Row],[PEG]],Table1016[#All],3,FALSE)</f>
        <v>#N/A</v>
      </c>
    </row>
    <row r="18" spans="1:5" x14ac:dyDescent="0.35">
      <c r="A18" s="118">
        <v>11</v>
      </c>
      <c r="B18" s="114" t="s">
        <v>115</v>
      </c>
      <c r="C18" s="109" t="str">
        <f>VLOOKUP(Table2575525269102425333442[[#This Row],[PEG]],Table1016[#All],2,FALSE)</f>
        <v>Tell me your 9-digit routing number.</v>
      </c>
      <c r="D18" s="143" t="s">
        <v>289</v>
      </c>
      <c r="E18" s="125" t="str">
        <f>VLOOKUP(Table2575525269102425333442[[#This Row],[PEG]],Table1016[#All],3,FALSE)</f>
        <v>Prompt</v>
      </c>
    </row>
    <row r="19" spans="1:5" x14ac:dyDescent="0.35">
      <c r="A19" s="118">
        <v>12</v>
      </c>
      <c r="B19" s="114" t="s">
        <v>124</v>
      </c>
      <c r="C19" s="109" t="s">
        <v>417</v>
      </c>
      <c r="D19" s="143"/>
      <c r="E19" s="125" t="e">
        <f>VLOOKUP(Table2575525269102425333442[[#This Row],[PEG]],Table1016[#All],3,FALSE)</f>
        <v>#N/A</v>
      </c>
    </row>
    <row r="20" spans="1:5" x14ac:dyDescent="0.35">
      <c r="A20" s="118">
        <v>13</v>
      </c>
      <c r="B20" s="114" t="s">
        <v>115</v>
      </c>
      <c r="C20" s="109" t="str">
        <f>VLOOKUP(Table2575525269102425333442[[#This Row],[PEG]],Table1016[#All],2,FALSE)</f>
        <v>Is &lt;ivrBankKey&gt; the right number?</v>
      </c>
      <c r="D20" s="143" t="s">
        <v>292</v>
      </c>
      <c r="E20" s="125" t="str">
        <f>VLOOKUP(Table2575525269102425333442[[#This Row],[PEG]],Table1016[#All],3,FALSE)</f>
        <v>Prompt</v>
      </c>
    </row>
    <row r="21" spans="1:5" x14ac:dyDescent="0.35">
      <c r="A21" s="118">
        <v>14</v>
      </c>
      <c r="B21" s="114" t="s">
        <v>124</v>
      </c>
      <c r="C21" s="109" t="s">
        <v>388</v>
      </c>
      <c r="D21" s="143"/>
      <c r="E21" s="125" t="e">
        <f>VLOOKUP(Table2575525269102425333442[[#This Row],[PEG]],Table1016[#All],3,FALSE)</f>
        <v>#N/A</v>
      </c>
    </row>
    <row r="22" spans="1:5" x14ac:dyDescent="0.35">
      <c r="A22" s="118">
        <v>15</v>
      </c>
      <c r="B22" s="114" t="s">
        <v>115</v>
      </c>
      <c r="C22" s="109" t="str">
        <f>VLOOKUP(Table2575525269102425333442[[#This Row],[PEG]],Table1016[#All],2,FALSE)</f>
        <v>Now what is your savings account number.</v>
      </c>
      <c r="D22" s="143" t="s">
        <v>296</v>
      </c>
      <c r="E22" s="125" t="str">
        <f>VLOOKUP(Table2575525269102425333442[[#This Row],[PEG]],Table1016[#All],3,FALSE)</f>
        <v>Prompt</v>
      </c>
    </row>
    <row r="23" spans="1:5" x14ac:dyDescent="0.35">
      <c r="A23" s="118">
        <v>16</v>
      </c>
      <c r="B23" s="114" t="s">
        <v>124</v>
      </c>
      <c r="C23" s="109" t="s">
        <v>420</v>
      </c>
      <c r="D23" s="143"/>
      <c r="E23" s="125" t="e">
        <f>VLOOKUP(Table2575525269102425333442[[#This Row],[PEG]],Table1016[#All],3,FALSE)</f>
        <v>#N/A</v>
      </c>
    </row>
    <row r="24" spans="1:5" x14ac:dyDescent="0.35">
      <c r="A24" s="118">
        <v>17</v>
      </c>
      <c r="B24" s="114" t="s">
        <v>115</v>
      </c>
      <c r="C24" s="109" t="str">
        <f>VLOOKUP(Table2575525269102425333442[[#This Row],[PEG]],Table1016[#All],2,FALSE)</f>
        <v>Is &lt;ivrBankAcct&gt; the right number?</v>
      </c>
      <c r="D24" s="143" t="s">
        <v>301</v>
      </c>
      <c r="E24" s="125">
        <f>VLOOKUP(Table2575525269102425333442[[#This Row],[PEG]],Table1016[#All],3,FALSE)</f>
        <v>0</v>
      </c>
    </row>
    <row r="25" spans="1:5" x14ac:dyDescent="0.35">
      <c r="A25" s="118">
        <v>18</v>
      </c>
      <c r="B25" s="114" t="s">
        <v>124</v>
      </c>
      <c r="C25" s="109" t="s">
        <v>388</v>
      </c>
      <c r="D25" s="143"/>
      <c r="E25" s="125" t="e">
        <f>VLOOKUP(Table2575525269102425333442[[#This Row],[PEG]],Table1016[#All],3,FALSE)</f>
        <v>#N/A</v>
      </c>
    </row>
    <row r="26" spans="1:5" ht="43.5" x14ac:dyDescent="0.35">
      <c r="A26" s="118">
        <v>19</v>
      </c>
      <c r="B26" s="114" t="s">
        <v>115</v>
      </c>
      <c r="C26" s="130" t="str">
        <f>VLOOKUP(Table2575525269102425333442[[#This Row],[PEG]],Table1016[#All],2,FALSE)</f>
        <v>Today &lt;SAP01_SystemDate&gt; I’d like to confirm that you &lt;SAP01_NameFirst&gt; &lt;SAP01_NameLast&gt; are authorizing a payment in the amount of &lt;ivrPmtAmt&gt;
to be processed as an electronic funds transfer, or draft drawn from your account.  Do you agree?</v>
      </c>
      <c r="D26" s="143" t="s">
        <v>304</v>
      </c>
      <c r="E26" s="125" t="str">
        <f>VLOOKUP(Table2575525269102425333442[[#This Row],[PEG]],Table1016[#All],3,FALSE)</f>
        <v>Prompt</v>
      </c>
    </row>
    <row r="27" spans="1:5" x14ac:dyDescent="0.35">
      <c r="A27" s="118">
        <v>20</v>
      </c>
      <c r="B27" s="114" t="s">
        <v>124</v>
      </c>
      <c r="C27" s="127" t="s">
        <v>411</v>
      </c>
      <c r="D27" s="143"/>
      <c r="E27" s="125" t="e">
        <f>VLOOKUP(Table2575525269102425333442[[#This Row],[PEG]],Table1016[#All],3,FALSE)</f>
        <v>#N/A</v>
      </c>
    </row>
    <row r="28" spans="1:5" ht="29" x14ac:dyDescent="0.35">
      <c r="A28" s="118">
        <v>21</v>
      </c>
      <c r="B28" s="114" t="s">
        <v>115</v>
      </c>
      <c r="C28" s="109" t="str">
        <f>VLOOKUP(Table2575525269102425333442[[#This Row],[PEG]],Table1016[#All],2,FALSE)</f>
        <v>It seems you are having trouble. For future transactions you can also access your plan details, or manage your account online anytime at members.lacare.com. One moment while I get someone to help. Make sure to have your invoice available.</v>
      </c>
      <c r="D28" s="143" t="s">
        <v>361</v>
      </c>
      <c r="E28" s="125" t="str">
        <f>VLOOKUP(Table2575525269102425333442[[#This Row],[PEG]],Table1016[#All],3,FALSE)</f>
        <v>Prompt</v>
      </c>
    </row>
    <row r="29" spans="1:5" x14ac:dyDescent="0.35">
      <c r="A29" s="118">
        <v>22</v>
      </c>
      <c r="B29" s="114" t="s">
        <v>13</v>
      </c>
      <c r="C29" s="109" t="s">
        <v>13</v>
      </c>
      <c r="D29" s="143"/>
      <c r="E29" s="125" t="e">
        <f>VLOOKUP(Table2575525269102425333442[[#This Row],[PEG]],Table1016[#All],3,FALSE)</f>
        <v>#N/A</v>
      </c>
    </row>
    <row r="30" spans="1:5" x14ac:dyDescent="0.35">
      <c r="C30" s="26"/>
      <c r="D30" s="111" t="s">
        <v>0</v>
      </c>
    </row>
    <row r="31" spans="1:5" x14ac:dyDescent="0.35">
      <c r="C31" s="26"/>
    </row>
    <row r="32" spans="1:5" x14ac:dyDescent="0.35">
      <c r="C32" s="26"/>
    </row>
    <row r="33" spans="3:3" x14ac:dyDescent="0.35">
      <c r="C33" s="26"/>
    </row>
    <row r="34" spans="3:3" x14ac:dyDescent="0.35">
      <c r="C34" s="26"/>
    </row>
    <row r="35" spans="3:3" x14ac:dyDescent="0.35">
      <c r="C35" s="26"/>
    </row>
    <row r="36" spans="3:3" x14ac:dyDescent="0.35">
      <c r="C36" s="26"/>
    </row>
    <row r="37" spans="3:3" x14ac:dyDescent="0.35">
      <c r="C37" s="26"/>
    </row>
    <row r="38" spans="3:3" x14ac:dyDescent="0.35">
      <c r="C38" s="26"/>
    </row>
    <row r="39" spans="3:3" x14ac:dyDescent="0.35">
      <c r="C39" s="26"/>
    </row>
    <row r="40" spans="3:3" x14ac:dyDescent="0.35">
      <c r="C40" s="26"/>
    </row>
    <row r="41" spans="3:3" x14ac:dyDescent="0.35">
      <c r="C41" s="26"/>
    </row>
    <row r="42" spans="3:3" x14ac:dyDescent="0.35">
      <c r="C42" s="26"/>
    </row>
    <row r="43" spans="3:3" x14ac:dyDescent="0.35">
      <c r="C43" s="26"/>
    </row>
    <row r="44" spans="3:3" x14ac:dyDescent="0.35">
      <c r="C44" s="26"/>
    </row>
    <row r="45" spans="3:3" x14ac:dyDescent="0.35">
      <c r="C45" s="27"/>
    </row>
    <row r="46" spans="3:3" x14ac:dyDescent="0.35">
      <c r="C46" s="27"/>
    </row>
    <row r="47" spans="3:3" x14ac:dyDescent="0.35">
      <c r="C47" s="27"/>
    </row>
  </sheetData>
  <mergeCells count="1">
    <mergeCell ref="A1:B1"/>
  </mergeCells>
  <conditionalFormatting sqref="C28:C9986 C9:C14">
    <cfRule type="expression" dxfId="5682" priority="34">
      <formula>$B9="Dial"</formula>
    </cfRule>
    <cfRule type="expression" dxfId="5681" priority="36">
      <formula>$B9="HANGUP"</formula>
    </cfRule>
  </conditionalFormatting>
  <conditionalFormatting sqref="C8 C27 C17">
    <cfRule type="expression" dxfId="5680" priority="3">
      <formula>$B8="Dial"</formula>
    </cfRule>
    <cfRule type="expression" dxfId="5679" priority="4">
      <formula>$B8="HANGUP"</formula>
    </cfRule>
  </conditionalFormatting>
  <conditionalFormatting sqref="B8:B29">
    <cfRule type="containsText" dxfId="5678" priority="7" operator="containsText" text="Hear">
      <formula>NOT(ISERROR(SEARCH("Hear",B8)))</formula>
    </cfRule>
  </conditionalFormatting>
  <conditionalFormatting sqref="C16 C18:C25">
    <cfRule type="expression" dxfId="5677" priority="8">
      <formula>$B16="Dial"</formula>
    </cfRule>
    <cfRule type="expression" dxfId="5676" priority="10">
      <formula>$B16="HANGUP"</formula>
    </cfRule>
  </conditionalFormatting>
  <conditionalFormatting sqref="C16 C18:C25 C28:C29 C9:C14">
    <cfRule type="expression" dxfId="5675" priority="9">
      <formula>$B9="Speak"</formula>
    </cfRule>
  </conditionalFormatting>
  <conditionalFormatting sqref="C26">
    <cfRule type="expression" dxfId="5674" priority="5">
      <formula>$B26="Dial"</formula>
    </cfRule>
    <cfRule type="expression" dxfId="5673" priority="6">
      <formula>$B26="HANGUP"</formula>
    </cfRule>
  </conditionalFormatting>
  <conditionalFormatting sqref="C15">
    <cfRule type="expression" dxfId="5672" priority="1">
      <formula>$B15="Dial"</formula>
    </cfRule>
    <cfRule type="expression" dxfId="5671" priority="2">
      <formula>$B15="HANGUP"</formula>
    </cfRule>
  </conditionalFormatting>
  <hyperlinks>
    <hyperlink ref="A1" location="'Test Case Overview'!A1" display="Return to Test Case Overview" xr:uid="{00000000-0004-0000-0E00-000000000000}"/>
  </hyperlinks>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containsText" priority="746" operator="containsText" text="WEB SERVICE" id="{713E0E36-21D9-4C40-952A-76A2A9623D12}">
            <xm:f>NOT(ISERROR(SEARCH("WEB SERVICE",'TC1'!#REF!)))</xm:f>
            <x14:dxf>
              <font>
                <color rgb="FF9C0006"/>
              </font>
              <fill>
                <patternFill>
                  <bgColor rgb="FFFFC7CE"/>
                </patternFill>
              </fill>
            </x14:dxf>
          </x14:cfRule>
          <x14:cfRule type="containsText" priority="747" operator="containsText" text="DB" id="{68989D4D-7DD0-4758-BC0D-65AC897EAD42}">
            <xm:f>NOT(ISERROR(SEARCH("DB",'TC1'!#REF!)))</xm:f>
            <x14:dxf>
              <font>
                <color rgb="FF006100"/>
              </font>
              <fill>
                <patternFill>
                  <bgColor rgb="FFC6EFCE"/>
                </patternFill>
              </fill>
            </x14:dxf>
          </x14:cfRule>
          <xm:sqref>E15:E29</xm:sqref>
        </x14:conditionalFormatting>
        <x14:conditionalFormatting xmlns:xm="http://schemas.microsoft.com/office/excel/2006/main">
          <x14:cfRule type="containsText" priority="3605" operator="containsText" text="WEB SERVICE" id="{713E0E36-21D9-4C40-952A-76A2A9623D12}">
            <xm:f>NOT(ISERROR(SEARCH("WEB SERVICE",'TC1'!#REF!)))</xm:f>
            <x14:dxf>
              <font>
                <color rgb="FF9C0006"/>
              </font>
              <fill>
                <patternFill>
                  <bgColor rgb="FFFFC7CE"/>
                </patternFill>
              </fill>
            </x14:dxf>
          </x14:cfRule>
          <x14:cfRule type="containsText" priority="3606" operator="containsText" text="DB" id="{68989D4D-7DD0-4758-BC0D-65AC897EAD42}">
            <xm:f>NOT(ISERROR(SEARCH("DB",'TC1'!#REF!)))</xm:f>
            <x14:dxf>
              <font>
                <color rgb="FF006100"/>
              </font>
              <fill>
                <patternFill>
                  <bgColor rgb="FFC6EFCE"/>
                </patternFill>
              </fill>
            </x14:dxf>
          </x14:cfRule>
          <xm:sqref>E9</xm:sqref>
        </x14:conditionalFormatting>
        <x14:conditionalFormatting xmlns:xm="http://schemas.microsoft.com/office/excel/2006/main">
          <x14:cfRule type="containsText" priority="3607" operator="containsText" text="WEB SERVICE" id="{713E0E36-21D9-4C40-952A-76A2A9623D12}">
            <xm:f>NOT(ISERROR(SEARCH("WEB SERVICE",'TC1'!E9)))</xm:f>
            <x14:dxf>
              <font>
                <color rgb="FF9C0006"/>
              </font>
              <fill>
                <patternFill>
                  <bgColor rgb="FFFFC7CE"/>
                </patternFill>
              </fill>
            </x14:dxf>
          </x14:cfRule>
          <x14:cfRule type="containsText" priority="3608" operator="containsText" text="DB" id="{68989D4D-7DD0-4758-BC0D-65AC897EAD42}">
            <xm:f>NOT(ISERROR(SEARCH("DB",'TC1'!E9)))</xm:f>
            <x14:dxf>
              <font>
                <color rgb="FF006100"/>
              </font>
              <fill>
                <patternFill>
                  <bgColor rgb="FFC6EFCE"/>
                </patternFill>
              </fill>
            </x14:dxf>
          </x14:cfRule>
          <xm:sqref>E10:E13</xm:sqref>
        </x14:conditionalFormatting>
        <x14:conditionalFormatting xmlns:xm="http://schemas.microsoft.com/office/excel/2006/main">
          <x14:cfRule type="containsText" priority="6177" operator="containsText" text="WEB SERVICE" id="{713E0E36-21D9-4C40-952A-76A2A9623D12}">
            <xm:f>NOT(ISERROR(SEARCH("WEB SERVICE",'TC1'!E15)))</xm:f>
            <x14:dxf>
              <font>
                <color rgb="FF9C0006"/>
              </font>
              <fill>
                <patternFill>
                  <bgColor rgb="FFFFC7CE"/>
                </patternFill>
              </fill>
            </x14:dxf>
          </x14:cfRule>
          <x14:cfRule type="containsText" priority="6178" operator="containsText" text="DB" id="{68989D4D-7DD0-4758-BC0D-65AC897EAD42}">
            <xm:f>NOT(ISERROR(SEARCH("DB",'TC1'!E15)))</xm:f>
            <x14:dxf>
              <font>
                <color rgb="FF006100"/>
              </font>
              <fill>
                <patternFill>
                  <bgColor rgb="FFC6EFCE"/>
                </patternFill>
              </fill>
            </x14:dxf>
          </x14:cfRule>
          <xm:sqref>E14</xm:sqref>
        </x14:conditionalFormatting>
      </x14:conditionalFormattings>
    </ext>
  </extLst>
</worksheet>
</file>

<file path=xl/worksheets/sheet1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500-000000000000}">
  <sheetPr codeName="Sheet151"/>
  <dimension ref="A1:E44"/>
  <sheetViews>
    <sheetView zoomScaleNormal="100" workbookViewId="0">
      <selection sqref="A1:E44"/>
    </sheetView>
  </sheetViews>
  <sheetFormatPr defaultRowHeight="14.5" x14ac:dyDescent="0.35"/>
  <cols>
    <col min="1" max="1" width="14.453125" bestFit="1" customWidth="1"/>
    <col min="2" max="2" width="42.6328125" customWidth="1"/>
    <col min="3" max="3" width="106.1796875" customWidth="1"/>
    <col min="4" max="4" width="21.81640625" bestFit="1" customWidth="1"/>
    <col min="5" max="5" width="20.6328125" customWidth="1"/>
  </cols>
  <sheetData>
    <row r="1" spans="1:5" ht="18.5" x14ac:dyDescent="0.35">
      <c r="A1" s="192" t="s">
        <v>4</v>
      </c>
      <c r="B1" s="192"/>
      <c r="C1" s="105"/>
      <c r="D1" s="111"/>
      <c r="E1" s="97"/>
    </row>
    <row r="2" spans="1:5" x14ac:dyDescent="0.35">
      <c r="A2" s="106" t="s">
        <v>5</v>
      </c>
      <c r="B2" s="107" t="str">
        <f ca="1">MID(CELL("filename",A1),FIND("]",CELL("filename",A1))+1,LEN(CELL("filename",A1))-FIND("]",CELL("filename",A1)))</f>
        <v>TC149</v>
      </c>
      <c r="C2" s="98"/>
      <c r="D2" s="111"/>
      <c r="E2" s="97"/>
    </row>
    <row r="3" spans="1:5" x14ac:dyDescent="0.35">
      <c r="A3" s="104" t="s">
        <v>19</v>
      </c>
      <c r="B3" s="112" t="e">
        <f ca="1">VLOOKUP(B2,Table53[#All],2,FALSE)</f>
        <v>#N/A</v>
      </c>
      <c r="C3" s="98"/>
      <c r="D3" s="111"/>
      <c r="E3" s="97"/>
    </row>
    <row r="4" spans="1:5" ht="29" x14ac:dyDescent="0.35">
      <c r="A4" s="113" t="s">
        <v>20</v>
      </c>
      <c r="B4" s="99" t="e">
        <f ca="1">VLOOKUP(B2,Table53[#All],4,FALSE)</f>
        <v>#N/A</v>
      </c>
      <c r="C4" s="98"/>
      <c r="D4" s="111"/>
      <c r="E4" s="97"/>
    </row>
    <row r="5" spans="1:5" x14ac:dyDescent="0.35">
      <c r="A5" s="104" t="s">
        <v>6</v>
      </c>
      <c r="B5" s="77" t="e">
        <f ca="1">VLOOKUP(B2,Table53[#All],3,FALSE)</f>
        <v>#N/A</v>
      </c>
      <c r="C5" s="98"/>
      <c r="D5" s="111"/>
      <c r="E5" s="97"/>
    </row>
    <row r="6" spans="1:5" x14ac:dyDescent="0.35">
      <c r="A6" s="97"/>
      <c r="B6" s="97"/>
      <c r="C6" s="98"/>
      <c r="D6" s="111"/>
      <c r="E6" s="97"/>
    </row>
    <row r="7" spans="1:5" ht="15.5" x14ac:dyDescent="0.35">
      <c r="A7" s="100" t="s">
        <v>7</v>
      </c>
      <c r="B7" s="101" t="s">
        <v>8</v>
      </c>
      <c r="C7" s="102" t="s">
        <v>9</v>
      </c>
      <c r="D7" s="102" t="s">
        <v>14</v>
      </c>
      <c r="E7" s="103" t="s">
        <v>10</v>
      </c>
    </row>
    <row r="8" spans="1:5" x14ac:dyDescent="0.35">
      <c r="A8" s="118">
        <v>1</v>
      </c>
      <c r="B8" s="114" t="s">
        <v>114</v>
      </c>
      <c r="C8" s="109" t="s">
        <v>125</v>
      </c>
      <c r="D8" s="128"/>
      <c r="E8" s="125" t="s">
        <v>11</v>
      </c>
    </row>
    <row r="9" spans="1:5" x14ac:dyDescent="0.35">
      <c r="A9" s="118">
        <v>2</v>
      </c>
      <c r="B9" s="114" t="s">
        <v>12</v>
      </c>
      <c r="C9" s="109" t="e">
        <f>VLOOKUP(Table257519913140106110151155170178204207[[#This Row],[PEG]],Table1016[#All],2,FALSE)</f>
        <v>#N/A</v>
      </c>
      <c r="D9" s="128"/>
      <c r="E9" s="125" t="e">
        <f>VLOOKUP(Table257519913140106110151155170178204207[[#This Row],[PEG]],Table1016[#All],3,FALSE)</f>
        <v>#N/A</v>
      </c>
    </row>
    <row r="10" spans="1:5" x14ac:dyDescent="0.35">
      <c r="A10" s="118">
        <v>3</v>
      </c>
      <c r="B10" s="114" t="s">
        <v>115</v>
      </c>
      <c r="C10" s="109" t="e">
        <f>VLOOKUP(Table257519913140106110151155170178204207[[#This Row],[PEG]],Table1016[#All],2,FALSE)</f>
        <v>#N/A</v>
      </c>
      <c r="D10" s="128"/>
      <c r="E10" s="125" t="e">
        <f>VLOOKUP(Table257519913140106110151155170178204207[[#This Row],[PEG]],Table1016[#All],3,FALSE)</f>
        <v>#N/A</v>
      </c>
    </row>
    <row r="11" spans="1:5" x14ac:dyDescent="0.35">
      <c r="A11" s="118">
        <v>4</v>
      </c>
      <c r="B11" s="114" t="s">
        <v>115</v>
      </c>
      <c r="C11" s="109" t="e">
        <f>VLOOKUP(Table257519913140106110151155170178204207[[#This Row],[PEG]],Table1016[#All],2,FALSE)</f>
        <v>#N/A</v>
      </c>
      <c r="D11" s="128"/>
      <c r="E11" s="125" t="e">
        <f>VLOOKUP(Table257519913140106110151155170178204207[[#This Row],[PEG]],Table1016[#All],3,FALSE)</f>
        <v>#N/A</v>
      </c>
    </row>
    <row r="12" spans="1:5" x14ac:dyDescent="0.35">
      <c r="A12" s="118">
        <v>5</v>
      </c>
      <c r="B12" s="114" t="s">
        <v>114</v>
      </c>
      <c r="C12" s="109" t="e">
        <f>VLOOKUP(Table257519913140106110151155170178204207[[#This Row],[PEG]],Table1016[#All],2,FALSE)</f>
        <v>#N/A</v>
      </c>
      <c r="D12" s="128"/>
      <c r="E12" s="125" t="e">
        <f>VLOOKUP(Table257519913140106110151155170178204207[[#This Row],[PEG]],Table1016[#All],3,FALSE)</f>
        <v>#N/A</v>
      </c>
    </row>
    <row r="13" spans="1:5" x14ac:dyDescent="0.35">
      <c r="A13" s="118">
        <v>6</v>
      </c>
      <c r="B13" s="114" t="s">
        <v>115</v>
      </c>
      <c r="C13" s="109" t="e">
        <f>VLOOKUP(Table257519913140106110151155170178204207[[#This Row],[PEG]],Table1016[#All],2,FALSE)</f>
        <v>#N/A</v>
      </c>
      <c r="D13" s="128"/>
      <c r="E13" s="125" t="e">
        <f>VLOOKUP(Table257519913140106110151155170178204207[[#This Row],[PEG]],Table1016[#All],3,FALSE)</f>
        <v>#N/A</v>
      </c>
    </row>
    <row r="14" spans="1:5" x14ac:dyDescent="0.35">
      <c r="A14" s="118">
        <v>7</v>
      </c>
      <c r="B14" s="114" t="s">
        <v>114</v>
      </c>
      <c r="C14" s="109" t="e">
        <f>VLOOKUP(Table257519913140106110151155170178204207[[#This Row],[PEG]],Table1016[#All],2,FALSE)</f>
        <v>#N/A</v>
      </c>
      <c r="D14" s="128"/>
      <c r="E14" s="125" t="e">
        <f>VLOOKUP(Table257519913140106110151155170178204207[[#This Row],[PEG]],Table1016[#All],3,FALSE)</f>
        <v>#N/A</v>
      </c>
    </row>
    <row r="15" spans="1:5" x14ac:dyDescent="0.35">
      <c r="A15" s="118">
        <v>8</v>
      </c>
      <c r="B15" s="114" t="s">
        <v>115</v>
      </c>
      <c r="C15" s="109" t="e">
        <f>VLOOKUP(Table257519913140106110151155170178204207[[#This Row],[PEG]],Table1016[#All],2,FALSE)</f>
        <v>#N/A</v>
      </c>
      <c r="D15" s="116"/>
      <c r="E15" s="125" t="e">
        <f>VLOOKUP(Table257519913140106110151155170178204207[[#This Row],[PEG]],Table1016[#All],3,FALSE)</f>
        <v>#N/A</v>
      </c>
    </row>
    <row r="16" spans="1:5" x14ac:dyDescent="0.35">
      <c r="A16" s="118">
        <v>9</v>
      </c>
      <c r="B16" s="114" t="s">
        <v>12</v>
      </c>
      <c r="C16" s="109" t="e">
        <f>VLOOKUP(Table257519913140106110151155170178204207[[#This Row],[PEG]],Table1016[#All],2,FALSE)</f>
        <v>#N/A</v>
      </c>
      <c r="D16" s="116"/>
      <c r="E16" s="125" t="e">
        <f>VLOOKUP(Table257519913140106110151155170178204207[[#This Row],[PEG]],Table1016[#All],3,FALSE)</f>
        <v>#N/A</v>
      </c>
    </row>
    <row r="17" spans="1:5" x14ac:dyDescent="0.35">
      <c r="A17" s="118">
        <v>10</v>
      </c>
      <c r="B17" s="114" t="s">
        <v>12</v>
      </c>
      <c r="C17" s="109" t="e">
        <f>VLOOKUP(Table257519913140106110151155170178204207[[#This Row],[PEG]],Table1016[#All],2,FALSE)</f>
        <v>#N/A</v>
      </c>
      <c r="D17" s="117"/>
      <c r="E17" s="125" t="e">
        <f>VLOOKUP(Table257519913140106110151155170178204207[[#This Row],[PEG]],Table1016[#All],3,FALSE)</f>
        <v>#N/A</v>
      </c>
    </row>
    <row r="18" spans="1:5" x14ac:dyDescent="0.35">
      <c r="A18" s="118">
        <v>11</v>
      </c>
      <c r="B18" s="114" t="s">
        <v>115</v>
      </c>
      <c r="C18" s="109" t="e">
        <f>VLOOKUP(Table257519913140106110151155170178204207[[#This Row],[PEG]],Table1016[#All],2,FALSE)</f>
        <v>#N/A</v>
      </c>
      <c r="D18" s="117"/>
      <c r="E18" s="125" t="e">
        <f>VLOOKUP(Table257519913140106110151155170178204207[[#This Row],[PEG]],Table1016[#All],3,FALSE)</f>
        <v>#N/A</v>
      </c>
    </row>
    <row r="19" spans="1:5" x14ac:dyDescent="0.35">
      <c r="A19" s="118">
        <v>12</v>
      </c>
      <c r="B19" s="114" t="s">
        <v>115</v>
      </c>
      <c r="C19" s="109" t="e">
        <f>VLOOKUP(Table257519913140106110151155170178204207[[#This Row],[PEG]],Table1016[#All],2,FALSE)</f>
        <v>#N/A</v>
      </c>
      <c r="D19" s="117"/>
      <c r="E19" s="125" t="e">
        <f>VLOOKUP(Table257519913140106110151155170178204207[[#This Row],[PEG]],Table1016[#All],3,FALSE)</f>
        <v>#N/A</v>
      </c>
    </row>
    <row r="20" spans="1:5" x14ac:dyDescent="0.35">
      <c r="A20" s="118">
        <v>13</v>
      </c>
      <c r="B20" s="114" t="s">
        <v>114</v>
      </c>
      <c r="C20" s="109" t="e">
        <f>VLOOKUP(Table257519913140106110151155170178204207[[#This Row],[PEG]],Table1016[#All],2,FALSE)</f>
        <v>#N/A</v>
      </c>
      <c r="D20" s="117"/>
      <c r="E20" s="125" t="e">
        <f>VLOOKUP(Table257519913140106110151155170178204207[[#This Row],[PEG]],Table1016[#All],3,FALSE)</f>
        <v>#N/A</v>
      </c>
    </row>
    <row r="21" spans="1:5" x14ac:dyDescent="0.35">
      <c r="A21" s="118">
        <v>14</v>
      </c>
      <c r="B21" s="114" t="s">
        <v>12</v>
      </c>
      <c r="C21" s="109" t="e">
        <f>VLOOKUP(Table257519913140106110151155170178204207[[#This Row],[PEG]],Table1016[#All],2,FALSE)</f>
        <v>#N/A</v>
      </c>
      <c r="D21" s="117"/>
      <c r="E21" s="125" t="e">
        <f>VLOOKUP(Table257519913140106110151155170178204207[[#This Row],[PEG]],Table1016[#All],3,FALSE)</f>
        <v>#N/A</v>
      </c>
    </row>
    <row r="22" spans="1:5" x14ac:dyDescent="0.35">
      <c r="A22" s="118">
        <v>15</v>
      </c>
      <c r="B22" s="114" t="s">
        <v>12</v>
      </c>
      <c r="C22" s="109" t="e">
        <f>VLOOKUP(Table257519913140106110151155170178204207[[#This Row],[PEG]],Table1016[#All],2,FALSE)</f>
        <v>#N/A</v>
      </c>
      <c r="D22" s="117"/>
      <c r="E22" s="125" t="e">
        <f>VLOOKUP(Table257519913140106110151155170178204207[[#This Row],[PEG]],Table1016[#All],3,FALSE)</f>
        <v>#N/A</v>
      </c>
    </row>
    <row r="23" spans="1:5" x14ac:dyDescent="0.35">
      <c r="A23" s="118">
        <v>16</v>
      </c>
      <c r="B23" s="114" t="s">
        <v>115</v>
      </c>
      <c r="C23" s="109" t="e">
        <f>VLOOKUP(Table257519913140106110151155170178204207[[#This Row],[PEG]],Table1016[#All],2,FALSE)</f>
        <v>#N/A</v>
      </c>
      <c r="D23" s="117"/>
      <c r="E23" s="125" t="e">
        <f>VLOOKUP(Table257519913140106110151155170178204207[[#This Row],[PEG]],Table1016[#All],3,FALSE)</f>
        <v>#N/A</v>
      </c>
    </row>
    <row r="24" spans="1:5" x14ac:dyDescent="0.35">
      <c r="A24" s="118">
        <v>17</v>
      </c>
      <c r="B24" s="114" t="s">
        <v>114</v>
      </c>
      <c r="C24" s="109" t="e">
        <f>VLOOKUP(Table257519913140106110151155170178204207[[#This Row],[PEG]],Table1016[#All],2,FALSE)</f>
        <v>#N/A</v>
      </c>
      <c r="D24" s="117"/>
      <c r="E24" s="125" t="e">
        <f>VLOOKUP(Table257519913140106110151155170178204207[[#This Row],[PEG]],Table1016[#All],3,FALSE)</f>
        <v>#N/A</v>
      </c>
    </row>
    <row r="25" spans="1:5" x14ac:dyDescent="0.35">
      <c r="A25" s="118">
        <v>18</v>
      </c>
      <c r="B25" s="114" t="s">
        <v>12</v>
      </c>
      <c r="C25" s="109" t="e">
        <f>VLOOKUP(Table257519913140106110151155170178204207[[#This Row],[PEG]],Table1016[#All],2,FALSE)</f>
        <v>#N/A</v>
      </c>
      <c r="D25" s="117"/>
      <c r="E25" s="125" t="e">
        <f>VLOOKUP(Table257519913140106110151155170178204207[[#This Row],[PEG]],Table1016[#All],3,FALSE)</f>
        <v>#N/A</v>
      </c>
    </row>
    <row r="26" spans="1:5" x14ac:dyDescent="0.35">
      <c r="A26" s="118">
        <v>19</v>
      </c>
      <c r="B26" s="114" t="s">
        <v>12</v>
      </c>
      <c r="C26" s="109" t="e">
        <f>VLOOKUP(Table257519913140106110151155170178204207[[#This Row],[PEG]],Table1016[#All],2,FALSE)</f>
        <v>#N/A</v>
      </c>
      <c r="D26" s="117"/>
      <c r="E26" s="125" t="e">
        <f>VLOOKUP(Table257519913140106110151155170178204207[[#This Row],[PEG]],Table1016[#All],3,FALSE)</f>
        <v>#N/A</v>
      </c>
    </row>
    <row r="27" spans="1:5" x14ac:dyDescent="0.35">
      <c r="A27" s="118">
        <v>20</v>
      </c>
      <c r="B27" s="114" t="s">
        <v>115</v>
      </c>
      <c r="C27" s="109" t="e">
        <f>VLOOKUP(Table257519913140106110151155170178204207[[#This Row],[PEG]],Table1016[#All],2,FALSE)</f>
        <v>#N/A</v>
      </c>
      <c r="D27" s="117"/>
      <c r="E27" s="125" t="e">
        <f>VLOOKUP(Table257519913140106110151155170178204207[[#This Row],[PEG]],Table1016[#All],3,FALSE)</f>
        <v>#N/A</v>
      </c>
    </row>
    <row r="28" spans="1:5" x14ac:dyDescent="0.35">
      <c r="A28" s="118">
        <v>21</v>
      </c>
      <c r="B28" s="114" t="s">
        <v>114</v>
      </c>
      <c r="C28" s="109" t="e">
        <f>VLOOKUP(Table257519913140106110151155170178204207[[#This Row],[PEG]],Table1016[#All],2,FALSE)</f>
        <v>#N/A</v>
      </c>
      <c r="D28" s="117"/>
      <c r="E28" s="125" t="e">
        <f>VLOOKUP(Table257519913140106110151155170178204207[[#This Row],[PEG]],Table1016[#All],3,FALSE)</f>
        <v>#N/A</v>
      </c>
    </row>
    <row r="29" spans="1:5" x14ac:dyDescent="0.35">
      <c r="A29" s="118">
        <v>22</v>
      </c>
      <c r="B29" s="114" t="s">
        <v>12</v>
      </c>
      <c r="C29" s="109" t="e">
        <f>VLOOKUP(Table257519913140106110151155170178204207[[#This Row],[PEG]],Table1016[#All],2,FALSE)</f>
        <v>#N/A</v>
      </c>
      <c r="D29" s="117"/>
      <c r="E29" s="125" t="e">
        <f>VLOOKUP(Table257519913140106110151155170178204207[[#This Row],[PEG]],Table1016[#All],3,FALSE)</f>
        <v>#N/A</v>
      </c>
    </row>
    <row r="30" spans="1:5" x14ac:dyDescent="0.35">
      <c r="A30" s="118">
        <v>23</v>
      </c>
      <c r="B30" s="114" t="s">
        <v>12</v>
      </c>
      <c r="C30" s="109" t="e">
        <f>VLOOKUP(Table257519913140106110151155170178204207[[#This Row],[PEG]],Table1016[#All],2,FALSE)</f>
        <v>#N/A</v>
      </c>
      <c r="D30" s="117"/>
      <c r="E30" s="125" t="e">
        <f>VLOOKUP(Table257519913140106110151155170178204207[[#This Row],[PEG]],Table1016[#All],3,FALSE)</f>
        <v>#N/A</v>
      </c>
    </row>
    <row r="31" spans="1:5" x14ac:dyDescent="0.35">
      <c r="A31" s="118">
        <v>24</v>
      </c>
      <c r="B31" s="114" t="s">
        <v>115</v>
      </c>
      <c r="C31" s="109" t="e">
        <f>VLOOKUP(Table257519913140106110151155170178204207[[#This Row],[PEG]],Table1016[#All],2,FALSE)</f>
        <v>#N/A</v>
      </c>
      <c r="D31" s="117"/>
      <c r="E31" s="125" t="e">
        <f>VLOOKUP(Table257519913140106110151155170178204207[[#This Row],[PEG]],Table1016[#All],3,FALSE)</f>
        <v>#N/A</v>
      </c>
    </row>
    <row r="32" spans="1:5" x14ac:dyDescent="0.35">
      <c r="A32" s="118">
        <v>25</v>
      </c>
      <c r="B32" s="114" t="s">
        <v>115</v>
      </c>
      <c r="C32" s="109" t="e">
        <f>VLOOKUP(Table257519913140106110151155170178204207[[#This Row],[PEG]],Table1016[#All],2,FALSE)</f>
        <v>#N/A</v>
      </c>
      <c r="D32" s="117"/>
      <c r="E32" s="125" t="e">
        <f>VLOOKUP(Table257519913140106110151155170178204207[[#This Row],[PEG]],Table1016[#All],3,FALSE)</f>
        <v>#N/A</v>
      </c>
    </row>
    <row r="33" spans="1:5" x14ac:dyDescent="0.35">
      <c r="A33" s="118">
        <v>26</v>
      </c>
      <c r="B33" s="114" t="s">
        <v>124</v>
      </c>
      <c r="C33" s="109" t="e">
        <f>VLOOKUP(Table257519913140106110151155170178204207[[#This Row],[PEG]],Table1016[#All],2,FALSE)</f>
        <v>#N/A</v>
      </c>
      <c r="D33" s="117"/>
      <c r="E33" s="125" t="e">
        <f>VLOOKUP(Table257519913140106110151155170178204207[[#This Row],[PEG]],Table1016[#All],3,FALSE)</f>
        <v>#N/A</v>
      </c>
    </row>
    <row r="34" spans="1:5" x14ac:dyDescent="0.35">
      <c r="A34" s="118">
        <v>27</v>
      </c>
      <c r="B34" s="114" t="s">
        <v>115</v>
      </c>
      <c r="C34" s="109" t="e">
        <f>VLOOKUP(Table257519913140106110151155170178204207[[#This Row],[PEG]],Table1016[#All],2,FALSE)</f>
        <v>#N/A</v>
      </c>
      <c r="D34" s="117"/>
      <c r="E34" s="125" t="e">
        <f>VLOOKUP(Table257519913140106110151155170178204207[[#This Row],[PEG]],Table1016[#All],3,FALSE)</f>
        <v>#N/A</v>
      </c>
    </row>
    <row r="35" spans="1:5" x14ac:dyDescent="0.35">
      <c r="A35" s="118">
        <v>28</v>
      </c>
      <c r="B35" s="114" t="s">
        <v>124</v>
      </c>
      <c r="C35" s="109" t="e">
        <f>VLOOKUP(Table257519913140106110151155170178204207[[#This Row],[PEG]],Table1016[#All],2,FALSE)</f>
        <v>#N/A</v>
      </c>
      <c r="D35" s="117"/>
      <c r="E35" s="125" t="e">
        <f>VLOOKUP(Table257519913140106110151155170178204207[[#This Row],[PEG]],Table1016[#All],3,FALSE)</f>
        <v>#N/A</v>
      </c>
    </row>
    <row r="36" spans="1:5" x14ac:dyDescent="0.35">
      <c r="A36" s="118">
        <v>29</v>
      </c>
      <c r="B36" s="114" t="s">
        <v>115</v>
      </c>
      <c r="C36" s="109" t="e">
        <f>VLOOKUP(Table257519913140106110151155170178204207[[#This Row],[PEG]],Table1016[#All],2,FALSE)</f>
        <v>#N/A</v>
      </c>
      <c r="D36" s="117"/>
      <c r="E36" s="125" t="e">
        <f>VLOOKUP(Table257519913140106110151155170178204207[[#This Row],[PEG]],Table1016[#All],3,FALSE)</f>
        <v>#N/A</v>
      </c>
    </row>
    <row r="37" spans="1:5" x14ac:dyDescent="0.35">
      <c r="A37" s="118">
        <v>30</v>
      </c>
      <c r="B37" s="114" t="s">
        <v>12</v>
      </c>
      <c r="C37" s="109" t="e">
        <f>VLOOKUP(Table257519913140106110151155170178204207[[#This Row],[PEG]],Table1016[#All],2,FALSE)</f>
        <v>#N/A</v>
      </c>
      <c r="D37" s="117"/>
      <c r="E37" s="125" t="e">
        <f>VLOOKUP(Table257519913140106110151155170178204207[[#This Row],[PEG]],Table1016[#All],3,FALSE)</f>
        <v>#N/A</v>
      </c>
    </row>
    <row r="38" spans="1:5" x14ac:dyDescent="0.35">
      <c r="A38" s="118">
        <v>31</v>
      </c>
      <c r="B38" s="114" t="s">
        <v>12</v>
      </c>
      <c r="C38" s="109" t="e">
        <f>VLOOKUP(Table257519913140106110151155170178204207[[#This Row],[PEG]],Table1016[#All],2,FALSE)</f>
        <v>#N/A</v>
      </c>
      <c r="D38" s="117"/>
      <c r="E38" s="125" t="e">
        <f>VLOOKUP(Table257519913140106110151155170178204207[[#This Row],[PEG]],Table1016[#All],3,FALSE)</f>
        <v>#N/A</v>
      </c>
    </row>
    <row r="39" spans="1:5" x14ac:dyDescent="0.35">
      <c r="A39" s="118">
        <v>32</v>
      </c>
      <c r="B39" s="114" t="s">
        <v>12</v>
      </c>
      <c r="C39" s="109" t="e">
        <f>VLOOKUP(Table257519913140106110151155170178204207[[#This Row],[PEG]],Table1016[#All],2,FALSE)</f>
        <v>#N/A</v>
      </c>
      <c r="D39" s="117"/>
      <c r="E39" s="125" t="e">
        <f>VLOOKUP(Table257519913140106110151155170178204207[[#This Row],[PEG]],Table1016[#All],3,FALSE)</f>
        <v>#N/A</v>
      </c>
    </row>
    <row r="40" spans="1:5" x14ac:dyDescent="0.35">
      <c r="A40" s="118">
        <v>33</v>
      </c>
      <c r="B40" s="114" t="s">
        <v>12</v>
      </c>
      <c r="C40" s="109" t="e">
        <f>VLOOKUP(Table257519913140106110151155170178204207[[#This Row],[PEG]],Table1016[#All],2,FALSE)</f>
        <v>#N/A</v>
      </c>
      <c r="D40" s="117"/>
      <c r="E40" s="125" t="e">
        <f>VLOOKUP(Table257519913140106110151155170178204207[[#This Row],[PEG]],Table1016[#All],3,FALSE)</f>
        <v>#N/A</v>
      </c>
    </row>
    <row r="41" spans="1:5" x14ac:dyDescent="0.35">
      <c r="A41" s="118">
        <v>34</v>
      </c>
      <c r="B41" s="114" t="s">
        <v>115</v>
      </c>
      <c r="C41" s="109" t="e">
        <f>VLOOKUP(Table257519913140106110151155170178204207[[#This Row],[PEG]],Table1016[#All],2,FALSE)</f>
        <v>#N/A</v>
      </c>
      <c r="D41" s="117"/>
      <c r="E41" s="125" t="e">
        <f>VLOOKUP(Table257519913140106110151155170178204207[[#This Row],[PEG]],Table1016[#All],3,FALSE)</f>
        <v>#N/A</v>
      </c>
    </row>
    <row r="42" spans="1:5" x14ac:dyDescent="0.35">
      <c r="A42" s="118">
        <v>35</v>
      </c>
      <c r="B42" s="114" t="s">
        <v>12</v>
      </c>
      <c r="C42" s="109" t="e">
        <f>VLOOKUP(Table257519913140106110151155170178204207[[#This Row],[PEG]],Table1016[#All],2,FALSE)</f>
        <v>#N/A</v>
      </c>
      <c r="D42" s="115"/>
      <c r="E42" s="125" t="e">
        <f>VLOOKUP(Table257519913140106110151155170178204207[[#This Row],[PEG]],Table1016[#All],3,FALSE)</f>
        <v>#N/A</v>
      </c>
    </row>
    <row r="43" spans="1:5" x14ac:dyDescent="0.35">
      <c r="A43" s="118">
        <v>36</v>
      </c>
      <c r="B43" s="114" t="s">
        <v>115</v>
      </c>
      <c r="C43" s="109" t="e">
        <f>VLOOKUP(Table257519913140106110151155170178204207[[#This Row],[PEG]],Table1016[#All],2,FALSE)</f>
        <v>#N/A</v>
      </c>
      <c r="D43" s="115"/>
      <c r="E43" s="125" t="e">
        <f>VLOOKUP(Table257519913140106110151155170178204207[[#This Row],[PEG]],Table1016[#All],3,FALSE)</f>
        <v>#N/A</v>
      </c>
    </row>
    <row r="44" spans="1:5" x14ac:dyDescent="0.35">
      <c r="A44" s="118">
        <v>37</v>
      </c>
      <c r="B44" s="114" t="s">
        <v>13</v>
      </c>
      <c r="C44" s="18" t="s">
        <v>13</v>
      </c>
      <c r="D44" s="115"/>
      <c r="E44" s="32"/>
    </row>
  </sheetData>
  <mergeCells count="1">
    <mergeCell ref="A1:B1"/>
  </mergeCells>
  <conditionalFormatting sqref="B8:B18">
    <cfRule type="containsText" dxfId="845" priority="1" operator="containsText" text="Hear">
      <formula>NOT(ISERROR(SEARCH("Hear",B8)))</formula>
    </cfRule>
  </conditionalFormatting>
  <conditionalFormatting sqref="B30">
    <cfRule type="containsText" dxfId="844" priority="4" operator="containsText" text="Hear">
      <formula>NOT(ISERROR(SEARCH("Hear",B30)))</formula>
    </cfRule>
  </conditionalFormatting>
  <conditionalFormatting sqref="B43:B44">
    <cfRule type="containsText" dxfId="843" priority="8" operator="containsText" text="Hear">
      <formula>NOT(ISERROR(SEARCH("Hear",B43)))</formula>
    </cfRule>
  </conditionalFormatting>
  <conditionalFormatting sqref="E44">
    <cfRule type="containsText" dxfId="842" priority="6" operator="containsText" text="WEB SERVICE">
      <formula>NOT(ISERROR(SEARCH("WEB SERVICE",E44)))</formula>
    </cfRule>
    <cfRule type="containsText" dxfId="841" priority="7" operator="containsText" text="DB">
      <formula>NOT(ISERROR(SEARCH("DB",E44)))</formula>
    </cfRule>
  </conditionalFormatting>
  <conditionalFormatting sqref="C44">
    <cfRule type="expression" dxfId="840" priority="9">
      <formula>$B44="Dial"</formula>
    </cfRule>
  </conditionalFormatting>
  <conditionalFormatting sqref="C44">
    <cfRule type="expression" dxfId="839" priority="3">
      <formula>$B44="Speak"</formula>
    </cfRule>
  </conditionalFormatting>
  <conditionalFormatting sqref="B19:B29 B31:B35 B42">
    <cfRule type="containsText" dxfId="838" priority="5" operator="containsText" text="Hear">
      <formula>NOT(ISERROR(SEARCH("Hear",B19)))</formula>
    </cfRule>
  </conditionalFormatting>
  <hyperlinks>
    <hyperlink ref="A1" location="'Test Case Overview'!A1" display="Return to Test Case Overview" xr:uid="{A4F45B6E-B670-40F4-A0C3-6CF4D34430F2}"/>
  </hyperlinks>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expression" priority="2" id="{674926B4-CDF4-4E2F-835D-081B7E4CA8E3}">
            <xm:f>'TC1'!$B8="HANGUP"</xm:f>
            <x14:dxf>
              <font>
                <b/>
                <i val="0"/>
              </font>
            </x14:dxf>
          </x14:cfRule>
          <xm:sqref>C8</xm:sqref>
        </x14:conditionalFormatting>
        <x14:conditionalFormatting xmlns:xm="http://schemas.microsoft.com/office/excel/2006/main">
          <x14:cfRule type="expression" priority="3242" id="{674926B4-CDF4-4E2F-835D-081B7E4CA8E3}">
            <xm:f>'TC1'!$B16="HANGUP"</xm:f>
            <x14:dxf>
              <font>
                <b/>
                <i val="0"/>
              </font>
            </x14:dxf>
          </x14:cfRule>
          <xm:sqref>C34:C43</xm:sqref>
        </x14:conditionalFormatting>
        <x14:conditionalFormatting xmlns:xm="http://schemas.microsoft.com/office/excel/2006/main">
          <x14:cfRule type="expression" priority="3243" id="{674926B4-CDF4-4E2F-835D-081B7E4CA8E3}">
            <xm:f>'TC1'!#REF!="HANGUP"</xm:f>
            <x14:dxf>
              <font>
                <b/>
                <i val="0"/>
              </font>
            </x14:dxf>
          </x14:cfRule>
          <xm:sqref>C17:C33</xm:sqref>
        </x14:conditionalFormatting>
        <x14:conditionalFormatting xmlns:xm="http://schemas.microsoft.com/office/excel/2006/main">
          <x14:cfRule type="expression" priority="5856" id="{674926B4-CDF4-4E2F-835D-081B7E4CA8E3}">
            <xm:f>'TC1'!$B9="HANGUP"</xm:f>
            <x14:dxf>
              <font>
                <b/>
                <i val="0"/>
              </font>
            </x14:dxf>
          </x14:cfRule>
          <xm:sqref>C12:C15</xm:sqref>
        </x14:conditionalFormatting>
        <x14:conditionalFormatting xmlns:xm="http://schemas.microsoft.com/office/excel/2006/main">
          <x14:cfRule type="expression" priority="5857" id="{674926B4-CDF4-4E2F-835D-081B7E4CA8E3}">
            <xm:f>'TC1'!#REF!="HANGUP"</xm:f>
            <x14:dxf>
              <font>
                <b/>
                <i val="0"/>
              </font>
            </x14:dxf>
          </x14:cfRule>
          <xm:sqref>C9:C11</xm:sqref>
        </x14:conditionalFormatting>
        <x14:conditionalFormatting xmlns:xm="http://schemas.microsoft.com/office/excel/2006/main">
          <x14:cfRule type="expression" priority="8055" id="{674926B4-CDF4-4E2F-835D-081B7E4CA8E3}">
            <xm:f>'TC1'!$B15="HANGUP"</xm:f>
            <x14:dxf>
              <font>
                <b/>
                <i val="0"/>
              </font>
            </x14:dxf>
          </x14:cfRule>
          <xm:sqref>C16</xm:sqref>
        </x14:conditionalFormatting>
      </x14:conditionalFormattings>
    </ext>
  </extLst>
</worksheet>
</file>

<file path=xl/worksheets/sheet1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600-000000000000}">
  <sheetPr codeName="Sheet152"/>
  <dimension ref="A1:E44"/>
  <sheetViews>
    <sheetView zoomScaleNormal="100" workbookViewId="0">
      <selection sqref="A1:E44"/>
    </sheetView>
  </sheetViews>
  <sheetFormatPr defaultRowHeight="14.5" x14ac:dyDescent="0.35"/>
  <cols>
    <col min="1" max="1" width="14.453125" bestFit="1" customWidth="1"/>
    <col min="2" max="2" width="42.6328125" customWidth="1"/>
    <col min="3" max="3" width="106.1796875" customWidth="1"/>
    <col min="4" max="4" width="21.81640625" bestFit="1" customWidth="1"/>
    <col min="5" max="5" width="20.6328125" customWidth="1"/>
  </cols>
  <sheetData>
    <row r="1" spans="1:5" ht="18.5" x14ac:dyDescent="0.35">
      <c r="A1" s="192" t="s">
        <v>4</v>
      </c>
      <c r="B1" s="192"/>
      <c r="C1" s="105"/>
      <c r="D1" s="111"/>
      <c r="E1" s="97"/>
    </row>
    <row r="2" spans="1:5" x14ac:dyDescent="0.35">
      <c r="A2" s="106" t="s">
        <v>5</v>
      </c>
      <c r="B2" s="107" t="str">
        <f ca="1">MID(CELL("filename",A1),FIND("]",CELL("filename",A1))+1,LEN(CELL("filename",A1))-FIND("]",CELL("filename",A1)))</f>
        <v>TC150</v>
      </c>
      <c r="C2" s="98"/>
      <c r="D2" s="111"/>
      <c r="E2" s="97"/>
    </row>
    <row r="3" spans="1:5" x14ac:dyDescent="0.35">
      <c r="A3" s="104" t="s">
        <v>19</v>
      </c>
      <c r="B3" s="112" t="e">
        <f ca="1">VLOOKUP(B2,Table53[#All],2,FALSE)</f>
        <v>#N/A</v>
      </c>
      <c r="C3" s="98"/>
      <c r="D3" s="111"/>
      <c r="E3" s="97"/>
    </row>
    <row r="4" spans="1:5" ht="29" x14ac:dyDescent="0.35">
      <c r="A4" s="113" t="s">
        <v>20</v>
      </c>
      <c r="B4" s="99" t="e">
        <f ca="1">VLOOKUP(B2,Table53[#All],4,FALSE)</f>
        <v>#N/A</v>
      </c>
      <c r="C4" s="98"/>
      <c r="D4" s="111"/>
      <c r="E4" s="97"/>
    </row>
    <row r="5" spans="1:5" x14ac:dyDescent="0.35">
      <c r="A5" s="104" t="s">
        <v>6</v>
      </c>
      <c r="B5" s="77" t="e">
        <f ca="1">VLOOKUP(B2,Table53[#All],3,FALSE)</f>
        <v>#N/A</v>
      </c>
      <c r="C5" s="98"/>
      <c r="D5" s="111"/>
      <c r="E5" s="97"/>
    </row>
    <row r="6" spans="1:5" x14ac:dyDescent="0.35">
      <c r="A6" s="97"/>
      <c r="B6" s="97"/>
      <c r="C6" s="98"/>
      <c r="D6" s="111"/>
      <c r="E6" s="97"/>
    </row>
    <row r="7" spans="1:5" ht="15.5" x14ac:dyDescent="0.35">
      <c r="A7" s="100" t="s">
        <v>7</v>
      </c>
      <c r="B7" s="101" t="s">
        <v>8</v>
      </c>
      <c r="C7" s="102" t="s">
        <v>9</v>
      </c>
      <c r="D7" s="102" t="s">
        <v>14</v>
      </c>
      <c r="E7" s="103" t="s">
        <v>10</v>
      </c>
    </row>
    <row r="8" spans="1:5" x14ac:dyDescent="0.35">
      <c r="A8" s="118">
        <v>1</v>
      </c>
      <c r="B8" s="114" t="s">
        <v>114</v>
      </c>
      <c r="C8" s="109" t="s">
        <v>125</v>
      </c>
      <c r="D8" s="128"/>
      <c r="E8" s="125" t="s">
        <v>11</v>
      </c>
    </row>
    <row r="9" spans="1:5" x14ac:dyDescent="0.35">
      <c r="A9" s="118">
        <v>2</v>
      </c>
      <c r="B9" s="114" t="s">
        <v>12</v>
      </c>
      <c r="C9" s="109" t="e">
        <f>VLOOKUP(Table257519913140106110151155170178204209[[#This Row],[PEG]],Table1016[#All],2,FALSE)</f>
        <v>#N/A</v>
      </c>
      <c r="D9" s="128"/>
      <c r="E9" s="125" t="e">
        <f>VLOOKUP(Table257519913140106110151155170178204209[[#This Row],[PEG]],Table1016[#All],3,FALSE)</f>
        <v>#N/A</v>
      </c>
    </row>
    <row r="10" spans="1:5" x14ac:dyDescent="0.35">
      <c r="A10" s="118">
        <v>3</v>
      </c>
      <c r="B10" s="114" t="s">
        <v>115</v>
      </c>
      <c r="C10" s="109" t="e">
        <f>VLOOKUP(Table257519913140106110151155170178204209[[#This Row],[PEG]],Table1016[#All],2,FALSE)</f>
        <v>#N/A</v>
      </c>
      <c r="D10" s="128"/>
      <c r="E10" s="125" t="e">
        <f>VLOOKUP(Table257519913140106110151155170178204209[[#This Row],[PEG]],Table1016[#All],3,FALSE)</f>
        <v>#N/A</v>
      </c>
    </row>
    <row r="11" spans="1:5" x14ac:dyDescent="0.35">
      <c r="A11" s="118">
        <v>4</v>
      </c>
      <c r="B11" s="114" t="s">
        <v>115</v>
      </c>
      <c r="C11" s="109" t="e">
        <f>VLOOKUP(Table257519913140106110151155170178204209[[#This Row],[PEG]],Table1016[#All],2,FALSE)</f>
        <v>#N/A</v>
      </c>
      <c r="D11" s="128"/>
      <c r="E11" s="125" t="e">
        <f>VLOOKUP(Table257519913140106110151155170178204209[[#This Row],[PEG]],Table1016[#All],3,FALSE)</f>
        <v>#N/A</v>
      </c>
    </row>
    <row r="12" spans="1:5" x14ac:dyDescent="0.35">
      <c r="A12" s="118">
        <v>5</v>
      </c>
      <c r="B12" s="114" t="s">
        <v>114</v>
      </c>
      <c r="C12" s="109" t="e">
        <f>VLOOKUP(Table257519913140106110151155170178204209[[#This Row],[PEG]],Table1016[#All],2,FALSE)</f>
        <v>#N/A</v>
      </c>
      <c r="D12" s="128"/>
      <c r="E12" s="125" t="e">
        <f>VLOOKUP(Table257519913140106110151155170178204209[[#This Row],[PEG]],Table1016[#All],3,FALSE)</f>
        <v>#N/A</v>
      </c>
    </row>
    <row r="13" spans="1:5" x14ac:dyDescent="0.35">
      <c r="A13" s="118">
        <v>6</v>
      </c>
      <c r="B13" s="114" t="s">
        <v>115</v>
      </c>
      <c r="C13" s="109" t="e">
        <f>VLOOKUP(Table257519913140106110151155170178204209[[#This Row],[PEG]],Table1016[#All],2,FALSE)</f>
        <v>#N/A</v>
      </c>
      <c r="D13" s="128"/>
      <c r="E13" s="125" t="e">
        <f>VLOOKUP(Table257519913140106110151155170178204209[[#This Row],[PEG]],Table1016[#All],3,FALSE)</f>
        <v>#N/A</v>
      </c>
    </row>
    <row r="14" spans="1:5" x14ac:dyDescent="0.35">
      <c r="A14" s="118">
        <v>7</v>
      </c>
      <c r="B14" s="114" t="s">
        <v>114</v>
      </c>
      <c r="C14" s="109" t="e">
        <f>VLOOKUP(Table257519913140106110151155170178204209[[#This Row],[PEG]],Table1016[#All],2,FALSE)</f>
        <v>#N/A</v>
      </c>
      <c r="D14" s="128"/>
      <c r="E14" s="125" t="e">
        <f>VLOOKUP(Table257519913140106110151155170178204209[[#This Row],[PEG]],Table1016[#All],3,FALSE)</f>
        <v>#N/A</v>
      </c>
    </row>
    <row r="15" spans="1:5" x14ac:dyDescent="0.35">
      <c r="A15" s="118">
        <v>8</v>
      </c>
      <c r="B15" s="114" t="s">
        <v>115</v>
      </c>
      <c r="C15" s="109" t="e">
        <f>VLOOKUP(Table257519913140106110151155170178204209[[#This Row],[PEG]],Table1016[#All],2,FALSE)</f>
        <v>#N/A</v>
      </c>
      <c r="D15" s="116"/>
      <c r="E15" s="125" t="e">
        <f>VLOOKUP(Table257519913140106110151155170178204209[[#This Row],[PEG]],Table1016[#All],3,FALSE)</f>
        <v>#N/A</v>
      </c>
    </row>
    <row r="16" spans="1:5" x14ac:dyDescent="0.35">
      <c r="A16" s="118">
        <v>9</v>
      </c>
      <c r="B16" s="114" t="s">
        <v>12</v>
      </c>
      <c r="C16" s="109" t="e">
        <f>VLOOKUP(Table257519913140106110151155170178204209[[#This Row],[PEG]],Table1016[#All],2,FALSE)</f>
        <v>#N/A</v>
      </c>
      <c r="D16" s="116"/>
      <c r="E16" s="125" t="e">
        <f>VLOOKUP(Table257519913140106110151155170178204209[[#This Row],[PEG]],Table1016[#All],3,FALSE)</f>
        <v>#N/A</v>
      </c>
    </row>
    <row r="17" spans="1:5" x14ac:dyDescent="0.35">
      <c r="A17" s="118">
        <v>10</v>
      </c>
      <c r="B17" s="114" t="s">
        <v>12</v>
      </c>
      <c r="C17" s="109" t="e">
        <f>VLOOKUP(Table257519913140106110151155170178204209[[#This Row],[PEG]],Table1016[#All],2,FALSE)</f>
        <v>#N/A</v>
      </c>
      <c r="D17" s="117"/>
      <c r="E17" s="125" t="e">
        <f>VLOOKUP(Table257519913140106110151155170178204209[[#This Row],[PEG]],Table1016[#All],3,FALSE)</f>
        <v>#N/A</v>
      </c>
    </row>
    <row r="18" spans="1:5" x14ac:dyDescent="0.35">
      <c r="A18" s="118">
        <v>11</v>
      </c>
      <c r="B18" s="114" t="s">
        <v>115</v>
      </c>
      <c r="C18" s="109" t="e">
        <f>VLOOKUP(Table257519913140106110151155170178204209[[#This Row],[PEG]],Table1016[#All],2,FALSE)</f>
        <v>#N/A</v>
      </c>
      <c r="D18" s="117"/>
      <c r="E18" s="125" t="e">
        <f>VLOOKUP(Table257519913140106110151155170178204209[[#This Row],[PEG]],Table1016[#All],3,FALSE)</f>
        <v>#N/A</v>
      </c>
    </row>
    <row r="19" spans="1:5" x14ac:dyDescent="0.35">
      <c r="A19" s="118">
        <v>12</v>
      </c>
      <c r="B19" s="114" t="s">
        <v>115</v>
      </c>
      <c r="C19" s="109" t="e">
        <f>VLOOKUP(Table257519913140106110151155170178204209[[#This Row],[PEG]],Table1016[#All],2,FALSE)</f>
        <v>#N/A</v>
      </c>
      <c r="D19" s="117"/>
      <c r="E19" s="125" t="e">
        <f>VLOOKUP(Table257519913140106110151155170178204209[[#This Row],[PEG]],Table1016[#All],3,FALSE)</f>
        <v>#N/A</v>
      </c>
    </row>
    <row r="20" spans="1:5" x14ac:dyDescent="0.35">
      <c r="A20" s="118">
        <v>13</v>
      </c>
      <c r="B20" s="114" t="s">
        <v>114</v>
      </c>
      <c r="C20" s="109" t="e">
        <f>VLOOKUP(Table257519913140106110151155170178204209[[#This Row],[PEG]],Table1016[#All],2,FALSE)</f>
        <v>#N/A</v>
      </c>
      <c r="D20" s="117"/>
      <c r="E20" s="125" t="e">
        <f>VLOOKUP(Table257519913140106110151155170178204209[[#This Row],[PEG]],Table1016[#All],3,FALSE)</f>
        <v>#N/A</v>
      </c>
    </row>
    <row r="21" spans="1:5" x14ac:dyDescent="0.35">
      <c r="A21" s="118">
        <v>14</v>
      </c>
      <c r="B21" s="114" t="s">
        <v>12</v>
      </c>
      <c r="C21" s="109" t="e">
        <f>VLOOKUP(Table257519913140106110151155170178204209[[#This Row],[PEG]],Table1016[#All],2,FALSE)</f>
        <v>#N/A</v>
      </c>
      <c r="D21" s="117"/>
      <c r="E21" s="125" t="e">
        <f>VLOOKUP(Table257519913140106110151155170178204209[[#This Row],[PEG]],Table1016[#All],3,FALSE)</f>
        <v>#N/A</v>
      </c>
    </row>
    <row r="22" spans="1:5" x14ac:dyDescent="0.35">
      <c r="A22" s="118">
        <v>15</v>
      </c>
      <c r="B22" s="114" t="s">
        <v>12</v>
      </c>
      <c r="C22" s="109" t="e">
        <f>VLOOKUP(Table257519913140106110151155170178204209[[#This Row],[PEG]],Table1016[#All],2,FALSE)</f>
        <v>#N/A</v>
      </c>
      <c r="D22" s="117"/>
      <c r="E22" s="125" t="e">
        <f>VLOOKUP(Table257519913140106110151155170178204209[[#This Row],[PEG]],Table1016[#All],3,FALSE)</f>
        <v>#N/A</v>
      </c>
    </row>
    <row r="23" spans="1:5" x14ac:dyDescent="0.35">
      <c r="A23" s="118">
        <v>16</v>
      </c>
      <c r="B23" s="114" t="s">
        <v>115</v>
      </c>
      <c r="C23" s="109" t="e">
        <f>VLOOKUP(Table257519913140106110151155170178204209[[#This Row],[PEG]],Table1016[#All],2,FALSE)</f>
        <v>#N/A</v>
      </c>
      <c r="D23" s="117"/>
      <c r="E23" s="125" t="e">
        <f>VLOOKUP(Table257519913140106110151155170178204209[[#This Row],[PEG]],Table1016[#All],3,FALSE)</f>
        <v>#N/A</v>
      </c>
    </row>
    <row r="24" spans="1:5" x14ac:dyDescent="0.35">
      <c r="A24" s="118">
        <v>17</v>
      </c>
      <c r="B24" s="114" t="s">
        <v>114</v>
      </c>
      <c r="C24" s="109" t="e">
        <f>VLOOKUP(Table257519913140106110151155170178204209[[#This Row],[PEG]],Table1016[#All],2,FALSE)</f>
        <v>#N/A</v>
      </c>
      <c r="D24" s="117"/>
      <c r="E24" s="125" t="e">
        <f>VLOOKUP(Table257519913140106110151155170178204209[[#This Row],[PEG]],Table1016[#All],3,FALSE)</f>
        <v>#N/A</v>
      </c>
    </row>
    <row r="25" spans="1:5" x14ac:dyDescent="0.35">
      <c r="A25" s="118">
        <v>18</v>
      </c>
      <c r="B25" s="114" t="s">
        <v>12</v>
      </c>
      <c r="C25" s="109" t="e">
        <f>VLOOKUP(Table257519913140106110151155170178204209[[#This Row],[PEG]],Table1016[#All],2,FALSE)</f>
        <v>#N/A</v>
      </c>
      <c r="D25" s="117"/>
      <c r="E25" s="125" t="e">
        <f>VLOOKUP(Table257519913140106110151155170178204209[[#This Row],[PEG]],Table1016[#All],3,FALSE)</f>
        <v>#N/A</v>
      </c>
    </row>
    <row r="26" spans="1:5" x14ac:dyDescent="0.35">
      <c r="A26" s="118">
        <v>19</v>
      </c>
      <c r="B26" s="114" t="s">
        <v>12</v>
      </c>
      <c r="C26" s="109" t="e">
        <f>VLOOKUP(Table257519913140106110151155170178204209[[#This Row],[PEG]],Table1016[#All],2,FALSE)</f>
        <v>#N/A</v>
      </c>
      <c r="D26" s="117"/>
      <c r="E26" s="125" t="e">
        <f>VLOOKUP(Table257519913140106110151155170178204209[[#This Row],[PEG]],Table1016[#All],3,FALSE)</f>
        <v>#N/A</v>
      </c>
    </row>
    <row r="27" spans="1:5" x14ac:dyDescent="0.35">
      <c r="A27" s="118">
        <v>20</v>
      </c>
      <c r="B27" s="114" t="s">
        <v>115</v>
      </c>
      <c r="C27" s="109" t="e">
        <f>VLOOKUP(Table257519913140106110151155170178204209[[#This Row],[PEG]],Table1016[#All],2,FALSE)</f>
        <v>#N/A</v>
      </c>
      <c r="D27" s="117"/>
      <c r="E27" s="125" t="e">
        <f>VLOOKUP(Table257519913140106110151155170178204209[[#This Row],[PEG]],Table1016[#All],3,FALSE)</f>
        <v>#N/A</v>
      </c>
    </row>
    <row r="28" spans="1:5" x14ac:dyDescent="0.35">
      <c r="A28" s="118">
        <v>21</v>
      </c>
      <c r="B28" s="114" t="s">
        <v>114</v>
      </c>
      <c r="C28" s="109" t="e">
        <f>VLOOKUP(Table257519913140106110151155170178204209[[#This Row],[PEG]],Table1016[#All],2,FALSE)</f>
        <v>#N/A</v>
      </c>
      <c r="D28" s="117"/>
      <c r="E28" s="125" t="e">
        <f>VLOOKUP(Table257519913140106110151155170178204209[[#This Row],[PEG]],Table1016[#All],3,FALSE)</f>
        <v>#N/A</v>
      </c>
    </row>
    <row r="29" spans="1:5" x14ac:dyDescent="0.35">
      <c r="A29" s="118">
        <v>22</v>
      </c>
      <c r="B29" s="114" t="s">
        <v>12</v>
      </c>
      <c r="C29" s="109" t="e">
        <f>VLOOKUP(Table257519913140106110151155170178204209[[#This Row],[PEG]],Table1016[#All],2,FALSE)</f>
        <v>#N/A</v>
      </c>
      <c r="D29" s="117"/>
      <c r="E29" s="125" t="e">
        <f>VLOOKUP(Table257519913140106110151155170178204209[[#This Row],[PEG]],Table1016[#All],3,FALSE)</f>
        <v>#N/A</v>
      </c>
    </row>
    <row r="30" spans="1:5" x14ac:dyDescent="0.35">
      <c r="A30" s="118">
        <v>23</v>
      </c>
      <c r="B30" s="114" t="s">
        <v>12</v>
      </c>
      <c r="C30" s="109" t="e">
        <f>VLOOKUP(Table257519913140106110151155170178204209[[#This Row],[PEG]],Table1016[#All],2,FALSE)</f>
        <v>#N/A</v>
      </c>
      <c r="D30" s="117"/>
      <c r="E30" s="125" t="e">
        <f>VLOOKUP(Table257519913140106110151155170178204209[[#This Row],[PEG]],Table1016[#All],3,FALSE)</f>
        <v>#N/A</v>
      </c>
    </row>
    <row r="31" spans="1:5" x14ac:dyDescent="0.35">
      <c r="A31" s="118">
        <v>24</v>
      </c>
      <c r="B31" s="114" t="s">
        <v>115</v>
      </c>
      <c r="C31" s="109" t="e">
        <f>VLOOKUP(Table257519913140106110151155170178204209[[#This Row],[PEG]],Table1016[#All],2,FALSE)</f>
        <v>#N/A</v>
      </c>
      <c r="D31" s="117"/>
      <c r="E31" s="125" t="e">
        <f>VLOOKUP(Table257519913140106110151155170178204209[[#This Row],[PEG]],Table1016[#All],3,FALSE)</f>
        <v>#N/A</v>
      </c>
    </row>
    <row r="32" spans="1:5" x14ac:dyDescent="0.35">
      <c r="A32" s="118">
        <v>25</v>
      </c>
      <c r="B32" s="114" t="s">
        <v>115</v>
      </c>
      <c r="C32" s="109" t="e">
        <f>VLOOKUP(Table257519913140106110151155170178204209[[#This Row],[PEG]],Table1016[#All],2,FALSE)</f>
        <v>#N/A</v>
      </c>
      <c r="D32" s="117"/>
      <c r="E32" s="125" t="e">
        <f>VLOOKUP(Table257519913140106110151155170178204209[[#This Row],[PEG]],Table1016[#All],3,FALSE)</f>
        <v>#N/A</v>
      </c>
    </row>
    <row r="33" spans="1:5" x14ac:dyDescent="0.35">
      <c r="A33" s="118">
        <v>26</v>
      </c>
      <c r="B33" s="114" t="s">
        <v>124</v>
      </c>
      <c r="C33" s="109" t="e">
        <f>VLOOKUP(Table257519913140106110151155170178204209[[#This Row],[PEG]],Table1016[#All],2,FALSE)</f>
        <v>#N/A</v>
      </c>
      <c r="D33" s="117"/>
      <c r="E33" s="125" t="e">
        <f>VLOOKUP(Table257519913140106110151155170178204209[[#This Row],[PEG]],Table1016[#All],3,FALSE)</f>
        <v>#N/A</v>
      </c>
    </row>
    <row r="34" spans="1:5" x14ac:dyDescent="0.35">
      <c r="A34" s="118">
        <v>27</v>
      </c>
      <c r="B34" s="114" t="s">
        <v>115</v>
      </c>
      <c r="C34" s="109" t="e">
        <f>VLOOKUP(Table257519913140106110151155170178204209[[#This Row],[PEG]],Table1016[#All],2,FALSE)</f>
        <v>#N/A</v>
      </c>
      <c r="D34" s="117"/>
      <c r="E34" s="125" t="e">
        <f>VLOOKUP(Table257519913140106110151155170178204209[[#This Row],[PEG]],Table1016[#All],3,FALSE)</f>
        <v>#N/A</v>
      </c>
    </row>
    <row r="35" spans="1:5" x14ac:dyDescent="0.35">
      <c r="A35" s="118">
        <v>28</v>
      </c>
      <c r="B35" s="114" t="s">
        <v>124</v>
      </c>
      <c r="C35" s="109" t="e">
        <f>VLOOKUP(Table257519913140106110151155170178204209[[#This Row],[PEG]],Table1016[#All],2,FALSE)</f>
        <v>#N/A</v>
      </c>
      <c r="D35" s="117"/>
      <c r="E35" s="125" t="e">
        <f>VLOOKUP(Table257519913140106110151155170178204209[[#This Row],[PEG]],Table1016[#All],3,FALSE)</f>
        <v>#N/A</v>
      </c>
    </row>
    <row r="36" spans="1:5" x14ac:dyDescent="0.35">
      <c r="A36" s="118">
        <v>29</v>
      </c>
      <c r="B36" s="114" t="s">
        <v>115</v>
      </c>
      <c r="C36" s="109" t="e">
        <f>VLOOKUP(Table257519913140106110151155170178204209[[#This Row],[PEG]],Table1016[#All],2,FALSE)</f>
        <v>#N/A</v>
      </c>
      <c r="D36" s="117"/>
      <c r="E36" s="125" t="e">
        <f>VLOOKUP(Table257519913140106110151155170178204209[[#This Row],[PEG]],Table1016[#All],3,FALSE)</f>
        <v>#N/A</v>
      </c>
    </row>
    <row r="37" spans="1:5" x14ac:dyDescent="0.35">
      <c r="A37" s="118">
        <v>30</v>
      </c>
      <c r="B37" s="114" t="s">
        <v>12</v>
      </c>
      <c r="C37" s="109" t="e">
        <f>VLOOKUP(Table257519913140106110151155170178204209[[#This Row],[PEG]],Table1016[#All],2,FALSE)</f>
        <v>#N/A</v>
      </c>
      <c r="D37" s="117"/>
      <c r="E37" s="125" t="e">
        <f>VLOOKUP(Table257519913140106110151155170178204209[[#This Row],[PEG]],Table1016[#All],3,FALSE)</f>
        <v>#N/A</v>
      </c>
    </row>
    <row r="38" spans="1:5" x14ac:dyDescent="0.35">
      <c r="A38" s="118">
        <v>31</v>
      </c>
      <c r="B38" s="114" t="s">
        <v>12</v>
      </c>
      <c r="C38" s="109" t="e">
        <f>VLOOKUP(Table257519913140106110151155170178204209[[#This Row],[PEG]],Table1016[#All],2,FALSE)</f>
        <v>#N/A</v>
      </c>
      <c r="D38" s="117"/>
      <c r="E38" s="125" t="e">
        <f>VLOOKUP(Table257519913140106110151155170178204209[[#This Row],[PEG]],Table1016[#All],3,FALSE)</f>
        <v>#N/A</v>
      </c>
    </row>
    <row r="39" spans="1:5" x14ac:dyDescent="0.35">
      <c r="A39" s="118">
        <v>32</v>
      </c>
      <c r="B39" s="114" t="s">
        <v>12</v>
      </c>
      <c r="C39" s="109" t="e">
        <f>VLOOKUP(Table257519913140106110151155170178204209[[#This Row],[PEG]],Table1016[#All],2,FALSE)</f>
        <v>#N/A</v>
      </c>
      <c r="D39" s="117"/>
      <c r="E39" s="125" t="e">
        <f>VLOOKUP(Table257519913140106110151155170178204209[[#This Row],[PEG]],Table1016[#All],3,FALSE)</f>
        <v>#N/A</v>
      </c>
    </row>
    <row r="40" spans="1:5" x14ac:dyDescent="0.35">
      <c r="A40" s="118">
        <v>33</v>
      </c>
      <c r="B40" s="114" t="s">
        <v>12</v>
      </c>
      <c r="C40" s="109" t="e">
        <f>VLOOKUP(Table257519913140106110151155170178204209[[#This Row],[PEG]],Table1016[#All],2,FALSE)</f>
        <v>#N/A</v>
      </c>
      <c r="D40" s="117"/>
      <c r="E40" s="125" t="e">
        <f>VLOOKUP(Table257519913140106110151155170178204209[[#This Row],[PEG]],Table1016[#All],3,FALSE)</f>
        <v>#N/A</v>
      </c>
    </row>
    <row r="41" spans="1:5" x14ac:dyDescent="0.35">
      <c r="A41" s="118">
        <v>34</v>
      </c>
      <c r="B41" s="114" t="s">
        <v>115</v>
      </c>
      <c r="C41" s="109" t="e">
        <f>VLOOKUP(Table257519913140106110151155170178204209[[#This Row],[PEG]],Table1016[#All],2,FALSE)</f>
        <v>#N/A</v>
      </c>
      <c r="D41" s="117"/>
      <c r="E41" s="125" t="e">
        <f>VLOOKUP(Table257519913140106110151155170178204209[[#This Row],[PEG]],Table1016[#All],3,FALSE)</f>
        <v>#N/A</v>
      </c>
    </row>
    <row r="42" spans="1:5" x14ac:dyDescent="0.35">
      <c r="A42" s="118">
        <v>35</v>
      </c>
      <c r="B42" s="114" t="s">
        <v>12</v>
      </c>
      <c r="C42" s="109" t="e">
        <f>VLOOKUP(Table257519913140106110151155170178204209[[#This Row],[PEG]],Table1016[#All],2,FALSE)</f>
        <v>#N/A</v>
      </c>
      <c r="D42" s="115"/>
      <c r="E42" s="125" t="e">
        <f>VLOOKUP(Table257519913140106110151155170178204209[[#This Row],[PEG]],Table1016[#All],3,FALSE)</f>
        <v>#N/A</v>
      </c>
    </row>
    <row r="43" spans="1:5" x14ac:dyDescent="0.35">
      <c r="A43" s="118">
        <v>36</v>
      </c>
      <c r="B43" s="114" t="s">
        <v>115</v>
      </c>
      <c r="C43" s="109" t="e">
        <f>VLOOKUP(Table257519913140106110151155170178204209[[#This Row],[PEG]],Table1016[#All],2,FALSE)</f>
        <v>#N/A</v>
      </c>
      <c r="D43" s="115"/>
      <c r="E43" s="125" t="e">
        <f>VLOOKUP(Table257519913140106110151155170178204209[[#This Row],[PEG]],Table1016[#All],3,FALSE)</f>
        <v>#N/A</v>
      </c>
    </row>
    <row r="44" spans="1:5" x14ac:dyDescent="0.35">
      <c r="A44" s="118">
        <v>37</v>
      </c>
      <c r="B44" s="114" t="s">
        <v>13</v>
      </c>
      <c r="C44" s="18" t="s">
        <v>13</v>
      </c>
      <c r="D44" s="115"/>
      <c r="E44" s="32"/>
    </row>
  </sheetData>
  <mergeCells count="1">
    <mergeCell ref="A1:B1"/>
  </mergeCells>
  <conditionalFormatting sqref="B8:B18">
    <cfRule type="containsText" dxfId="831" priority="1" operator="containsText" text="Hear">
      <formula>NOT(ISERROR(SEARCH("Hear",B8)))</formula>
    </cfRule>
  </conditionalFormatting>
  <conditionalFormatting sqref="B30">
    <cfRule type="containsText" dxfId="830" priority="4" operator="containsText" text="Hear">
      <formula>NOT(ISERROR(SEARCH("Hear",B30)))</formula>
    </cfRule>
  </conditionalFormatting>
  <conditionalFormatting sqref="B43:B44">
    <cfRule type="containsText" dxfId="829" priority="8" operator="containsText" text="Hear">
      <formula>NOT(ISERROR(SEARCH("Hear",B43)))</formula>
    </cfRule>
  </conditionalFormatting>
  <conditionalFormatting sqref="E44">
    <cfRule type="containsText" dxfId="828" priority="6" operator="containsText" text="WEB SERVICE">
      <formula>NOT(ISERROR(SEARCH("WEB SERVICE",E44)))</formula>
    </cfRule>
    <cfRule type="containsText" dxfId="827" priority="7" operator="containsText" text="DB">
      <formula>NOT(ISERROR(SEARCH("DB",E44)))</formula>
    </cfRule>
  </conditionalFormatting>
  <conditionalFormatting sqref="C44">
    <cfRule type="expression" dxfId="826" priority="9">
      <formula>$B44="Dial"</formula>
    </cfRule>
  </conditionalFormatting>
  <conditionalFormatting sqref="C44">
    <cfRule type="expression" dxfId="825" priority="3">
      <formula>$B44="Speak"</formula>
    </cfRule>
  </conditionalFormatting>
  <conditionalFormatting sqref="B19:B29 B31:B35 B42">
    <cfRule type="containsText" dxfId="824" priority="5" operator="containsText" text="Hear">
      <formula>NOT(ISERROR(SEARCH("Hear",B19)))</formula>
    </cfRule>
  </conditionalFormatting>
  <hyperlinks>
    <hyperlink ref="A1" location="'Test Case Overview'!A1" display="Return to Test Case Overview" xr:uid="{B7EA8E2D-30A7-43D5-9AF4-A9087BAE2BEF}"/>
  </hyperlinks>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expression" priority="2" id="{7A647E51-8576-4222-BC36-EEE03AB0DE7E}">
            <xm:f>'TC1'!$B8="HANGUP"</xm:f>
            <x14:dxf>
              <font>
                <b/>
                <i val="0"/>
              </font>
            </x14:dxf>
          </x14:cfRule>
          <xm:sqref>C8</xm:sqref>
        </x14:conditionalFormatting>
        <x14:conditionalFormatting xmlns:xm="http://schemas.microsoft.com/office/excel/2006/main">
          <x14:cfRule type="expression" priority="3246" id="{7A647E51-8576-4222-BC36-EEE03AB0DE7E}">
            <xm:f>'TC1'!$B16="HANGUP"</xm:f>
            <x14:dxf>
              <font>
                <b/>
                <i val="0"/>
              </font>
            </x14:dxf>
          </x14:cfRule>
          <xm:sqref>C34:C43</xm:sqref>
        </x14:conditionalFormatting>
        <x14:conditionalFormatting xmlns:xm="http://schemas.microsoft.com/office/excel/2006/main">
          <x14:cfRule type="expression" priority="3247" id="{7A647E51-8576-4222-BC36-EEE03AB0DE7E}">
            <xm:f>'TC1'!#REF!="HANGUP"</xm:f>
            <x14:dxf>
              <font>
                <b/>
                <i val="0"/>
              </font>
            </x14:dxf>
          </x14:cfRule>
          <xm:sqref>C17:C33</xm:sqref>
        </x14:conditionalFormatting>
        <x14:conditionalFormatting xmlns:xm="http://schemas.microsoft.com/office/excel/2006/main">
          <x14:cfRule type="expression" priority="5860" id="{7A647E51-8576-4222-BC36-EEE03AB0DE7E}">
            <xm:f>'TC1'!$B9="HANGUP"</xm:f>
            <x14:dxf>
              <font>
                <b/>
                <i val="0"/>
              </font>
            </x14:dxf>
          </x14:cfRule>
          <xm:sqref>C12:C15</xm:sqref>
        </x14:conditionalFormatting>
        <x14:conditionalFormatting xmlns:xm="http://schemas.microsoft.com/office/excel/2006/main">
          <x14:cfRule type="expression" priority="5861" id="{7A647E51-8576-4222-BC36-EEE03AB0DE7E}">
            <xm:f>'TC1'!#REF!="HANGUP"</xm:f>
            <x14:dxf>
              <font>
                <b/>
                <i val="0"/>
              </font>
            </x14:dxf>
          </x14:cfRule>
          <xm:sqref>C9:C11</xm:sqref>
        </x14:conditionalFormatting>
        <x14:conditionalFormatting xmlns:xm="http://schemas.microsoft.com/office/excel/2006/main">
          <x14:cfRule type="expression" priority="8058" id="{7A647E51-8576-4222-BC36-EEE03AB0DE7E}">
            <xm:f>'TC1'!$B15="HANGUP"</xm:f>
            <x14:dxf>
              <font>
                <b/>
                <i val="0"/>
              </font>
            </x14:dxf>
          </x14:cfRule>
          <xm:sqref>C16</xm:sqref>
        </x14:conditionalFormatting>
      </x14:conditionalFormattings>
    </ext>
  </extLst>
</worksheet>
</file>

<file path=xl/worksheets/sheet1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700-000000000000}">
  <sheetPr codeName="Sheet153"/>
  <dimension ref="A1:E44"/>
  <sheetViews>
    <sheetView zoomScaleNormal="100" workbookViewId="0">
      <selection sqref="A1:E44"/>
    </sheetView>
  </sheetViews>
  <sheetFormatPr defaultRowHeight="14.5" x14ac:dyDescent="0.35"/>
  <cols>
    <col min="1" max="1" width="14.453125" bestFit="1" customWidth="1"/>
    <col min="2" max="2" width="42.6328125" customWidth="1"/>
    <col min="3" max="3" width="106.1796875" customWidth="1"/>
    <col min="4" max="4" width="21.81640625" bestFit="1" customWidth="1"/>
    <col min="5" max="5" width="20.6328125" customWidth="1"/>
  </cols>
  <sheetData>
    <row r="1" spans="1:5" ht="18.5" x14ac:dyDescent="0.35">
      <c r="A1" s="192" t="s">
        <v>4</v>
      </c>
      <c r="B1" s="192"/>
      <c r="C1" s="105"/>
      <c r="D1" s="111"/>
      <c r="E1" s="97"/>
    </row>
    <row r="2" spans="1:5" x14ac:dyDescent="0.35">
      <c r="A2" s="106" t="s">
        <v>5</v>
      </c>
      <c r="B2" s="107" t="str">
        <f ca="1">MID(CELL("filename",A1),FIND("]",CELL("filename",A1))+1,LEN(CELL("filename",A1))-FIND("]",CELL("filename",A1)))</f>
        <v>TC151</v>
      </c>
      <c r="C2" s="98"/>
      <c r="D2" s="111"/>
      <c r="E2" s="97"/>
    </row>
    <row r="3" spans="1:5" x14ac:dyDescent="0.35">
      <c r="A3" s="104" t="s">
        <v>19</v>
      </c>
      <c r="B3" s="112" t="e">
        <f ca="1">VLOOKUP(B2,Table53[#All],2,FALSE)</f>
        <v>#N/A</v>
      </c>
      <c r="C3" s="98"/>
      <c r="D3" s="111"/>
      <c r="E3" s="97"/>
    </row>
    <row r="4" spans="1:5" ht="29" x14ac:dyDescent="0.35">
      <c r="A4" s="113" t="s">
        <v>20</v>
      </c>
      <c r="B4" s="99" t="e">
        <f ca="1">VLOOKUP(B2,Table53[#All],4,FALSE)</f>
        <v>#N/A</v>
      </c>
      <c r="C4" s="98"/>
      <c r="D4" s="111"/>
      <c r="E4" s="97"/>
    </row>
    <row r="5" spans="1:5" x14ac:dyDescent="0.35">
      <c r="A5" s="104" t="s">
        <v>6</v>
      </c>
      <c r="B5" s="77" t="e">
        <f ca="1">VLOOKUP(B2,Table53[#All],3,FALSE)</f>
        <v>#N/A</v>
      </c>
      <c r="C5" s="98"/>
      <c r="D5" s="111"/>
      <c r="E5" s="97"/>
    </row>
    <row r="6" spans="1:5" x14ac:dyDescent="0.35">
      <c r="A6" s="97"/>
      <c r="B6" s="97"/>
      <c r="C6" s="98"/>
      <c r="D6" s="111"/>
      <c r="E6" s="97"/>
    </row>
    <row r="7" spans="1:5" ht="15.5" x14ac:dyDescent="0.35">
      <c r="A7" s="100" t="s">
        <v>7</v>
      </c>
      <c r="B7" s="101" t="s">
        <v>8</v>
      </c>
      <c r="C7" s="102" t="s">
        <v>9</v>
      </c>
      <c r="D7" s="102" t="s">
        <v>14</v>
      </c>
      <c r="E7" s="103" t="s">
        <v>10</v>
      </c>
    </row>
    <row r="8" spans="1:5" x14ac:dyDescent="0.35">
      <c r="A8" s="118">
        <v>1</v>
      </c>
      <c r="B8" s="114" t="s">
        <v>114</v>
      </c>
      <c r="C8" s="109" t="s">
        <v>125</v>
      </c>
      <c r="D8" s="128"/>
      <c r="E8" s="125" t="s">
        <v>11</v>
      </c>
    </row>
    <row r="9" spans="1:5" x14ac:dyDescent="0.35">
      <c r="A9" s="118">
        <v>2</v>
      </c>
      <c r="B9" s="114" t="s">
        <v>12</v>
      </c>
      <c r="C9" s="109" t="e">
        <f>VLOOKUP(Table257519913140106110151155170178204211[[#This Row],[PEG]],Table1016[#All],2,FALSE)</f>
        <v>#N/A</v>
      </c>
      <c r="D9" s="128"/>
      <c r="E9" s="125" t="e">
        <f>VLOOKUP(Table257519913140106110151155170178204211[[#This Row],[PEG]],Table1016[#All],3,FALSE)</f>
        <v>#N/A</v>
      </c>
    </row>
    <row r="10" spans="1:5" x14ac:dyDescent="0.35">
      <c r="A10" s="118">
        <v>3</v>
      </c>
      <c r="B10" s="114" t="s">
        <v>115</v>
      </c>
      <c r="C10" s="109" t="e">
        <f>VLOOKUP(Table257519913140106110151155170178204211[[#This Row],[PEG]],Table1016[#All],2,FALSE)</f>
        <v>#N/A</v>
      </c>
      <c r="D10" s="128"/>
      <c r="E10" s="125" t="e">
        <f>VLOOKUP(Table257519913140106110151155170178204211[[#This Row],[PEG]],Table1016[#All],3,FALSE)</f>
        <v>#N/A</v>
      </c>
    </row>
    <row r="11" spans="1:5" x14ac:dyDescent="0.35">
      <c r="A11" s="118">
        <v>4</v>
      </c>
      <c r="B11" s="114" t="s">
        <v>115</v>
      </c>
      <c r="C11" s="109" t="e">
        <f>VLOOKUP(Table257519913140106110151155170178204211[[#This Row],[PEG]],Table1016[#All],2,FALSE)</f>
        <v>#N/A</v>
      </c>
      <c r="D11" s="128"/>
      <c r="E11" s="125" t="e">
        <f>VLOOKUP(Table257519913140106110151155170178204211[[#This Row],[PEG]],Table1016[#All],3,FALSE)</f>
        <v>#N/A</v>
      </c>
    </row>
    <row r="12" spans="1:5" x14ac:dyDescent="0.35">
      <c r="A12" s="118">
        <v>5</v>
      </c>
      <c r="B12" s="114" t="s">
        <v>114</v>
      </c>
      <c r="C12" s="109" t="e">
        <f>VLOOKUP(Table257519913140106110151155170178204211[[#This Row],[PEG]],Table1016[#All],2,FALSE)</f>
        <v>#N/A</v>
      </c>
      <c r="D12" s="128"/>
      <c r="E12" s="125" t="e">
        <f>VLOOKUP(Table257519913140106110151155170178204211[[#This Row],[PEG]],Table1016[#All],3,FALSE)</f>
        <v>#N/A</v>
      </c>
    </row>
    <row r="13" spans="1:5" x14ac:dyDescent="0.35">
      <c r="A13" s="118">
        <v>6</v>
      </c>
      <c r="B13" s="114" t="s">
        <v>115</v>
      </c>
      <c r="C13" s="109" t="e">
        <f>VLOOKUP(Table257519913140106110151155170178204211[[#This Row],[PEG]],Table1016[#All],2,FALSE)</f>
        <v>#N/A</v>
      </c>
      <c r="D13" s="128"/>
      <c r="E13" s="125" t="e">
        <f>VLOOKUP(Table257519913140106110151155170178204211[[#This Row],[PEG]],Table1016[#All],3,FALSE)</f>
        <v>#N/A</v>
      </c>
    </row>
    <row r="14" spans="1:5" x14ac:dyDescent="0.35">
      <c r="A14" s="118">
        <v>7</v>
      </c>
      <c r="B14" s="114" t="s">
        <v>114</v>
      </c>
      <c r="C14" s="109" t="e">
        <f>VLOOKUP(Table257519913140106110151155170178204211[[#This Row],[PEG]],Table1016[#All],2,FALSE)</f>
        <v>#N/A</v>
      </c>
      <c r="D14" s="128"/>
      <c r="E14" s="125" t="e">
        <f>VLOOKUP(Table257519913140106110151155170178204211[[#This Row],[PEG]],Table1016[#All],3,FALSE)</f>
        <v>#N/A</v>
      </c>
    </row>
    <row r="15" spans="1:5" x14ac:dyDescent="0.35">
      <c r="A15" s="118">
        <v>8</v>
      </c>
      <c r="B15" s="114" t="s">
        <v>115</v>
      </c>
      <c r="C15" s="109" t="e">
        <f>VLOOKUP(Table257519913140106110151155170178204211[[#This Row],[PEG]],Table1016[#All],2,FALSE)</f>
        <v>#N/A</v>
      </c>
      <c r="D15" s="116"/>
      <c r="E15" s="125" t="e">
        <f>VLOOKUP(Table257519913140106110151155170178204211[[#This Row],[PEG]],Table1016[#All],3,FALSE)</f>
        <v>#N/A</v>
      </c>
    </row>
    <row r="16" spans="1:5" x14ac:dyDescent="0.35">
      <c r="A16" s="118">
        <v>9</v>
      </c>
      <c r="B16" s="114" t="s">
        <v>12</v>
      </c>
      <c r="C16" s="109" t="e">
        <f>VLOOKUP(Table257519913140106110151155170178204211[[#This Row],[PEG]],Table1016[#All],2,FALSE)</f>
        <v>#N/A</v>
      </c>
      <c r="D16" s="116"/>
      <c r="E16" s="125" t="e">
        <f>VLOOKUP(Table257519913140106110151155170178204211[[#This Row],[PEG]],Table1016[#All],3,FALSE)</f>
        <v>#N/A</v>
      </c>
    </row>
    <row r="17" spans="1:5" x14ac:dyDescent="0.35">
      <c r="A17" s="118">
        <v>10</v>
      </c>
      <c r="B17" s="114" t="s">
        <v>12</v>
      </c>
      <c r="C17" s="109" t="e">
        <f>VLOOKUP(Table257519913140106110151155170178204211[[#This Row],[PEG]],Table1016[#All],2,FALSE)</f>
        <v>#N/A</v>
      </c>
      <c r="D17" s="117"/>
      <c r="E17" s="125" t="e">
        <f>VLOOKUP(Table257519913140106110151155170178204211[[#This Row],[PEG]],Table1016[#All],3,FALSE)</f>
        <v>#N/A</v>
      </c>
    </row>
    <row r="18" spans="1:5" x14ac:dyDescent="0.35">
      <c r="A18" s="118">
        <v>11</v>
      </c>
      <c r="B18" s="114" t="s">
        <v>115</v>
      </c>
      <c r="C18" s="109" t="e">
        <f>VLOOKUP(Table257519913140106110151155170178204211[[#This Row],[PEG]],Table1016[#All],2,FALSE)</f>
        <v>#N/A</v>
      </c>
      <c r="D18" s="117"/>
      <c r="E18" s="125" t="e">
        <f>VLOOKUP(Table257519913140106110151155170178204211[[#This Row],[PEG]],Table1016[#All],3,FALSE)</f>
        <v>#N/A</v>
      </c>
    </row>
    <row r="19" spans="1:5" x14ac:dyDescent="0.35">
      <c r="A19" s="118">
        <v>12</v>
      </c>
      <c r="B19" s="114" t="s">
        <v>115</v>
      </c>
      <c r="C19" s="109" t="e">
        <f>VLOOKUP(Table257519913140106110151155170178204211[[#This Row],[PEG]],Table1016[#All],2,FALSE)</f>
        <v>#N/A</v>
      </c>
      <c r="D19" s="117"/>
      <c r="E19" s="125" t="e">
        <f>VLOOKUP(Table257519913140106110151155170178204211[[#This Row],[PEG]],Table1016[#All],3,FALSE)</f>
        <v>#N/A</v>
      </c>
    </row>
    <row r="20" spans="1:5" x14ac:dyDescent="0.35">
      <c r="A20" s="118">
        <v>13</v>
      </c>
      <c r="B20" s="114" t="s">
        <v>114</v>
      </c>
      <c r="C20" s="109" t="e">
        <f>VLOOKUP(Table257519913140106110151155170178204211[[#This Row],[PEG]],Table1016[#All],2,FALSE)</f>
        <v>#N/A</v>
      </c>
      <c r="D20" s="117"/>
      <c r="E20" s="125" t="e">
        <f>VLOOKUP(Table257519913140106110151155170178204211[[#This Row],[PEG]],Table1016[#All],3,FALSE)</f>
        <v>#N/A</v>
      </c>
    </row>
    <row r="21" spans="1:5" x14ac:dyDescent="0.35">
      <c r="A21" s="118">
        <v>14</v>
      </c>
      <c r="B21" s="114" t="s">
        <v>12</v>
      </c>
      <c r="C21" s="109" t="e">
        <f>VLOOKUP(Table257519913140106110151155170178204211[[#This Row],[PEG]],Table1016[#All],2,FALSE)</f>
        <v>#N/A</v>
      </c>
      <c r="D21" s="117"/>
      <c r="E21" s="125" t="e">
        <f>VLOOKUP(Table257519913140106110151155170178204211[[#This Row],[PEG]],Table1016[#All],3,FALSE)</f>
        <v>#N/A</v>
      </c>
    </row>
    <row r="22" spans="1:5" x14ac:dyDescent="0.35">
      <c r="A22" s="118">
        <v>15</v>
      </c>
      <c r="B22" s="114" t="s">
        <v>12</v>
      </c>
      <c r="C22" s="109" t="e">
        <f>VLOOKUP(Table257519913140106110151155170178204211[[#This Row],[PEG]],Table1016[#All],2,FALSE)</f>
        <v>#N/A</v>
      </c>
      <c r="D22" s="117"/>
      <c r="E22" s="125" t="e">
        <f>VLOOKUP(Table257519913140106110151155170178204211[[#This Row],[PEG]],Table1016[#All],3,FALSE)</f>
        <v>#N/A</v>
      </c>
    </row>
    <row r="23" spans="1:5" x14ac:dyDescent="0.35">
      <c r="A23" s="118">
        <v>16</v>
      </c>
      <c r="B23" s="114" t="s">
        <v>115</v>
      </c>
      <c r="C23" s="109" t="e">
        <f>VLOOKUP(Table257519913140106110151155170178204211[[#This Row],[PEG]],Table1016[#All],2,FALSE)</f>
        <v>#N/A</v>
      </c>
      <c r="D23" s="117"/>
      <c r="E23" s="125" t="e">
        <f>VLOOKUP(Table257519913140106110151155170178204211[[#This Row],[PEG]],Table1016[#All],3,FALSE)</f>
        <v>#N/A</v>
      </c>
    </row>
    <row r="24" spans="1:5" x14ac:dyDescent="0.35">
      <c r="A24" s="118">
        <v>17</v>
      </c>
      <c r="B24" s="114" t="s">
        <v>114</v>
      </c>
      <c r="C24" s="109" t="e">
        <f>VLOOKUP(Table257519913140106110151155170178204211[[#This Row],[PEG]],Table1016[#All],2,FALSE)</f>
        <v>#N/A</v>
      </c>
      <c r="D24" s="117"/>
      <c r="E24" s="125" t="e">
        <f>VLOOKUP(Table257519913140106110151155170178204211[[#This Row],[PEG]],Table1016[#All],3,FALSE)</f>
        <v>#N/A</v>
      </c>
    </row>
    <row r="25" spans="1:5" x14ac:dyDescent="0.35">
      <c r="A25" s="118">
        <v>18</v>
      </c>
      <c r="B25" s="114" t="s">
        <v>12</v>
      </c>
      <c r="C25" s="109" t="e">
        <f>VLOOKUP(Table257519913140106110151155170178204211[[#This Row],[PEG]],Table1016[#All],2,FALSE)</f>
        <v>#N/A</v>
      </c>
      <c r="D25" s="117"/>
      <c r="E25" s="125" t="e">
        <f>VLOOKUP(Table257519913140106110151155170178204211[[#This Row],[PEG]],Table1016[#All],3,FALSE)</f>
        <v>#N/A</v>
      </c>
    </row>
    <row r="26" spans="1:5" x14ac:dyDescent="0.35">
      <c r="A26" s="118">
        <v>19</v>
      </c>
      <c r="B26" s="114" t="s">
        <v>12</v>
      </c>
      <c r="C26" s="109" t="e">
        <f>VLOOKUP(Table257519913140106110151155170178204211[[#This Row],[PEG]],Table1016[#All],2,FALSE)</f>
        <v>#N/A</v>
      </c>
      <c r="D26" s="117"/>
      <c r="E26" s="125" t="e">
        <f>VLOOKUP(Table257519913140106110151155170178204211[[#This Row],[PEG]],Table1016[#All],3,FALSE)</f>
        <v>#N/A</v>
      </c>
    </row>
    <row r="27" spans="1:5" x14ac:dyDescent="0.35">
      <c r="A27" s="118">
        <v>20</v>
      </c>
      <c r="B27" s="114" t="s">
        <v>115</v>
      </c>
      <c r="C27" s="109" t="e">
        <f>VLOOKUP(Table257519913140106110151155170178204211[[#This Row],[PEG]],Table1016[#All],2,FALSE)</f>
        <v>#N/A</v>
      </c>
      <c r="D27" s="117"/>
      <c r="E27" s="125" t="e">
        <f>VLOOKUP(Table257519913140106110151155170178204211[[#This Row],[PEG]],Table1016[#All],3,FALSE)</f>
        <v>#N/A</v>
      </c>
    </row>
    <row r="28" spans="1:5" x14ac:dyDescent="0.35">
      <c r="A28" s="118">
        <v>21</v>
      </c>
      <c r="B28" s="114" t="s">
        <v>114</v>
      </c>
      <c r="C28" s="109" t="e">
        <f>VLOOKUP(Table257519913140106110151155170178204211[[#This Row],[PEG]],Table1016[#All],2,FALSE)</f>
        <v>#N/A</v>
      </c>
      <c r="D28" s="117"/>
      <c r="E28" s="125" t="e">
        <f>VLOOKUP(Table257519913140106110151155170178204211[[#This Row],[PEG]],Table1016[#All],3,FALSE)</f>
        <v>#N/A</v>
      </c>
    </row>
    <row r="29" spans="1:5" x14ac:dyDescent="0.35">
      <c r="A29" s="118">
        <v>22</v>
      </c>
      <c r="B29" s="114" t="s">
        <v>12</v>
      </c>
      <c r="C29" s="109" t="e">
        <f>VLOOKUP(Table257519913140106110151155170178204211[[#This Row],[PEG]],Table1016[#All],2,FALSE)</f>
        <v>#N/A</v>
      </c>
      <c r="D29" s="117"/>
      <c r="E29" s="125" t="e">
        <f>VLOOKUP(Table257519913140106110151155170178204211[[#This Row],[PEG]],Table1016[#All],3,FALSE)</f>
        <v>#N/A</v>
      </c>
    </row>
    <row r="30" spans="1:5" x14ac:dyDescent="0.35">
      <c r="A30" s="118">
        <v>23</v>
      </c>
      <c r="B30" s="114" t="s">
        <v>12</v>
      </c>
      <c r="C30" s="109" t="e">
        <f>VLOOKUP(Table257519913140106110151155170178204211[[#This Row],[PEG]],Table1016[#All],2,FALSE)</f>
        <v>#N/A</v>
      </c>
      <c r="D30" s="117"/>
      <c r="E30" s="125" t="e">
        <f>VLOOKUP(Table257519913140106110151155170178204211[[#This Row],[PEG]],Table1016[#All],3,FALSE)</f>
        <v>#N/A</v>
      </c>
    </row>
    <row r="31" spans="1:5" x14ac:dyDescent="0.35">
      <c r="A31" s="118">
        <v>24</v>
      </c>
      <c r="B31" s="114" t="s">
        <v>115</v>
      </c>
      <c r="C31" s="109" t="e">
        <f>VLOOKUP(Table257519913140106110151155170178204211[[#This Row],[PEG]],Table1016[#All],2,FALSE)</f>
        <v>#N/A</v>
      </c>
      <c r="D31" s="117"/>
      <c r="E31" s="125" t="e">
        <f>VLOOKUP(Table257519913140106110151155170178204211[[#This Row],[PEG]],Table1016[#All],3,FALSE)</f>
        <v>#N/A</v>
      </c>
    </row>
    <row r="32" spans="1:5" x14ac:dyDescent="0.35">
      <c r="A32" s="118">
        <v>25</v>
      </c>
      <c r="B32" s="114" t="s">
        <v>115</v>
      </c>
      <c r="C32" s="109" t="e">
        <f>VLOOKUP(Table257519913140106110151155170178204211[[#This Row],[PEG]],Table1016[#All],2,FALSE)</f>
        <v>#N/A</v>
      </c>
      <c r="D32" s="117"/>
      <c r="E32" s="125" t="e">
        <f>VLOOKUP(Table257519913140106110151155170178204211[[#This Row],[PEG]],Table1016[#All],3,FALSE)</f>
        <v>#N/A</v>
      </c>
    </row>
    <row r="33" spans="1:5" x14ac:dyDescent="0.35">
      <c r="A33" s="118">
        <v>26</v>
      </c>
      <c r="B33" s="114" t="s">
        <v>124</v>
      </c>
      <c r="C33" s="109" t="e">
        <f>VLOOKUP(Table257519913140106110151155170178204211[[#This Row],[PEG]],Table1016[#All],2,FALSE)</f>
        <v>#N/A</v>
      </c>
      <c r="D33" s="117"/>
      <c r="E33" s="125" t="e">
        <f>VLOOKUP(Table257519913140106110151155170178204211[[#This Row],[PEG]],Table1016[#All],3,FALSE)</f>
        <v>#N/A</v>
      </c>
    </row>
    <row r="34" spans="1:5" x14ac:dyDescent="0.35">
      <c r="A34" s="118">
        <v>27</v>
      </c>
      <c r="B34" s="114" t="s">
        <v>115</v>
      </c>
      <c r="C34" s="109" t="e">
        <f>VLOOKUP(Table257519913140106110151155170178204211[[#This Row],[PEG]],Table1016[#All],2,FALSE)</f>
        <v>#N/A</v>
      </c>
      <c r="D34" s="117"/>
      <c r="E34" s="125" t="e">
        <f>VLOOKUP(Table257519913140106110151155170178204211[[#This Row],[PEG]],Table1016[#All],3,FALSE)</f>
        <v>#N/A</v>
      </c>
    </row>
    <row r="35" spans="1:5" x14ac:dyDescent="0.35">
      <c r="A35" s="118">
        <v>28</v>
      </c>
      <c r="B35" s="114" t="s">
        <v>124</v>
      </c>
      <c r="C35" s="109" t="e">
        <f>VLOOKUP(Table257519913140106110151155170178204211[[#This Row],[PEG]],Table1016[#All],2,FALSE)</f>
        <v>#N/A</v>
      </c>
      <c r="D35" s="117"/>
      <c r="E35" s="125" t="e">
        <f>VLOOKUP(Table257519913140106110151155170178204211[[#This Row],[PEG]],Table1016[#All],3,FALSE)</f>
        <v>#N/A</v>
      </c>
    </row>
    <row r="36" spans="1:5" x14ac:dyDescent="0.35">
      <c r="A36" s="118">
        <v>29</v>
      </c>
      <c r="B36" s="114" t="s">
        <v>115</v>
      </c>
      <c r="C36" s="109" t="e">
        <f>VLOOKUP(Table257519913140106110151155170178204211[[#This Row],[PEG]],Table1016[#All],2,FALSE)</f>
        <v>#N/A</v>
      </c>
      <c r="D36" s="117"/>
      <c r="E36" s="125" t="e">
        <f>VLOOKUP(Table257519913140106110151155170178204211[[#This Row],[PEG]],Table1016[#All],3,FALSE)</f>
        <v>#N/A</v>
      </c>
    </row>
    <row r="37" spans="1:5" x14ac:dyDescent="0.35">
      <c r="A37" s="118">
        <v>30</v>
      </c>
      <c r="B37" s="114" t="s">
        <v>12</v>
      </c>
      <c r="C37" s="109" t="e">
        <f>VLOOKUP(Table257519913140106110151155170178204211[[#This Row],[PEG]],Table1016[#All],2,FALSE)</f>
        <v>#N/A</v>
      </c>
      <c r="D37" s="117"/>
      <c r="E37" s="125" t="e">
        <f>VLOOKUP(Table257519913140106110151155170178204211[[#This Row],[PEG]],Table1016[#All],3,FALSE)</f>
        <v>#N/A</v>
      </c>
    </row>
    <row r="38" spans="1:5" x14ac:dyDescent="0.35">
      <c r="A38" s="118">
        <v>31</v>
      </c>
      <c r="B38" s="114" t="s">
        <v>12</v>
      </c>
      <c r="C38" s="109" t="e">
        <f>VLOOKUP(Table257519913140106110151155170178204211[[#This Row],[PEG]],Table1016[#All],2,FALSE)</f>
        <v>#N/A</v>
      </c>
      <c r="D38" s="117"/>
      <c r="E38" s="125" t="e">
        <f>VLOOKUP(Table257519913140106110151155170178204211[[#This Row],[PEG]],Table1016[#All],3,FALSE)</f>
        <v>#N/A</v>
      </c>
    </row>
    <row r="39" spans="1:5" x14ac:dyDescent="0.35">
      <c r="A39" s="118">
        <v>32</v>
      </c>
      <c r="B39" s="114" t="s">
        <v>12</v>
      </c>
      <c r="C39" s="109" t="e">
        <f>VLOOKUP(Table257519913140106110151155170178204211[[#This Row],[PEG]],Table1016[#All],2,FALSE)</f>
        <v>#N/A</v>
      </c>
      <c r="D39" s="117"/>
      <c r="E39" s="125" t="e">
        <f>VLOOKUP(Table257519913140106110151155170178204211[[#This Row],[PEG]],Table1016[#All],3,FALSE)</f>
        <v>#N/A</v>
      </c>
    </row>
    <row r="40" spans="1:5" x14ac:dyDescent="0.35">
      <c r="A40" s="118">
        <v>33</v>
      </c>
      <c r="B40" s="114" t="s">
        <v>12</v>
      </c>
      <c r="C40" s="109" t="e">
        <f>VLOOKUP(Table257519913140106110151155170178204211[[#This Row],[PEG]],Table1016[#All],2,FALSE)</f>
        <v>#N/A</v>
      </c>
      <c r="D40" s="117"/>
      <c r="E40" s="125" t="e">
        <f>VLOOKUP(Table257519913140106110151155170178204211[[#This Row],[PEG]],Table1016[#All],3,FALSE)</f>
        <v>#N/A</v>
      </c>
    </row>
    <row r="41" spans="1:5" x14ac:dyDescent="0.35">
      <c r="A41" s="118">
        <v>34</v>
      </c>
      <c r="B41" s="114" t="s">
        <v>115</v>
      </c>
      <c r="C41" s="109" t="e">
        <f>VLOOKUP(Table257519913140106110151155170178204211[[#This Row],[PEG]],Table1016[#All],2,FALSE)</f>
        <v>#N/A</v>
      </c>
      <c r="D41" s="117"/>
      <c r="E41" s="125" t="e">
        <f>VLOOKUP(Table257519913140106110151155170178204211[[#This Row],[PEG]],Table1016[#All],3,FALSE)</f>
        <v>#N/A</v>
      </c>
    </row>
    <row r="42" spans="1:5" x14ac:dyDescent="0.35">
      <c r="A42" s="118">
        <v>35</v>
      </c>
      <c r="B42" s="114" t="s">
        <v>12</v>
      </c>
      <c r="C42" s="109" t="e">
        <f>VLOOKUP(Table257519913140106110151155170178204211[[#This Row],[PEG]],Table1016[#All],2,FALSE)</f>
        <v>#N/A</v>
      </c>
      <c r="D42" s="115"/>
      <c r="E42" s="125" t="e">
        <f>VLOOKUP(Table257519913140106110151155170178204211[[#This Row],[PEG]],Table1016[#All],3,FALSE)</f>
        <v>#N/A</v>
      </c>
    </row>
    <row r="43" spans="1:5" x14ac:dyDescent="0.35">
      <c r="A43" s="118">
        <v>36</v>
      </c>
      <c r="B43" s="114" t="s">
        <v>115</v>
      </c>
      <c r="C43" s="109" t="e">
        <f>VLOOKUP(Table257519913140106110151155170178204211[[#This Row],[PEG]],Table1016[#All],2,FALSE)</f>
        <v>#N/A</v>
      </c>
      <c r="D43" s="115"/>
      <c r="E43" s="125" t="e">
        <f>VLOOKUP(Table257519913140106110151155170178204211[[#This Row],[PEG]],Table1016[#All],3,FALSE)</f>
        <v>#N/A</v>
      </c>
    </row>
    <row r="44" spans="1:5" x14ac:dyDescent="0.35">
      <c r="A44" s="118">
        <v>37</v>
      </c>
      <c r="B44" s="114" t="s">
        <v>13</v>
      </c>
      <c r="C44" s="18" t="s">
        <v>13</v>
      </c>
      <c r="D44" s="115"/>
      <c r="E44" s="32"/>
    </row>
  </sheetData>
  <mergeCells count="1">
    <mergeCell ref="A1:B1"/>
  </mergeCells>
  <conditionalFormatting sqref="B8:B18">
    <cfRule type="containsText" dxfId="817" priority="1" operator="containsText" text="Hear">
      <formula>NOT(ISERROR(SEARCH("Hear",B8)))</formula>
    </cfRule>
  </conditionalFormatting>
  <conditionalFormatting sqref="B30">
    <cfRule type="containsText" dxfId="816" priority="4" operator="containsText" text="Hear">
      <formula>NOT(ISERROR(SEARCH("Hear",B30)))</formula>
    </cfRule>
  </conditionalFormatting>
  <conditionalFormatting sqref="B43:B44">
    <cfRule type="containsText" dxfId="815" priority="8" operator="containsText" text="Hear">
      <formula>NOT(ISERROR(SEARCH("Hear",B43)))</formula>
    </cfRule>
  </conditionalFormatting>
  <conditionalFormatting sqref="E44">
    <cfRule type="containsText" dxfId="814" priority="6" operator="containsText" text="WEB SERVICE">
      <formula>NOT(ISERROR(SEARCH("WEB SERVICE",E44)))</formula>
    </cfRule>
    <cfRule type="containsText" dxfId="813" priority="7" operator="containsText" text="DB">
      <formula>NOT(ISERROR(SEARCH("DB",E44)))</formula>
    </cfRule>
  </conditionalFormatting>
  <conditionalFormatting sqref="C44">
    <cfRule type="expression" dxfId="812" priority="9">
      <formula>$B44="Dial"</formula>
    </cfRule>
  </conditionalFormatting>
  <conditionalFormatting sqref="C44">
    <cfRule type="expression" dxfId="811" priority="3">
      <formula>$B44="Speak"</formula>
    </cfRule>
  </conditionalFormatting>
  <conditionalFormatting sqref="B19:B29 B31:B35 B42">
    <cfRule type="containsText" dxfId="810" priority="5" operator="containsText" text="Hear">
      <formula>NOT(ISERROR(SEARCH("Hear",B19)))</formula>
    </cfRule>
  </conditionalFormatting>
  <hyperlinks>
    <hyperlink ref="A1" location="'Test Case Overview'!A1" display="Return to Test Case Overview" xr:uid="{35680088-74E6-499F-A96A-92D021900FE9}"/>
  </hyperlinks>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expression" priority="2" id="{85828B84-D64B-4002-AEC7-9A9D312FB52E}">
            <xm:f>'TC1'!$B8="HANGUP"</xm:f>
            <x14:dxf>
              <font>
                <b/>
                <i val="0"/>
              </font>
            </x14:dxf>
          </x14:cfRule>
          <xm:sqref>C8</xm:sqref>
        </x14:conditionalFormatting>
        <x14:conditionalFormatting xmlns:xm="http://schemas.microsoft.com/office/excel/2006/main">
          <x14:cfRule type="expression" priority="3250" id="{85828B84-D64B-4002-AEC7-9A9D312FB52E}">
            <xm:f>'TC1'!$B16="HANGUP"</xm:f>
            <x14:dxf>
              <font>
                <b/>
                <i val="0"/>
              </font>
            </x14:dxf>
          </x14:cfRule>
          <xm:sqref>C34:C43</xm:sqref>
        </x14:conditionalFormatting>
        <x14:conditionalFormatting xmlns:xm="http://schemas.microsoft.com/office/excel/2006/main">
          <x14:cfRule type="expression" priority="3251" id="{85828B84-D64B-4002-AEC7-9A9D312FB52E}">
            <xm:f>'TC1'!#REF!="HANGUP"</xm:f>
            <x14:dxf>
              <font>
                <b/>
                <i val="0"/>
              </font>
            </x14:dxf>
          </x14:cfRule>
          <xm:sqref>C17:C33</xm:sqref>
        </x14:conditionalFormatting>
        <x14:conditionalFormatting xmlns:xm="http://schemas.microsoft.com/office/excel/2006/main">
          <x14:cfRule type="expression" priority="5864" id="{85828B84-D64B-4002-AEC7-9A9D312FB52E}">
            <xm:f>'TC1'!$B9="HANGUP"</xm:f>
            <x14:dxf>
              <font>
                <b/>
                <i val="0"/>
              </font>
            </x14:dxf>
          </x14:cfRule>
          <xm:sqref>C12:C15</xm:sqref>
        </x14:conditionalFormatting>
        <x14:conditionalFormatting xmlns:xm="http://schemas.microsoft.com/office/excel/2006/main">
          <x14:cfRule type="expression" priority="5865" id="{85828B84-D64B-4002-AEC7-9A9D312FB52E}">
            <xm:f>'TC1'!#REF!="HANGUP"</xm:f>
            <x14:dxf>
              <font>
                <b/>
                <i val="0"/>
              </font>
            </x14:dxf>
          </x14:cfRule>
          <xm:sqref>C9:C11</xm:sqref>
        </x14:conditionalFormatting>
        <x14:conditionalFormatting xmlns:xm="http://schemas.microsoft.com/office/excel/2006/main">
          <x14:cfRule type="expression" priority="8061" id="{85828B84-D64B-4002-AEC7-9A9D312FB52E}">
            <xm:f>'TC1'!$B15="HANGUP"</xm:f>
            <x14:dxf>
              <font>
                <b/>
                <i val="0"/>
              </font>
            </x14:dxf>
          </x14:cfRule>
          <xm:sqref>C16</xm:sqref>
        </x14:conditionalFormatting>
      </x14:conditionalFormattings>
    </ext>
  </extLst>
</worksheet>
</file>

<file path=xl/worksheets/sheet1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800-000000000000}">
  <sheetPr codeName="Sheet154"/>
  <dimension ref="A1:E44"/>
  <sheetViews>
    <sheetView zoomScaleNormal="100" workbookViewId="0">
      <selection sqref="A1:E44"/>
    </sheetView>
  </sheetViews>
  <sheetFormatPr defaultRowHeight="14.5" x14ac:dyDescent="0.35"/>
  <cols>
    <col min="1" max="1" width="14.453125" bestFit="1" customWidth="1"/>
    <col min="2" max="2" width="42.6328125" customWidth="1"/>
    <col min="3" max="3" width="106.1796875" customWidth="1"/>
    <col min="4" max="4" width="21.81640625" bestFit="1" customWidth="1"/>
    <col min="5" max="5" width="20.6328125" customWidth="1"/>
  </cols>
  <sheetData>
    <row r="1" spans="1:5" ht="18.5" x14ac:dyDescent="0.35">
      <c r="A1" s="192" t="s">
        <v>4</v>
      </c>
      <c r="B1" s="192"/>
      <c r="C1" s="105"/>
      <c r="D1" s="111"/>
      <c r="E1" s="97"/>
    </row>
    <row r="2" spans="1:5" x14ac:dyDescent="0.35">
      <c r="A2" s="106" t="s">
        <v>5</v>
      </c>
      <c r="B2" s="107" t="str">
        <f ca="1">MID(CELL("filename",A1),FIND("]",CELL("filename",A1))+1,LEN(CELL("filename",A1))-FIND("]",CELL("filename",A1)))</f>
        <v>TC152</v>
      </c>
      <c r="C2" s="98"/>
      <c r="D2" s="111"/>
      <c r="E2" s="97"/>
    </row>
    <row r="3" spans="1:5" x14ac:dyDescent="0.35">
      <c r="A3" s="104" t="s">
        <v>19</v>
      </c>
      <c r="B3" s="112" t="e">
        <f ca="1">VLOOKUP(B2,Table53[#All],2,FALSE)</f>
        <v>#N/A</v>
      </c>
      <c r="C3" s="98"/>
      <c r="D3" s="111"/>
      <c r="E3" s="97"/>
    </row>
    <row r="4" spans="1:5" ht="29" x14ac:dyDescent="0.35">
      <c r="A4" s="113" t="s">
        <v>20</v>
      </c>
      <c r="B4" s="99" t="e">
        <f ca="1">VLOOKUP(B2,Table53[#All],4,FALSE)</f>
        <v>#N/A</v>
      </c>
      <c r="C4" s="98"/>
      <c r="D4" s="111"/>
      <c r="E4" s="97"/>
    </row>
    <row r="5" spans="1:5" x14ac:dyDescent="0.35">
      <c r="A5" s="104" t="s">
        <v>6</v>
      </c>
      <c r="B5" s="77" t="e">
        <f ca="1">VLOOKUP(B2,Table53[#All],3,FALSE)</f>
        <v>#N/A</v>
      </c>
      <c r="C5" s="98"/>
      <c r="D5" s="111"/>
      <c r="E5" s="97"/>
    </row>
    <row r="6" spans="1:5" x14ac:dyDescent="0.35">
      <c r="A6" s="97"/>
      <c r="B6" s="97"/>
      <c r="C6" s="98"/>
      <c r="D6" s="111"/>
      <c r="E6" s="97"/>
    </row>
    <row r="7" spans="1:5" ht="15.5" x14ac:dyDescent="0.35">
      <c r="A7" s="100" t="s">
        <v>7</v>
      </c>
      <c r="B7" s="101" t="s">
        <v>8</v>
      </c>
      <c r="C7" s="102" t="s">
        <v>9</v>
      </c>
      <c r="D7" s="102" t="s">
        <v>14</v>
      </c>
      <c r="E7" s="103" t="s">
        <v>10</v>
      </c>
    </row>
    <row r="8" spans="1:5" x14ac:dyDescent="0.35">
      <c r="A8" s="118">
        <v>1</v>
      </c>
      <c r="B8" s="114" t="s">
        <v>114</v>
      </c>
      <c r="C8" s="109" t="s">
        <v>125</v>
      </c>
      <c r="D8" s="128"/>
      <c r="E8" s="125" t="s">
        <v>11</v>
      </c>
    </row>
    <row r="9" spans="1:5" x14ac:dyDescent="0.35">
      <c r="A9" s="118">
        <v>2</v>
      </c>
      <c r="B9" s="114" t="s">
        <v>12</v>
      </c>
      <c r="C9" s="109" t="e">
        <f>VLOOKUP(Table257519913140106110151155170178204213[[#This Row],[PEG]],Table1016[#All],2,FALSE)</f>
        <v>#N/A</v>
      </c>
      <c r="D9" s="128"/>
      <c r="E9" s="125" t="e">
        <f>VLOOKUP(Table257519913140106110151155170178204213[[#This Row],[PEG]],Table1016[#All],3,FALSE)</f>
        <v>#N/A</v>
      </c>
    </row>
    <row r="10" spans="1:5" x14ac:dyDescent="0.35">
      <c r="A10" s="118">
        <v>3</v>
      </c>
      <c r="B10" s="114" t="s">
        <v>115</v>
      </c>
      <c r="C10" s="109" t="e">
        <f>VLOOKUP(Table257519913140106110151155170178204213[[#This Row],[PEG]],Table1016[#All],2,FALSE)</f>
        <v>#N/A</v>
      </c>
      <c r="D10" s="128"/>
      <c r="E10" s="125" t="e">
        <f>VLOOKUP(Table257519913140106110151155170178204213[[#This Row],[PEG]],Table1016[#All],3,FALSE)</f>
        <v>#N/A</v>
      </c>
    </row>
    <row r="11" spans="1:5" x14ac:dyDescent="0.35">
      <c r="A11" s="118">
        <v>4</v>
      </c>
      <c r="B11" s="114" t="s">
        <v>115</v>
      </c>
      <c r="C11" s="109" t="e">
        <f>VLOOKUP(Table257519913140106110151155170178204213[[#This Row],[PEG]],Table1016[#All],2,FALSE)</f>
        <v>#N/A</v>
      </c>
      <c r="D11" s="128"/>
      <c r="E11" s="125" t="e">
        <f>VLOOKUP(Table257519913140106110151155170178204213[[#This Row],[PEG]],Table1016[#All],3,FALSE)</f>
        <v>#N/A</v>
      </c>
    </row>
    <row r="12" spans="1:5" x14ac:dyDescent="0.35">
      <c r="A12" s="118">
        <v>5</v>
      </c>
      <c r="B12" s="114" t="s">
        <v>114</v>
      </c>
      <c r="C12" s="109" t="e">
        <f>VLOOKUP(Table257519913140106110151155170178204213[[#This Row],[PEG]],Table1016[#All],2,FALSE)</f>
        <v>#N/A</v>
      </c>
      <c r="D12" s="128"/>
      <c r="E12" s="125" t="e">
        <f>VLOOKUP(Table257519913140106110151155170178204213[[#This Row],[PEG]],Table1016[#All],3,FALSE)</f>
        <v>#N/A</v>
      </c>
    </row>
    <row r="13" spans="1:5" x14ac:dyDescent="0.35">
      <c r="A13" s="118">
        <v>6</v>
      </c>
      <c r="B13" s="114" t="s">
        <v>115</v>
      </c>
      <c r="C13" s="109" t="e">
        <f>VLOOKUP(Table257519913140106110151155170178204213[[#This Row],[PEG]],Table1016[#All],2,FALSE)</f>
        <v>#N/A</v>
      </c>
      <c r="D13" s="128"/>
      <c r="E13" s="125" t="e">
        <f>VLOOKUP(Table257519913140106110151155170178204213[[#This Row],[PEG]],Table1016[#All],3,FALSE)</f>
        <v>#N/A</v>
      </c>
    </row>
    <row r="14" spans="1:5" x14ac:dyDescent="0.35">
      <c r="A14" s="118">
        <v>7</v>
      </c>
      <c r="B14" s="114" t="s">
        <v>114</v>
      </c>
      <c r="C14" s="109" t="e">
        <f>VLOOKUP(Table257519913140106110151155170178204213[[#This Row],[PEG]],Table1016[#All],2,FALSE)</f>
        <v>#N/A</v>
      </c>
      <c r="D14" s="128"/>
      <c r="E14" s="125" t="e">
        <f>VLOOKUP(Table257519913140106110151155170178204213[[#This Row],[PEG]],Table1016[#All],3,FALSE)</f>
        <v>#N/A</v>
      </c>
    </row>
    <row r="15" spans="1:5" x14ac:dyDescent="0.35">
      <c r="A15" s="118">
        <v>8</v>
      </c>
      <c r="B15" s="114" t="s">
        <v>115</v>
      </c>
      <c r="C15" s="109" t="e">
        <f>VLOOKUP(Table257519913140106110151155170178204213[[#This Row],[PEG]],Table1016[#All],2,FALSE)</f>
        <v>#N/A</v>
      </c>
      <c r="D15" s="116"/>
      <c r="E15" s="125" t="e">
        <f>VLOOKUP(Table257519913140106110151155170178204213[[#This Row],[PEG]],Table1016[#All],3,FALSE)</f>
        <v>#N/A</v>
      </c>
    </row>
    <row r="16" spans="1:5" x14ac:dyDescent="0.35">
      <c r="A16" s="118">
        <v>9</v>
      </c>
      <c r="B16" s="114" t="s">
        <v>12</v>
      </c>
      <c r="C16" s="109" t="e">
        <f>VLOOKUP(Table257519913140106110151155170178204213[[#This Row],[PEG]],Table1016[#All],2,FALSE)</f>
        <v>#N/A</v>
      </c>
      <c r="D16" s="116"/>
      <c r="E16" s="125" t="e">
        <f>VLOOKUP(Table257519913140106110151155170178204213[[#This Row],[PEG]],Table1016[#All],3,FALSE)</f>
        <v>#N/A</v>
      </c>
    </row>
    <row r="17" spans="1:5" x14ac:dyDescent="0.35">
      <c r="A17" s="118">
        <v>10</v>
      </c>
      <c r="B17" s="114" t="s">
        <v>12</v>
      </c>
      <c r="C17" s="109" t="e">
        <f>VLOOKUP(Table257519913140106110151155170178204213[[#This Row],[PEG]],Table1016[#All],2,FALSE)</f>
        <v>#N/A</v>
      </c>
      <c r="D17" s="117"/>
      <c r="E17" s="125" t="e">
        <f>VLOOKUP(Table257519913140106110151155170178204213[[#This Row],[PEG]],Table1016[#All],3,FALSE)</f>
        <v>#N/A</v>
      </c>
    </row>
    <row r="18" spans="1:5" x14ac:dyDescent="0.35">
      <c r="A18" s="118">
        <v>11</v>
      </c>
      <c r="B18" s="114" t="s">
        <v>115</v>
      </c>
      <c r="C18" s="109" t="e">
        <f>VLOOKUP(Table257519913140106110151155170178204213[[#This Row],[PEG]],Table1016[#All],2,FALSE)</f>
        <v>#N/A</v>
      </c>
      <c r="D18" s="117"/>
      <c r="E18" s="125" t="e">
        <f>VLOOKUP(Table257519913140106110151155170178204213[[#This Row],[PEG]],Table1016[#All],3,FALSE)</f>
        <v>#N/A</v>
      </c>
    </row>
    <row r="19" spans="1:5" x14ac:dyDescent="0.35">
      <c r="A19" s="118">
        <v>12</v>
      </c>
      <c r="B19" s="114" t="s">
        <v>115</v>
      </c>
      <c r="C19" s="109" t="e">
        <f>VLOOKUP(Table257519913140106110151155170178204213[[#This Row],[PEG]],Table1016[#All],2,FALSE)</f>
        <v>#N/A</v>
      </c>
      <c r="D19" s="117"/>
      <c r="E19" s="125" t="e">
        <f>VLOOKUP(Table257519913140106110151155170178204213[[#This Row],[PEG]],Table1016[#All],3,FALSE)</f>
        <v>#N/A</v>
      </c>
    </row>
    <row r="20" spans="1:5" x14ac:dyDescent="0.35">
      <c r="A20" s="118">
        <v>13</v>
      </c>
      <c r="B20" s="114" t="s">
        <v>114</v>
      </c>
      <c r="C20" s="109" t="e">
        <f>VLOOKUP(Table257519913140106110151155170178204213[[#This Row],[PEG]],Table1016[#All],2,FALSE)</f>
        <v>#N/A</v>
      </c>
      <c r="D20" s="117"/>
      <c r="E20" s="125" t="e">
        <f>VLOOKUP(Table257519913140106110151155170178204213[[#This Row],[PEG]],Table1016[#All],3,FALSE)</f>
        <v>#N/A</v>
      </c>
    </row>
    <row r="21" spans="1:5" x14ac:dyDescent="0.35">
      <c r="A21" s="118">
        <v>14</v>
      </c>
      <c r="B21" s="114" t="s">
        <v>12</v>
      </c>
      <c r="C21" s="109" t="e">
        <f>VLOOKUP(Table257519913140106110151155170178204213[[#This Row],[PEG]],Table1016[#All],2,FALSE)</f>
        <v>#N/A</v>
      </c>
      <c r="D21" s="117"/>
      <c r="E21" s="125" t="e">
        <f>VLOOKUP(Table257519913140106110151155170178204213[[#This Row],[PEG]],Table1016[#All],3,FALSE)</f>
        <v>#N/A</v>
      </c>
    </row>
    <row r="22" spans="1:5" x14ac:dyDescent="0.35">
      <c r="A22" s="118">
        <v>15</v>
      </c>
      <c r="B22" s="114" t="s">
        <v>12</v>
      </c>
      <c r="C22" s="109" t="e">
        <f>VLOOKUP(Table257519913140106110151155170178204213[[#This Row],[PEG]],Table1016[#All],2,FALSE)</f>
        <v>#N/A</v>
      </c>
      <c r="D22" s="117"/>
      <c r="E22" s="125" t="e">
        <f>VLOOKUP(Table257519913140106110151155170178204213[[#This Row],[PEG]],Table1016[#All],3,FALSE)</f>
        <v>#N/A</v>
      </c>
    </row>
    <row r="23" spans="1:5" x14ac:dyDescent="0.35">
      <c r="A23" s="118">
        <v>16</v>
      </c>
      <c r="B23" s="114" t="s">
        <v>115</v>
      </c>
      <c r="C23" s="109" t="e">
        <f>VLOOKUP(Table257519913140106110151155170178204213[[#This Row],[PEG]],Table1016[#All],2,FALSE)</f>
        <v>#N/A</v>
      </c>
      <c r="D23" s="117"/>
      <c r="E23" s="125" t="e">
        <f>VLOOKUP(Table257519913140106110151155170178204213[[#This Row],[PEG]],Table1016[#All],3,FALSE)</f>
        <v>#N/A</v>
      </c>
    </row>
    <row r="24" spans="1:5" x14ac:dyDescent="0.35">
      <c r="A24" s="118">
        <v>17</v>
      </c>
      <c r="B24" s="114" t="s">
        <v>114</v>
      </c>
      <c r="C24" s="109" t="e">
        <f>VLOOKUP(Table257519913140106110151155170178204213[[#This Row],[PEG]],Table1016[#All],2,FALSE)</f>
        <v>#N/A</v>
      </c>
      <c r="D24" s="117"/>
      <c r="E24" s="125" t="e">
        <f>VLOOKUP(Table257519913140106110151155170178204213[[#This Row],[PEG]],Table1016[#All],3,FALSE)</f>
        <v>#N/A</v>
      </c>
    </row>
    <row r="25" spans="1:5" x14ac:dyDescent="0.35">
      <c r="A25" s="118">
        <v>18</v>
      </c>
      <c r="B25" s="114" t="s">
        <v>12</v>
      </c>
      <c r="C25" s="109" t="e">
        <f>VLOOKUP(Table257519913140106110151155170178204213[[#This Row],[PEG]],Table1016[#All],2,FALSE)</f>
        <v>#N/A</v>
      </c>
      <c r="D25" s="117"/>
      <c r="E25" s="125" t="e">
        <f>VLOOKUP(Table257519913140106110151155170178204213[[#This Row],[PEG]],Table1016[#All],3,FALSE)</f>
        <v>#N/A</v>
      </c>
    </row>
    <row r="26" spans="1:5" x14ac:dyDescent="0.35">
      <c r="A26" s="118">
        <v>19</v>
      </c>
      <c r="B26" s="114" t="s">
        <v>12</v>
      </c>
      <c r="C26" s="109" t="e">
        <f>VLOOKUP(Table257519913140106110151155170178204213[[#This Row],[PEG]],Table1016[#All],2,FALSE)</f>
        <v>#N/A</v>
      </c>
      <c r="D26" s="117"/>
      <c r="E26" s="125" t="e">
        <f>VLOOKUP(Table257519913140106110151155170178204213[[#This Row],[PEG]],Table1016[#All],3,FALSE)</f>
        <v>#N/A</v>
      </c>
    </row>
    <row r="27" spans="1:5" x14ac:dyDescent="0.35">
      <c r="A27" s="118">
        <v>20</v>
      </c>
      <c r="B27" s="114" t="s">
        <v>115</v>
      </c>
      <c r="C27" s="109" t="e">
        <f>VLOOKUP(Table257519913140106110151155170178204213[[#This Row],[PEG]],Table1016[#All],2,FALSE)</f>
        <v>#N/A</v>
      </c>
      <c r="D27" s="117"/>
      <c r="E27" s="125" t="e">
        <f>VLOOKUP(Table257519913140106110151155170178204213[[#This Row],[PEG]],Table1016[#All],3,FALSE)</f>
        <v>#N/A</v>
      </c>
    </row>
    <row r="28" spans="1:5" x14ac:dyDescent="0.35">
      <c r="A28" s="118">
        <v>21</v>
      </c>
      <c r="B28" s="114" t="s">
        <v>114</v>
      </c>
      <c r="C28" s="109" t="e">
        <f>VLOOKUP(Table257519913140106110151155170178204213[[#This Row],[PEG]],Table1016[#All],2,FALSE)</f>
        <v>#N/A</v>
      </c>
      <c r="D28" s="117"/>
      <c r="E28" s="125" t="e">
        <f>VLOOKUP(Table257519913140106110151155170178204213[[#This Row],[PEG]],Table1016[#All],3,FALSE)</f>
        <v>#N/A</v>
      </c>
    </row>
    <row r="29" spans="1:5" x14ac:dyDescent="0.35">
      <c r="A29" s="118">
        <v>22</v>
      </c>
      <c r="B29" s="114" t="s">
        <v>12</v>
      </c>
      <c r="C29" s="109" t="e">
        <f>VLOOKUP(Table257519913140106110151155170178204213[[#This Row],[PEG]],Table1016[#All],2,FALSE)</f>
        <v>#N/A</v>
      </c>
      <c r="D29" s="117"/>
      <c r="E29" s="125" t="e">
        <f>VLOOKUP(Table257519913140106110151155170178204213[[#This Row],[PEG]],Table1016[#All],3,FALSE)</f>
        <v>#N/A</v>
      </c>
    </row>
    <row r="30" spans="1:5" x14ac:dyDescent="0.35">
      <c r="A30" s="118">
        <v>23</v>
      </c>
      <c r="B30" s="114" t="s">
        <v>12</v>
      </c>
      <c r="C30" s="109" t="e">
        <f>VLOOKUP(Table257519913140106110151155170178204213[[#This Row],[PEG]],Table1016[#All],2,FALSE)</f>
        <v>#N/A</v>
      </c>
      <c r="D30" s="117"/>
      <c r="E30" s="125" t="e">
        <f>VLOOKUP(Table257519913140106110151155170178204213[[#This Row],[PEG]],Table1016[#All],3,FALSE)</f>
        <v>#N/A</v>
      </c>
    </row>
    <row r="31" spans="1:5" x14ac:dyDescent="0.35">
      <c r="A31" s="118">
        <v>24</v>
      </c>
      <c r="B31" s="114" t="s">
        <v>115</v>
      </c>
      <c r="C31" s="109" t="e">
        <f>VLOOKUP(Table257519913140106110151155170178204213[[#This Row],[PEG]],Table1016[#All],2,FALSE)</f>
        <v>#N/A</v>
      </c>
      <c r="D31" s="117"/>
      <c r="E31" s="125" t="e">
        <f>VLOOKUP(Table257519913140106110151155170178204213[[#This Row],[PEG]],Table1016[#All],3,FALSE)</f>
        <v>#N/A</v>
      </c>
    </row>
    <row r="32" spans="1:5" x14ac:dyDescent="0.35">
      <c r="A32" s="118">
        <v>25</v>
      </c>
      <c r="B32" s="114" t="s">
        <v>115</v>
      </c>
      <c r="C32" s="109" t="e">
        <f>VLOOKUP(Table257519913140106110151155170178204213[[#This Row],[PEG]],Table1016[#All],2,FALSE)</f>
        <v>#N/A</v>
      </c>
      <c r="D32" s="117"/>
      <c r="E32" s="125" t="e">
        <f>VLOOKUP(Table257519913140106110151155170178204213[[#This Row],[PEG]],Table1016[#All],3,FALSE)</f>
        <v>#N/A</v>
      </c>
    </row>
    <row r="33" spans="1:5" x14ac:dyDescent="0.35">
      <c r="A33" s="118">
        <v>26</v>
      </c>
      <c r="B33" s="114" t="s">
        <v>124</v>
      </c>
      <c r="C33" s="109" t="e">
        <f>VLOOKUP(Table257519913140106110151155170178204213[[#This Row],[PEG]],Table1016[#All],2,FALSE)</f>
        <v>#N/A</v>
      </c>
      <c r="D33" s="117"/>
      <c r="E33" s="125" t="e">
        <f>VLOOKUP(Table257519913140106110151155170178204213[[#This Row],[PEG]],Table1016[#All],3,FALSE)</f>
        <v>#N/A</v>
      </c>
    </row>
    <row r="34" spans="1:5" x14ac:dyDescent="0.35">
      <c r="A34" s="118">
        <v>27</v>
      </c>
      <c r="B34" s="114" t="s">
        <v>115</v>
      </c>
      <c r="C34" s="109" t="e">
        <f>VLOOKUP(Table257519913140106110151155170178204213[[#This Row],[PEG]],Table1016[#All],2,FALSE)</f>
        <v>#N/A</v>
      </c>
      <c r="D34" s="117"/>
      <c r="E34" s="125" t="e">
        <f>VLOOKUP(Table257519913140106110151155170178204213[[#This Row],[PEG]],Table1016[#All],3,FALSE)</f>
        <v>#N/A</v>
      </c>
    </row>
    <row r="35" spans="1:5" x14ac:dyDescent="0.35">
      <c r="A35" s="118">
        <v>28</v>
      </c>
      <c r="B35" s="114" t="s">
        <v>124</v>
      </c>
      <c r="C35" s="109" t="e">
        <f>VLOOKUP(Table257519913140106110151155170178204213[[#This Row],[PEG]],Table1016[#All],2,FALSE)</f>
        <v>#N/A</v>
      </c>
      <c r="D35" s="117"/>
      <c r="E35" s="125" t="e">
        <f>VLOOKUP(Table257519913140106110151155170178204213[[#This Row],[PEG]],Table1016[#All],3,FALSE)</f>
        <v>#N/A</v>
      </c>
    </row>
    <row r="36" spans="1:5" x14ac:dyDescent="0.35">
      <c r="A36" s="118">
        <v>29</v>
      </c>
      <c r="B36" s="114" t="s">
        <v>115</v>
      </c>
      <c r="C36" s="109" t="e">
        <f>VLOOKUP(Table257519913140106110151155170178204213[[#This Row],[PEG]],Table1016[#All],2,FALSE)</f>
        <v>#N/A</v>
      </c>
      <c r="D36" s="117"/>
      <c r="E36" s="125" t="e">
        <f>VLOOKUP(Table257519913140106110151155170178204213[[#This Row],[PEG]],Table1016[#All],3,FALSE)</f>
        <v>#N/A</v>
      </c>
    </row>
    <row r="37" spans="1:5" x14ac:dyDescent="0.35">
      <c r="A37" s="118">
        <v>30</v>
      </c>
      <c r="B37" s="114" t="s">
        <v>12</v>
      </c>
      <c r="C37" s="109" t="e">
        <f>VLOOKUP(Table257519913140106110151155170178204213[[#This Row],[PEG]],Table1016[#All],2,FALSE)</f>
        <v>#N/A</v>
      </c>
      <c r="D37" s="117"/>
      <c r="E37" s="125" t="e">
        <f>VLOOKUP(Table257519913140106110151155170178204213[[#This Row],[PEG]],Table1016[#All],3,FALSE)</f>
        <v>#N/A</v>
      </c>
    </row>
    <row r="38" spans="1:5" x14ac:dyDescent="0.35">
      <c r="A38" s="118">
        <v>31</v>
      </c>
      <c r="B38" s="114" t="s">
        <v>12</v>
      </c>
      <c r="C38" s="109" t="e">
        <f>VLOOKUP(Table257519913140106110151155170178204213[[#This Row],[PEG]],Table1016[#All],2,FALSE)</f>
        <v>#N/A</v>
      </c>
      <c r="D38" s="117"/>
      <c r="E38" s="125" t="e">
        <f>VLOOKUP(Table257519913140106110151155170178204213[[#This Row],[PEG]],Table1016[#All],3,FALSE)</f>
        <v>#N/A</v>
      </c>
    </row>
    <row r="39" spans="1:5" x14ac:dyDescent="0.35">
      <c r="A39" s="118">
        <v>32</v>
      </c>
      <c r="B39" s="114" t="s">
        <v>12</v>
      </c>
      <c r="C39" s="109" t="e">
        <f>VLOOKUP(Table257519913140106110151155170178204213[[#This Row],[PEG]],Table1016[#All],2,FALSE)</f>
        <v>#N/A</v>
      </c>
      <c r="D39" s="117"/>
      <c r="E39" s="125" t="e">
        <f>VLOOKUP(Table257519913140106110151155170178204213[[#This Row],[PEG]],Table1016[#All],3,FALSE)</f>
        <v>#N/A</v>
      </c>
    </row>
    <row r="40" spans="1:5" x14ac:dyDescent="0.35">
      <c r="A40" s="118">
        <v>33</v>
      </c>
      <c r="B40" s="114" t="s">
        <v>12</v>
      </c>
      <c r="C40" s="109" t="e">
        <f>VLOOKUP(Table257519913140106110151155170178204213[[#This Row],[PEG]],Table1016[#All],2,FALSE)</f>
        <v>#N/A</v>
      </c>
      <c r="D40" s="117"/>
      <c r="E40" s="125" t="e">
        <f>VLOOKUP(Table257519913140106110151155170178204213[[#This Row],[PEG]],Table1016[#All],3,FALSE)</f>
        <v>#N/A</v>
      </c>
    </row>
    <row r="41" spans="1:5" x14ac:dyDescent="0.35">
      <c r="A41" s="118">
        <v>34</v>
      </c>
      <c r="B41" s="114" t="s">
        <v>115</v>
      </c>
      <c r="C41" s="109" t="e">
        <f>VLOOKUP(Table257519913140106110151155170178204213[[#This Row],[PEG]],Table1016[#All],2,FALSE)</f>
        <v>#N/A</v>
      </c>
      <c r="D41" s="117"/>
      <c r="E41" s="125" t="e">
        <f>VLOOKUP(Table257519913140106110151155170178204213[[#This Row],[PEG]],Table1016[#All],3,FALSE)</f>
        <v>#N/A</v>
      </c>
    </row>
    <row r="42" spans="1:5" x14ac:dyDescent="0.35">
      <c r="A42" s="118">
        <v>35</v>
      </c>
      <c r="B42" s="114" t="s">
        <v>12</v>
      </c>
      <c r="C42" s="109" t="e">
        <f>VLOOKUP(Table257519913140106110151155170178204213[[#This Row],[PEG]],Table1016[#All],2,FALSE)</f>
        <v>#N/A</v>
      </c>
      <c r="D42" s="115"/>
      <c r="E42" s="125" t="e">
        <f>VLOOKUP(Table257519913140106110151155170178204213[[#This Row],[PEG]],Table1016[#All],3,FALSE)</f>
        <v>#N/A</v>
      </c>
    </row>
    <row r="43" spans="1:5" x14ac:dyDescent="0.35">
      <c r="A43" s="118">
        <v>36</v>
      </c>
      <c r="B43" s="114" t="s">
        <v>115</v>
      </c>
      <c r="C43" s="109" t="e">
        <f>VLOOKUP(Table257519913140106110151155170178204213[[#This Row],[PEG]],Table1016[#All],2,FALSE)</f>
        <v>#N/A</v>
      </c>
      <c r="D43" s="115"/>
      <c r="E43" s="125" t="e">
        <f>VLOOKUP(Table257519913140106110151155170178204213[[#This Row],[PEG]],Table1016[#All],3,FALSE)</f>
        <v>#N/A</v>
      </c>
    </row>
    <row r="44" spans="1:5" x14ac:dyDescent="0.35">
      <c r="A44" s="118">
        <v>37</v>
      </c>
      <c r="B44" s="114" t="s">
        <v>13</v>
      </c>
      <c r="C44" s="18" t="s">
        <v>13</v>
      </c>
      <c r="D44" s="115"/>
      <c r="E44" s="32"/>
    </row>
  </sheetData>
  <mergeCells count="1">
    <mergeCell ref="A1:B1"/>
  </mergeCells>
  <conditionalFormatting sqref="B8:B18">
    <cfRule type="containsText" dxfId="803" priority="1" operator="containsText" text="Hear">
      <formula>NOT(ISERROR(SEARCH("Hear",B8)))</formula>
    </cfRule>
  </conditionalFormatting>
  <conditionalFormatting sqref="B30">
    <cfRule type="containsText" dxfId="802" priority="4" operator="containsText" text="Hear">
      <formula>NOT(ISERROR(SEARCH("Hear",B30)))</formula>
    </cfRule>
  </conditionalFormatting>
  <conditionalFormatting sqref="B43:B44">
    <cfRule type="containsText" dxfId="801" priority="8" operator="containsText" text="Hear">
      <formula>NOT(ISERROR(SEARCH("Hear",B43)))</formula>
    </cfRule>
  </conditionalFormatting>
  <conditionalFormatting sqref="E44">
    <cfRule type="containsText" dxfId="800" priority="6" operator="containsText" text="WEB SERVICE">
      <formula>NOT(ISERROR(SEARCH("WEB SERVICE",E44)))</formula>
    </cfRule>
    <cfRule type="containsText" dxfId="799" priority="7" operator="containsText" text="DB">
      <formula>NOT(ISERROR(SEARCH("DB",E44)))</formula>
    </cfRule>
  </conditionalFormatting>
  <conditionalFormatting sqref="C44">
    <cfRule type="expression" dxfId="798" priority="9">
      <formula>$B44="Dial"</formula>
    </cfRule>
  </conditionalFormatting>
  <conditionalFormatting sqref="C44">
    <cfRule type="expression" dxfId="797" priority="3">
      <formula>$B44="Speak"</formula>
    </cfRule>
  </conditionalFormatting>
  <conditionalFormatting sqref="B19:B29 B31:B35 B42">
    <cfRule type="containsText" dxfId="796" priority="5" operator="containsText" text="Hear">
      <formula>NOT(ISERROR(SEARCH("Hear",B19)))</formula>
    </cfRule>
  </conditionalFormatting>
  <hyperlinks>
    <hyperlink ref="A1" location="'Test Case Overview'!A1" display="Return to Test Case Overview" xr:uid="{2ADB1821-8B2D-4F03-BDE4-A4A420465856}"/>
  </hyperlinks>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expression" priority="2" id="{89C0BA24-516E-403B-B8B6-56F8F6E72B80}">
            <xm:f>'TC1'!$B8="HANGUP"</xm:f>
            <x14:dxf>
              <font>
                <b/>
                <i val="0"/>
              </font>
            </x14:dxf>
          </x14:cfRule>
          <xm:sqref>C8</xm:sqref>
        </x14:conditionalFormatting>
        <x14:conditionalFormatting xmlns:xm="http://schemas.microsoft.com/office/excel/2006/main">
          <x14:cfRule type="expression" priority="3254" id="{89C0BA24-516E-403B-B8B6-56F8F6E72B80}">
            <xm:f>'TC1'!$B16="HANGUP"</xm:f>
            <x14:dxf>
              <font>
                <b/>
                <i val="0"/>
              </font>
            </x14:dxf>
          </x14:cfRule>
          <xm:sqref>C34:C43</xm:sqref>
        </x14:conditionalFormatting>
        <x14:conditionalFormatting xmlns:xm="http://schemas.microsoft.com/office/excel/2006/main">
          <x14:cfRule type="expression" priority="3255" id="{89C0BA24-516E-403B-B8B6-56F8F6E72B80}">
            <xm:f>'TC1'!#REF!="HANGUP"</xm:f>
            <x14:dxf>
              <font>
                <b/>
                <i val="0"/>
              </font>
            </x14:dxf>
          </x14:cfRule>
          <xm:sqref>C17:C33</xm:sqref>
        </x14:conditionalFormatting>
        <x14:conditionalFormatting xmlns:xm="http://schemas.microsoft.com/office/excel/2006/main">
          <x14:cfRule type="expression" priority="5868" id="{89C0BA24-516E-403B-B8B6-56F8F6E72B80}">
            <xm:f>'TC1'!$B9="HANGUP"</xm:f>
            <x14:dxf>
              <font>
                <b/>
                <i val="0"/>
              </font>
            </x14:dxf>
          </x14:cfRule>
          <xm:sqref>C12:C15</xm:sqref>
        </x14:conditionalFormatting>
        <x14:conditionalFormatting xmlns:xm="http://schemas.microsoft.com/office/excel/2006/main">
          <x14:cfRule type="expression" priority="5869" id="{89C0BA24-516E-403B-B8B6-56F8F6E72B80}">
            <xm:f>'TC1'!#REF!="HANGUP"</xm:f>
            <x14:dxf>
              <font>
                <b/>
                <i val="0"/>
              </font>
            </x14:dxf>
          </x14:cfRule>
          <xm:sqref>C9:C11</xm:sqref>
        </x14:conditionalFormatting>
        <x14:conditionalFormatting xmlns:xm="http://schemas.microsoft.com/office/excel/2006/main">
          <x14:cfRule type="expression" priority="8064" id="{89C0BA24-516E-403B-B8B6-56F8F6E72B80}">
            <xm:f>'TC1'!$B15="HANGUP"</xm:f>
            <x14:dxf>
              <font>
                <b/>
                <i val="0"/>
              </font>
            </x14:dxf>
          </x14:cfRule>
          <xm:sqref>C16</xm:sqref>
        </x14:conditionalFormatting>
      </x14:conditionalFormattings>
    </ext>
  </extLst>
</worksheet>
</file>

<file path=xl/worksheets/sheet1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900-000000000000}">
  <sheetPr codeName="Sheet155"/>
  <dimension ref="A1:E44"/>
  <sheetViews>
    <sheetView zoomScaleNormal="100" workbookViewId="0">
      <selection sqref="A1:E44"/>
    </sheetView>
  </sheetViews>
  <sheetFormatPr defaultRowHeight="14.5" x14ac:dyDescent="0.35"/>
  <cols>
    <col min="1" max="1" width="14.453125" bestFit="1" customWidth="1"/>
    <col min="2" max="2" width="42.6328125" customWidth="1"/>
    <col min="3" max="3" width="106.1796875" customWidth="1"/>
    <col min="4" max="4" width="21.81640625" bestFit="1" customWidth="1"/>
    <col min="5" max="5" width="20.6328125" customWidth="1"/>
  </cols>
  <sheetData>
    <row r="1" spans="1:5" ht="18.5" x14ac:dyDescent="0.35">
      <c r="A1" s="192" t="s">
        <v>4</v>
      </c>
      <c r="B1" s="192"/>
      <c r="C1" s="105"/>
      <c r="D1" s="111"/>
      <c r="E1" s="97"/>
    </row>
    <row r="2" spans="1:5" x14ac:dyDescent="0.35">
      <c r="A2" s="106" t="s">
        <v>5</v>
      </c>
      <c r="B2" s="107" t="str">
        <f ca="1">MID(CELL("filename",A1),FIND("]",CELL("filename",A1))+1,LEN(CELL("filename",A1))-FIND("]",CELL("filename",A1)))</f>
        <v>TC153</v>
      </c>
      <c r="C2" s="98"/>
      <c r="D2" s="111"/>
      <c r="E2" s="97"/>
    </row>
    <row r="3" spans="1:5" x14ac:dyDescent="0.35">
      <c r="A3" s="104" t="s">
        <v>19</v>
      </c>
      <c r="B3" s="112" t="e">
        <f ca="1">VLOOKUP(B2,Table53[#All],2,FALSE)</f>
        <v>#N/A</v>
      </c>
      <c r="C3" s="98"/>
      <c r="D3" s="111"/>
      <c r="E3" s="97"/>
    </row>
    <row r="4" spans="1:5" ht="29" x14ac:dyDescent="0.35">
      <c r="A4" s="113" t="s">
        <v>20</v>
      </c>
      <c r="B4" s="99" t="e">
        <f ca="1">VLOOKUP(B2,Table53[#All],4,FALSE)</f>
        <v>#N/A</v>
      </c>
      <c r="C4" s="98"/>
      <c r="D4" s="111"/>
      <c r="E4" s="97"/>
    </row>
    <row r="5" spans="1:5" x14ac:dyDescent="0.35">
      <c r="A5" s="104" t="s">
        <v>6</v>
      </c>
      <c r="B5" s="77" t="e">
        <f ca="1">VLOOKUP(B2,Table53[#All],3,FALSE)</f>
        <v>#N/A</v>
      </c>
      <c r="C5" s="98"/>
      <c r="D5" s="111"/>
      <c r="E5" s="97"/>
    </row>
    <row r="6" spans="1:5" x14ac:dyDescent="0.35">
      <c r="A6" s="97"/>
      <c r="B6" s="97"/>
      <c r="C6" s="98"/>
      <c r="D6" s="111"/>
      <c r="E6" s="97"/>
    </row>
    <row r="7" spans="1:5" ht="15.5" x14ac:dyDescent="0.35">
      <c r="A7" s="100" t="s">
        <v>7</v>
      </c>
      <c r="B7" s="101" t="s">
        <v>8</v>
      </c>
      <c r="C7" s="102" t="s">
        <v>9</v>
      </c>
      <c r="D7" s="102" t="s">
        <v>14</v>
      </c>
      <c r="E7" s="103" t="s">
        <v>10</v>
      </c>
    </row>
    <row r="8" spans="1:5" x14ac:dyDescent="0.35">
      <c r="A8" s="118">
        <v>1</v>
      </c>
      <c r="B8" s="114" t="s">
        <v>114</v>
      </c>
      <c r="C8" s="109" t="s">
        <v>125</v>
      </c>
      <c r="D8" s="128"/>
      <c r="E8" s="125" t="s">
        <v>11</v>
      </c>
    </row>
    <row r="9" spans="1:5" x14ac:dyDescent="0.35">
      <c r="A9" s="118">
        <v>2</v>
      </c>
      <c r="B9" s="114" t="s">
        <v>12</v>
      </c>
      <c r="C9" s="109" t="e">
        <f>VLOOKUP(Table257519913140106110151155170178204215[[#This Row],[PEG]],Table1016[#All],2,FALSE)</f>
        <v>#N/A</v>
      </c>
      <c r="D9" s="128"/>
      <c r="E9" s="125" t="e">
        <f>VLOOKUP(Table257519913140106110151155170178204215[[#This Row],[PEG]],Table1016[#All],3,FALSE)</f>
        <v>#N/A</v>
      </c>
    </row>
    <row r="10" spans="1:5" x14ac:dyDescent="0.35">
      <c r="A10" s="118">
        <v>3</v>
      </c>
      <c r="B10" s="114" t="s">
        <v>115</v>
      </c>
      <c r="C10" s="109" t="e">
        <f>VLOOKUP(Table257519913140106110151155170178204215[[#This Row],[PEG]],Table1016[#All],2,FALSE)</f>
        <v>#N/A</v>
      </c>
      <c r="D10" s="128"/>
      <c r="E10" s="125" t="e">
        <f>VLOOKUP(Table257519913140106110151155170178204215[[#This Row],[PEG]],Table1016[#All],3,FALSE)</f>
        <v>#N/A</v>
      </c>
    </row>
    <row r="11" spans="1:5" x14ac:dyDescent="0.35">
      <c r="A11" s="118">
        <v>4</v>
      </c>
      <c r="B11" s="114" t="s">
        <v>115</v>
      </c>
      <c r="C11" s="109" t="e">
        <f>VLOOKUP(Table257519913140106110151155170178204215[[#This Row],[PEG]],Table1016[#All],2,FALSE)</f>
        <v>#N/A</v>
      </c>
      <c r="D11" s="128"/>
      <c r="E11" s="125" t="e">
        <f>VLOOKUP(Table257519913140106110151155170178204215[[#This Row],[PEG]],Table1016[#All],3,FALSE)</f>
        <v>#N/A</v>
      </c>
    </row>
    <row r="12" spans="1:5" x14ac:dyDescent="0.35">
      <c r="A12" s="118">
        <v>5</v>
      </c>
      <c r="B12" s="114" t="s">
        <v>114</v>
      </c>
      <c r="C12" s="109" t="e">
        <f>VLOOKUP(Table257519913140106110151155170178204215[[#This Row],[PEG]],Table1016[#All],2,FALSE)</f>
        <v>#N/A</v>
      </c>
      <c r="D12" s="128"/>
      <c r="E12" s="125" t="e">
        <f>VLOOKUP(Table257519913140106110151155170178204215[[#This Row],[PEG]],Table1016[#All],3,FALSE)</f>
        <v>#N/A</v>
      </c>
    </row>
    <row r="13" spans="1:5" x14ac:dyDescent="0.35">
      <c r="A13" s="118">
        <v>6</v>
      </c>
      <c r="B13" s="114" t="s">
        <v>115</v>
      </c>
      <c r="C13" s="109" t="e">
        <f>VLOOKUP(Table257519913140106110151155170178204215[[#This Row],[PEG]],Table1016[#All],2,FALSE)</f>
        <v>#N/A</v>
      </c>
      <c r="D13" s="128"/>
      <c r="E13" s="125" t="e">
        <f>VLOOKUP(Table257519913140106110151155170178204215[[#This Row],[PEG]],Table1016[#All],3,FALSE)</f>
        <v>#N/A</v>
      </c>
    </row>
    <row r="14" spans="1:5" x14ac:dyDescent="0.35">
      <c r="A14" s="118">
        <v>7</v>
      </c>
      <c r="B14" s="114" t="s">
        <v>114</v>
      </c>
      <c r="C14" s="109" t="e">
        <f>VLOOKUP(Table257519913140106110151155170178204215[[#This Row],[PEG]],Table1016[#All],2,FALSE)</f>
        <v>#N/A</v>
      </c>
      <c r="D14" s="128"/>
      <c r="E14" s="125" t="e">
        <f>VLOOKUP(Table257519913140106110151155170178204215[[#This Row],[PEG]],Table1016[#All],3,FALSE)</f>
        <v>#N/A</v>
      </c>
    </row>
    <row r="15" spans="1:5" x14ac:dyDescent="0.35">
      <c r="A15" s="118">
        <v>8</v>
      </c>
      <c r="B15" s="114" t="s">
        <v>115</v>
      </c>
      <c r="C15" s="109" t="e">
        <f>VLOOKUP(Table257519913140106110151155170178204215[[#This Row],[PEG]],Table1016[#All],2,FALSE)</f>
        <v>#N/A</v>
      </c>
      <c r="D15" s="116"/>
      <c r="E15" s="125" t="e">
        <f>VLOOKUP(Table257519913140106110151155170178204215[[#This Row],[PEG]],Table1016[#All],3,FALSE)</f>
        <v>#N/A</v>
      </c>
    </row>
    <row r="16" spans="1:5" x14ac:dyDescent="0.35">
      <c r="A16" s="118">
        <v>9</v>
      </c>
      <c r="B16" s="114" t="s">
        <v>12</v>
      </c>
      <c r="C16" s="109" t="e">
        <f>VLOOKUP(Table257519913140106110151155170178204215[[#This Row],[PEG]],Table1016[#All],2,FALSE)</f>
        <v>#N/A</v>
      </c>
      <c r="D16" s="116"/>
      <c r="E16" s="125" t="e">
        <f>VLOOKUP(Table257519913140106110151155170178204215[[#This Row],[PEG]],Table1016[#All],3,FALSE)</f>
        <v>#N/A</v>
      </c>
    </row>
    <row r="17" spans="1:5" x14ac:dyDescent="0.35">
      <c r="A17" s="118">
        <v>10</v>
      </c>
      <c r="B17" s="114" t="s">
        <v>12</v>
      </c>
      <c r="C17" s="109" t="e">
        <f>VLOOKUP(Table257519913140106110151155170178204215[[#This Row],[PEG]],Table1016[#All],2,FALSE)</f>
        <v>#N/A</v>
      </c>
      <c r="D17" s="117"/>
      <c r="E17" s="125" t="e">
        <f>VLOOKUP(Table257519913140106110151155170178204215[[#This Row],[PEG]],Table1016[#All],3,FALSE)</f>
        <v>#N/A</v>
      </c>
    </row>
    <row r="18" spans="1:5" x14ac:dyDescent="0.35">
      <c r="A18" s="118">
        <v>11</v>
      </c>
      <c r="B18" s="114" t="s">
        <v>115</v>
      </c>
      <c r="C18" s="109" t="e">
        <f>VLOOKUP(Table257519913140106110151155170178204215[[#This Row],[PEG]],Table1016[#All],2,FALSE)</f>
        <v>#N/A</v>
      </c>
      <c r="D18" s="117"/>
      <c r="E18" s="125" t="e">
        <f>VLOOKUP(Table257519913140106110151155170178204215[[#This Row],[PEG]],Table1016[#All],3,FALSE)</f>
        <v>#N/A</v>
      </c>
    </row>
    <row r="19" spans="1:5" x14ac:dyDescent="0.35">
      <c r="A19" s="118">
        <v>12</v>
      </c>
      <c r="B19" s="114" t="s">
        <v>115</v>
      </c>
      <c r="C19" s="109" t="e">
        <f>VLOOKUP(Table257519913140106110151155170178204215[[#This Row],[PEG]],Table1016[#All],2,FALSE)</f>
        <v>#N/A</v>
      </c>
      <c r="D19" s="117"/>
      <c r="E19" s="125" t="e">
        <f>VLOOKUP(Table257519913140106110151155170178204215[[#This Row],[PEG]],Table1016[#All],3,FALSE)</f>
        <v>#N/A</v>
      </c>
    </row>
    <row r="20" spans="1:5" x14ac:dyDescent="0.35">
      <c r="A20" s="118">
        <v>13</v>
      </c>
      <c r="B20" s="114" t="s">
        <v>114</v>
      </c>
      <c r="C20" s="109" t="e">
        <f>VLOOKUP(Table257519913140106110151155170178204215[[#This Row],[PEG]],Table1016[#All],2,FALSE)</f>
        <v>#N/A</v>
      </c>
      <c r="D20" s="117"/>
      <c r="E20" s="125" t="e">
        <f>VLOOKUP(Table257519913140106110151155170178204215[[#This Row],[PEG]],Table1016[#All],3,FALSE)</f>
        <v>#N/A</v>
      </c>
    </row>
    <row r="21" spans="1:5" x14ac:dyDescent="0.35">
      <c r="A21" s="118">
        <v>14</v>
      </c>
      <c r="B21" s="114" t="s">
        <v>12</v>
      </c>
      <c r="C21" s="109" t="e">
        <f>VLOOKUP(Table257519913140106110151155170178204215[[#This Row],[PEG]],Table1016[#All],2,FALSE)</f>
        <v>#N/A</v>
      </c>
      <c r="D21" s="117"/>
      <c r="E21" s="125" t="e">
        <f>VLOOKUP(Table257519913140106110151155170178204215[[#This Row],[PEG]],Table1016[#All],3,FALSE)</f>
        <v>#N/A</v>
      </c>
    </row>
    <row r="22" spans="1:5" x14ac:dyDescent="0.35">
      <c r="A22" s="118">
        <v>15</v>
      </c>
      <c r="B22" s="114" t="s">
        <v>12</v>
      </c>
      <c r="C22" s="109" t="e">
        <f>VLOOKUP(Table257519913140106110151155170178204215[[#This Row],[PEG]],Table1016[#All],2,FALSE)</f>
        <v>#N/A</v>
      </c>
      <c r="D22" s="117"/>
      <c r="E22" s="125" t="e">
        <f>VLOOKUP(Table257519913140106110151155170178204215[[#This Row],[PEG]],Table1016[#All],3,FALSE)</f>
        <v>#N/A</v>
      </c>
    </row>
    <row r="23" spans="1:5" x14ac:dyDescent="0.35">
      <c r="A23" s="118">
        <v>16</v>
      </c>
      <c r="B23" s="114" t="s">
        <v>115</v>
      </c>
      <c r="C23" s="109" t="e">
        <f>VLOOKUP(Table257519913140106110151155170178204215[[#This Row],[PEG]],Table1016[#All],2,FALSE)</f>
        <v>#N/A</v>
      </c>
      <c r="D23" s="117"/>
      <c r="E23" s="125" t="e">
        <f>VLOOKUP(Table257519913140106110151155170178204215[[#This Row],[PEG]],Table1016[#All],3,FALSE)</f>
        <v>#N/A</v>
      </c>
    </row>
    <row r="24" spans="1:5" x14ac:dyDescent="0.35">
      <c r="A24" s="118">
        <v>17</v>
      </c>
      <c r="B24" s="114" t="s">
        <v>114</v>
      </c>
      <c r="C24" s="109" t="e">
        <f>VLOOKUP(Table257519913140106110151155170178204215[[#This Row],[PEG]],Table1016[#All],2,FALSE)</f>
        <v>#N/A</v>
      </c>
      <c r="D24" s="117"/>
      <c r="E24" s="125" t="e">
        <f>VLOOKUP(Table257519913140106110151155170178204215[[#This Row],[PEG]],Table1016[#All],3,FALSE)</f>
        <v>#N/A</v>
      </c>
    </row>
    <row r="25" spans="1:5" x14ac:dyDescent="0.35">
      <c r="A25" s="118">
        <v>18</v>
      </c>
      <c r="B25" s="114" t="s">
        <v>12</v>
      </c>
      <c r="C25" s="109" t="e">
        <f>VLOOKUP(Table257519913140106110151155170178204215[[#This Row],[PEG]],Table1016[#All],2,FALSE)</f>
        <v>#N/A</v>
      </c>
      <c r="D25" s="117"/>
      <c r="E25" s="125" t="e">
        <f>VLOOKUP(Table257519913140106110151155170178204215[[#This Row],[PEG]],Table1016[#All],3,FALSE)</f>
        <v>#N/A</v>
      </c>
    </row>
    <row r="26" spans="1:5" x14ac:dyDescent="0.35">
      <c r="A26" s="118">
        <v>19</v>
      </c>
      <c r="B26" s="114" t="s">
        <v>12</v>
      </c>
      <c r="C26" s="109" t="e">
        <f>VLOOKUP(Table257519913140106110151155170178204215[[#This Row],[PEG]],Table1016[#All],2,FALSE)</f>
        <v>#N/A</v>
      </c>
      <c r="D26" s="117"/>
      <c r="E26" s="125" t="e">
        <f>VLOOKUP(Table257519913140106110151155170178204215[[#This Row],[PEG]],Table1016[#All],3,FALSE)</f>
        <v>#N/A</v>
      </c>
    </row>
    <row r="27" spans="1:5" x14ac:dyDescent="0.35">
      <c r="A27" s="118">
        <v>20</v>
      </c>
      <c r="B27" s="114" t="s">
        <v>115</v>
      </c>
      <c r="C27" s="109" t="e">
        <f>VLOOKUP(Table257519913140106110151155170178204215[[#This Row],[PEG]],Table1016[#All],2,FALSE)</f>
        <v>#N/A</v>
      </c>
      <c r="D27" s="117"/>
      <c r="E27" s="125" t="e">
        <f>VLOOKUP(Table257519913140106110151155170178204215[[#This Row],[PEG]],Table1016[#All],3,FALSE)</f>
        <v>#N/A</v>
      </c>
    </row>
    <row r="28" spans="1:5" x14ac:dyDescent="0.35">
      <c r="A28" s="118">
        <v>21</v>
      </c>
      <c r="B28" s="114" t="s">
        <v>114</v>
      </c>
      <c r="C28" s="109" t="e">
        <f>VLOOKUP(Table257519913140106110151155170178204215[[#This Row],[PEG]],Table1016[#All],2,FALSE)</f>
        <v>#N/A</v>
      </c>
      <c r="D28" s="117"/>
      <c r="E28" s="125" t="e">
        <f>VLOOKUP(Table257519913140106110151155170178204215[[#This Row],[PEG]],Table1016[#All],3,FALSE)</f>
        <v>#N/A</v>
      </c>
    </row>
    <row r="29" spans="1:5" x14ac:dyDescent="0.35">
      <c r="A29" s="118">
        <v>22</v>
      </c>
      <c r="B29" s="114" t="s">
        <v>12</v>
      </c>
      <c r="C29" s="109" t="e">
        <f>VLOOKUP(Table257519913140106110151155170178204215[[#This Row],[PEG]],Table1016[#All],2,FALSE)</f>
        <v>#N/A</v>
      </c>
      <c r="D29" s="117"/>
      <c r="E29" s="125" t="e">
        <f>VLOOKUP(Table257519913140106110151155170178204215[[#This Row],[PEG]],Table1016[#All],3,FALSE)</f>
        <v>#N/A</v>
      </c>
    </row>
    <row r="30" spans="1:5" x14ac:dyDescent="0.35">
      <c r="A30" s="118">
        <v>23</v>
      </c>
      <c r="B30" s="114" t="s">
        <v>12</v>
      </c>
      <c r="C30" s="109" t="e">
        <f>VLOOKUP(Table257519913140106110151155170178204215[[#This Row],[PEG]],Table1016[#All],2,FALSE)</f>
        <v>#N/A</v>
      </c>
      <c r="D30" s="117"/>
      <c r="E30" s="125" t="e">
        <f>VLOOKUP(Table257519913140106110151155170178204215[[#This Row],[PEG]],Table1016[#All],3,FALSE)</f>
        <v>#N/A</v>
      </c>
    </row>
    <row r="31" spans="1:5" x14ac:dyDescent="0.35">
      <c r="A31" s="118">
        <v>24</v>
      </c>
      <c r="B31" s="114" t="s">
        <v>115</v>
      </c>
      <c r="C31" s="109" t="e">
        <f>VLOOKUP(Table257519913140106110151155170178204215[[#This Row],[PEG]],Table1016[#All],2,FALSE)</f>
        <v>#N/A</v>
      </c>
      <c r="D31" s="117"/>
      <c r="E31" s="125" t="e">
        <f>VLOOKUP(Table257519913140106110151155170178204215[[#This Row],[PEG]],Table1016[#All],3,FALSE)</f>
        <v>#N/A</v>
      </c>
    </row>
    <row r="32" spans="1:5" x14ac:dyDescent="0.35">
      <c r="A32" s="118">
        <v>25</v>
      </c>
      <c r="B32" s="114" t="s">
        <v>115</v>
      </c>
      <c r="C32" s="109" t="e">
        <f>VLOOKUP(Table257519913140106110151155170178204215[[#This Row],[PEG]],Table1016[#All],2,FALSE)</f>
        <v>#N/A</v>
      </c>
      <c r="D32" s="117"/>
      <c r="E32" s="125" t="e">
        <f>VLOOKUP(Table257519913140106110151155170178204215[[#This Row],[PEG]],Table1016[#All],3,FALSE)</f>
        <v>#N/A</v>
      </c>
    </row>
    <row r="33" spans="1:5" x14ac:dyDescent="0.35">
      <c r="A33" s="118">
        <v>26</v>
      </c>
      <c r="B33" s="114" t="s">
        <v>124</v>
      </c>
      <c r="C33" s="109" t="e">
        <f>VLOOKUP(Table257519913140106110151155170178204215[[#This Row],[PEG]],Table1016[#All],2,FALSE)</f>
        <v>#N/A</v>
      </c>
      <c r="D33" s="117"/>
      <c r="E33" s="125" t="e">
        <f>VLOOKUP(Table257519913140106110151155170178204215[[#This Row],[PEG]],Table1016[#All],3,FALSE)</f>
        <v>#N/A</v>
      </c>
    </row>
    <row r="34" spans="1:5" x14ac:dyDescent="0.35">
      <c r="A34" s="118">
        <v>27</v>
      </c>
      <c r="B34" s="114" t="s">
        <v>115</v>
      </c>
      <c r="C34" s="109" t="e">
        <f>VLOOKUP(Table257519913140106110151155170178204215[[#This Row],[PEG]],Table1016[#All],2,FALSE)</f>
        <v>#N/A</v>
      </c>
      <c r="D34" s="117"/>
      <c r="E34" s="125" t="e">
        <f>VLOOKUP(Table257519913140106110151155170178204215[[#This Row],[PEG]],Table1016[#All],3,FALSE)</f>
        <v>#N/A</v>
      </c>
    </row>
    <row r="35" spans="1:5" x14ac:dyDescent="0.35">
      <c r="A35" s="118">
        <v>28</v>
      </c>
      <c r="B35" s="114" t="s">
        <v>124</v>
      </c>
      <c r="C35" s="109" t="e">
        <f>VLOOKUP(Table257519913140106110151155170178204215[[#This Row],[PEG]],Table1016[#All],2,FALSE)</f>
        <v>#N/A</v>
      </c>
      <c r="D35" s="117"/>
      <c r="E35" s="125" t="e">
        <f>VLOOKUP(Table257519913140106110151155170178204215[[#This Row],[PEG]],Table1016[#All],3,FALSE)</f>
        <v>#N/A</v>
      </c>
    </row>
    <row r="36" spans="1:5" x14ac:dyDescent="0.35">
      <c r="A36" s="118">
        <v>29</v>
      </c>
      <c r="B36" s="114" t="s">
        <v>115</v>
      </c>
      <c r="C36" s="109" t="e">
        <f>VLOOKUP(Table257519913140106110151155170178204215[[#This Row],[PEG]],Table1016[#All],2,FALSE)</f>
        <v>#N/A</v>
      </c>
      <c r="D36" s="117"/>
      <c r="E36" s="125" t="e">
        <f>VLOOKUP(Table257519913140106110151155170178204215[[#This Row],[PEG]],Table1016[#All],3,FALSE)</f>
        <v>#N/A</v>
      </c>
    </row>
    <row r="37" spans="1:5" x14ac:dyDescent="0.35">
      <c r="A37" s="118">
        <v>30</v>
      </c>
      <c r="B37" s="114" t="s">
        <v>12</v>
      </c>
      <c r="C37" s="109" t="e">
        <f>VLOOKUP(Table257519913140106110151155170178204215[[#This Row],[PEG]],Table1016[#All],2,FALSE)</f>
        <v>#N/A</v>
      </c>
      <c r="D37" s="117"/>
      <c r="E37" s="125" t="e">
        <f>VLOOKUP(Table257519913140106110151155170178204215[[#This Row],[PEG]],Table1016[#All],3,FALSE)</f>
        <v>#N/A</v>
      </c>
    </row>
    <row r="38" spans="1:5" x14ac:dyDescent="0.35">
      <c r="A38" s="118">
        <v>31</v>
      </c>
      <c r="B38" s="114" t="s">
        <v>12</v>
      </c>
      <c r="C38" s="109" t="e">
        <f>VLOOKUP(Table257519913140106110151155170178204215[[#This Row],[PEG]],Table1016[#All],2,FALSE)</f>
        <v>#N/A</v>
      </c>
      <c r="D38" s="117"/>
      <c r="E38" s="125" t="e">
        <f>VLOOKUP(Table257519913140106110151155170178204215[[#This Row],[PEG]],Table1016[#All],3,FALSE)</f>
        <v>#N/A</v>
      </c>
    </row>
    <row r="39" spans="1:5" x14ac:dyDescent="0.35">
      <c r="A39" s="118">
        <v>32</v>
      </c>
      <c r="B39" s="114" t="s">
        <v>12</v>
      </c>
      <c r="C39" s="109" t="e">
        <f>VLOOKUP(Table257519913140106110151155170178204215[[#This Row],[PEG]],Table1016[#All],2,FALSE)</f>
        <v>#N/A</v>
      </c>
      <c r="D39" s="117"/>
      <c r="E39" s="125" t="e">
        <f>VLOOKUP(Table257519913140106110151155170178204215[[#This Row],[PEG]],Table1016[#All],3,FALSE)</f>
        <v>#N/A</v>
      </c>
    </row>
    <row r="40" spans="1:5" x14ac:dyDescent="0.35">
      <c r="A40" s="118">
        <v>33</v>
      </c>
      <c r="B40" s="114" t="s">
        <v>12</v>
      </c>
      <c r="C40" s="109" t="e">
        <f>VLOOKUP(Table257519913140106110151155170178204215[[#This Row],[PEG]],Table1016[#All],2,FALSE)</f>
        <v>#N/A</v>
      </c>
      <c r="D40" s="117"/>
      <c r="E40" s="125" t="e">
        <f>VLOOKUP(Table257519913140106110151155170178204215[[#This Row],[PEG]],Table1016[#All],3,FALSE)</f>
        <v>#N/A</v>
      </c>
    </row>
    <row r="41" spans="1:5" x14ac:dyDescent="0.35">
      <c r="A41" s="118">
        <v>34</v>
      </c>
      <c r="B41" s="114" t="s">
        <v>115</v>
      </c>
      <c r="C41" s="109" t="e">
        <f>VLOOKUP(Table257519913140106110151155170178204215[[#This Row],[PEG]],Table1016[#All],2,FALSE)</f>
        <v>#N/A</v>
      </c>
      <c r="D41" s="117"/>
      <c r="E41" s="125" t="e">
        <f>VLOOKUP(Table257519913140106110151155170178204215[[#This Row],[PEG]],Table1016[#All],3,FALSE)</f>
        <v>#N/A</v>
      </c>
    </row>
    <row r="42" spans="1:5" x14ac:dyDescent="0.35">
      <c r="A42" s="118">
        <v>35</v>
      </c>
      <c r="B42" s="114" t="s">
        <v>12</v>
      </c>
      <c r="C42" s="109" t="e">
        <f>VLOOKUP(Table257519913140106110151155170178204215[[#This Row],[PEG]],Table1016[#All],2,FALSE)</f>
        <v>#N/A</v>
      </c>
      <c r="D42" s="115"/>
      <c r="E42" s="125" t="e">
        <f>VLOOKUP(Table257519913140106110151155170178204215[[#This Row],[PEG]],Table1016[#All],3,FALSE)</f>
        <v>#N/A</v>
      </c>
    </row>
    <row r="43" spans="1:5" x14ac:dyDescent="0.35">
      <c r="A43" s="118">
        <v>36</v>
      </c>
      <c r="B43" s="114" t="s">
        <v>115</v>
      </c>
      <c r="C43" s="109" t="e">
        <f>VLOOKUP(Table257519913140106110151155170178204215[[#This Row],[PEG]],Table1016[#All],2,FALSE)</f>
        <v>#N/A</v>
      </c>
      <c r="D43" s="115"/>
      <c r="E43" s="125" t="e">
        <f>VLOOKUP(Table257519913140106110151155170178204215[[#This Row],[PEG]],Table1016[#All],3,FALSE)</f>
        <v>#N/A</v>
      </c>
    </row>
    <row r="44" spans="1:5" x14ac:dyDescent="0.35">
      <c r="A44" s="118">
        <v>37</v>
      </c>
      <c r="B44" s="114" t="s">
        <v>13</v>
      </c>
      <c r="C44" s="18" t="s">
        <v>13</v>
      </c>
      <c r="D44" s="115"/>
      <c r="E44" s="32"/>
    </row>
  </sheetData>
  <mergeCells count="1">
    <mergeCell ref="A1:B1"/>
  </mergeCells>
  <conditionalFormatting sqref="B8:B18">
    <cfRule type="containsText" dxfId="789" priority="1" operator="containsText" text="Hear">
      <formula>NOT(ISERROR(SEARCH("Hear",B8)))</formula>
    </cfRule>
  </conditionalFormatting>
  <conditionalFormatting sqref="B30">
    <cfRule type="containsText" dxfId="788" priority="4" operator="containsText" text="Hear">
      <formula>NOT(ISERROR(SEARCH("Hear",B30)))</formula>
    </cfRule>
  </conditionalFormatting>
  <conditionalFormatting sqref="B43:B44">
    <cfRule type="containsText" dxfId="787" priority="8" operator="containsText" text="Hear">
      <formula>NOT(ISERROR(SEARCH("Hear",B43)))</formula>
    </cfRule>
  </conditionalFormatting>
  <conditionalFormatting sqref="E44">
    <cfRule type="containsText" dxfId="786" priority="6" operator="containsText" text="WEB SERVICE">
      <formula>NOT(ISERROR(SEARCH("WEB SERVICE",E44)))</formula>
    </cfRule>
    <cfRule type="containsText" dxfId="785" priority="7" operator="containsText" text="DB">
      <formula>NOT(ISERROR(SEARCH("DB",E44)))</formula>
    </cfRule>
  </conditionalFormatting>
  <conditionalFormatting sqref="C44">
    <cfRule type="expression" dxfId="784" priority="9">
      <formula>$B44="Dial"</formula>
    </cfRule>
  </conditionalFormatting>
  <conditionalFormatting sqref="C44">
    <cfRule type="expression" dxfId="783" priority="3">
      <formula>$B44="Speak"</formula>
    </cfRule>
  </conditionalFormatting>
  <conditionalFormatting sqref="B19:B29 B31:B35 B42">
    <cfRule type="containsText" dxfId="782" priority="5" operator="containsText" text="Hear">
      <formula>NOT(ISERROR(SEARCH("Hear",B19)))</formula>
    </cfRule>
  </conditionalFormatting>
  <hyperlinks>
    <hyperlink ref="A1" location="'Test Case Overview'!A1" display="Return to Test Case Overview" xr:uid="{A2751C70-2E27-4CAD-B062-357AA2FF42CD}"/>
  </hyperlinks>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expression" priority="2" id="{8B4D7F4C-515F-4F86-92CB-B0EC1C4BFF07}">
            <xm:f>'TC1'!$B8="HANGUP"</xm:f>
            <x14:dxf>
              <font>
                <b/>
                <i val="0"/>
              </font>
            </x14:dxf>
          </x14:cfRule>
          <xm:sqref>C8</xm:sqref>
        </x14:conditionalFormatting>
        <x14:conditionalFormatting xmlns:xm="http://schemas.microsoft.com/office/excel/2006/main">
          <x14:cfRule type="expression" priority="3258" id="{8B4D7F4C-515F-4F86-92CB-B0EC1C4BFF07}">
            <xm:f>'TC1'!$B16="HANGUP"</xm:f>
            <x14:dxf>
              <font>
                <b/>
                <i val="0"/>
              </font>
            </x14:dxf>
          </x14:cfRule>
          <xm:sqref>C34:C43</xm:sqref>
        </x14:conditionalFormatting>
        <x14:conditionalFormatting xmlns:xm="http://schemas.microsoft.com/office/excel/2006/main">
          <x14:cfRule type="expression" priority="3259" id="{8B4D7F4C-515F-4F86-92CB-B0EC1C4BFF07}">
            <xm:f>'TC1'!#REF!="HANGUP"</xm:f>
            <x14:dxf>
              <font>
                <b/>
                <i val="0"/>
              </font>
            </x14:dxf>
          </x14:cfRule>
          <xm:sqref>C17:C33</xm:sqref>
        </x14:conditionalFormatting>
        <x14:conditionalFormatting xmlns:xm="http://schemas.microsoft.com/office/excel/2006/main">
          <x14:cfRule type="expression" priority="5872" id="{8B4D7F4C-515F-4F86-92CB-B0EC1C4BFF07}">
            <xm:f>'TC1'!$B9="HANGUP"</xm:f>
            <x14:dxf>
              <font>
                <b/>
                <i val="0"/>
              </font>
            </x14:dxf>
          </x14:cfRule>
          <xm:sqref>C12:C15</xm:sqref>
        </x14:conditionalFormatting>
        <x14:conditionalFormatting xmlns:xm="http://schemas.microsoft.com/office/excel/2006/main">
          <x14:cfRule type="expression" priority="5873" id="{8B4D7F4C-515F-4F86-92CB-B0EC1C4BFF07}">
            <xm:f>'TC1'!#REF!="HANGUP"</xm:f>
            <x14:dxf>
              <font>
                <b/>
                <i val="0"/>
              </font>
            </x14:dxf>
          </x14:cfRule>
          <xm:sqref>C9:C11</xm:sqref>
        </x14:conditionalFormatting>
        <x14:conditionalFormatting xmlns:xm="http://schemas.microsoft.com/office/excel/2006/main">
          <x14:cfRule type="expression" priority="8067" id="{8B4D7F4C-515F-4F86-92CB-B0EC1C4BFF07}">
            <xm:f>'TC1'!$B15="HANGUP"</xm:f>
            <x14:dxf>
              <font>
                <b/>
                <i val="0"/>
              </font>
            </x14:dxf>
          </x14:cfRule>
          <xm:sqref>C16</xm:sqref>
        </x14:conditionalFormatting>
      </x14:conditionalFormattings>
    </ext>
  </extLst>
</worksheet>
</file>

<file path=xl/worksheets/sheet1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A00-000000000000}">
  <sheetPr codeName="Sheet156"/>
  <dimension ref="A1:E44"/>
  <sheetViews>
    <sheetView zoomScaleNormal="100" workbookViewId="0">
      <selection sqref="A1:E44"/>
    </sheetView>
  </sheetViews>
  <sheetFormatPr defaultRowHeight="14.5" x14ac:dyDescent="0.35"/>
  <cols>
    <col min="1" max="1" width="14.453125" bestFit="1" customWidth="1"/>
    <col min="2" max="2" width="42.6328125" customWidth="1"/>
    <col min="3" max="3" width="106.1796875" customWidth="1"/>
    <col min="4" max="4" width="21.81640625" bestFit="1" customWidth="1"/>
    <col min="5" max="5" width="20.6328125" customWidth="1"/>
  </cols>
  <sheetData>
    <row r="1" spans="1:5" ht="18.5" x14ac:dyDescent="0.35">
      <c r="A1" s="192" t="s">
        <v>4</v>
      </c>
      <c r="B1" s="192"/>
      <c r="C1" s="105"/>
      <c r="D1" s="111"/>
      <c r="E1" s="97"/>
    </row>
    <row r="2" spans="1:5" x14ac:dyDescent="0.35">
      <c r="A2" s="106" t="s">
        <v>5</v>
      </c>
      <c r="B2" s="107" t="str">
        <f ca="1">MID(CELL("filename",A1),FIND("]",CELL("filename",A1))+1,LEN(CELL("filename",A1))-FIND("]",CELL("filename",A1)))</f>
        <v>TC154</v>
      </c>
      <c r="C2" s="98"/>
      <c r="D2" s="111"/>
      <c r="E2" s="97"/>
    </row>
    <row r="3" spans="1:5" x14ac:dyDescent="0.35">
      <c r="A3" s="104" t="s">
        <v>19</v>
      </c>
      <c r="B3" s="112" t="e">
        <f ca="1">VLOOKUP(B2,Table53[#All],2,FALSE)</f>
        <v>#N/A</v>
      </c>
      <c r="C3" s="98"/>
      <c r="D3" s="111"/>
      <c r="E3" s="97"/>
    </row>
    <row r="4" spans="1:5" ht="29" x14ac:dyDescent="0.35">
      <c r="A4" s="113" t="s">
        <v>20</v>
      </c>
      <c r="B4" s="99" t="e">
        <f ca="1">VLOOKUP(B2,Table53[#All],4,FALSE)</f>
        <v>#N/A</v>
      </c>
      <c r="C4" s="98"/>
      <c r="D4" s="111"/>
      <c r="E4" s="97"/>
    </row>
    <row r="5" spans="1:5" x14ac:dyDescent="0.35">
      <c r="A5" s="104" t="s">
        <v>6</v>
      </c>
      <c r="B5" s="77" t="e">
        <f ca="1">VLOOKUP(B2,Table53[#All],3,FALSE)</f>
        <v>#N/A</v>
      </c>
      <c r="C5" s="98"/>
      <c r="D5" s="111"/>
      <c r="E5" s="97"/>
    </row>
    <row r="6" spans="1:5" x14ac:dyDescent="0.35">
      <c r="A6" s="97"/>
      <c r="B6" s="97"/>
      <c r="C6" s="98"/>
      <c r="D6" s="111"/>
      <c r="E6" s="97"/>
    </row>
    <row r="7" spans="1:5" ht="15.5" x14ac:dyDescent="0.35">
      <c r="A7" s="100" t="s">
        <v>7</v>
      </c>
      <c r="B7" s="101" t="s">
        <v>8</v>
      </c>
      <c r="C7" s="102" t="s">
        <v>9</v>
      </c>
      <c r="D7" s="102" t="s">
        <v>14</v>
      </c>
      <c r="E7" s="103" t="s">
        <v>10</v>
      </c>
    </row>
    <row r="8" spans="1:5" x14ac:dyDescent="0.35">
      <c r="A8" s="118">
        <v>1</v>
      </c>
      <c r="B8" s="114" t="s">
        <v>114</v>
      </c>
      <c r="C8" s="109" t="s">
        <v>125</v>
      </c>
      <c r="D8" s="128"/>
      <c r="E8" s="125" t="s">
        <v>11</v>
      </c>
    </row>
    <row r="9" spans="1:5" x14ac:dyDescent="0.35">
      <c r="A9" s="118">
        <v>2</v>
      </c>
      <c r="B9" s="114" t="s">
        <v>12</v>
      </c>
      <c r="C9" s="109" t="e">
        <f>VLOOKUP(Table257519913140106110151155170178204217[[#This Row],[PEG]],Table1016[#All],2,FALSE)</f>
        <v>#N/A</v>
      </c>
      <c r="D9" s="128"/>
      <c r="E9" s="125" t="e">
        <f>VLOOKUP(Table257519913140106110151155170178204217[[#This Row],[PEG]],Table1016[#All],3,FALSE)</f>
        <v>#N/A</v>
      </c>
    </row>
    <row r="10" spans="1:5" x14ac:dyDescent="0.35">
      <c r="A10" s="118">
        <v>3</v>
      </c>
      <c r="B10" s="114" t="s">
        <v>115</v>
      </c>
      <c r="C10" s="109" t="e">
        <f>VLOOKUP(Table257519913140106110151155170178204217[[#This Row],[PEG]],Table1016[#All],2,FALSE)</f>
        <v>#N/A</v>
      </c>
      <c r="D10" s="128"/>
      <c r="E10" s="125" t="e">
        <f>VLOOKUP(Table257519913140106110151155170178204217[[#This Row],[PEG]],Table1016[#All],3,FALSE)</f>
        <v>#N/A</v>
      </c>
    </row>
    <row r="11" spans="1:5" x14ac:dyDescent="0.35">
      <c r="A11" s="118">
        <v>4</v>
      </c>
      <c r="B11" s="114" t="s">
        <v>115</v>
      </c>
      <c r="C11" s="109" t="e">
        <f>VLOOKUP(Table257519913140106110151155170178204217[[#This Row],[PEG]],Table1016[#All],2,FALSE)</f>
        <v>#N/A</v>
      </c>
      <c r="D11" s="128"/>
      <c r="E11" s="125" t="e">
        <f>VLOOKUP(Table257519913140106110151155170178204217[[#This Row],[PEG]],Table1016[#All],3,FALSE)</f>
        <v>#N/A</v>
      </c>
    </row>
    <row r="12" spans="1:5" x14ac:dyDescent="0.35">
      <c r="A12" s="118">
        <v>5</v>
      </c>
      <c r="B12" s="114" t="s">
        <v>114</v>
      </c>
      <c r="C12" s="109" t="e">
        <f>VLOOKUP(Table257519913140106110151155170178204217[[#This Row],[PEG]],Table1016[#All],2,FALSE)</f>
        <v>#N/A</v>
      </c>
      <c r="D12" s="128"/>
      <c r="E12" s="125" t="e">
        <f>VLOOKUP(Table257519913140106110151155170178204217[[#This Row],[PEG]],Table1016[#All],3,FALSE)</f>
        <v>#N/A</v>
      </c>
    </row>
    <row r="13" spans="1:5" x14ac:dyDescent="0.35">
      <c r="A13" s="118">
        <v>6</v>
      </c>
      <c r="B13" s="114" t="s">
        <v>115</v>
      </c>
      <c r="C13" s="109" t="e">
        <f>VLOOKUP(Table257519913140106110151155170178204217[[#This Row],[PEG]],Table1016[#All],2,FALSE)</f>
        <v>#N/A</v>
      </c>
      <c r="D13" s="128"/>
      <c r="E13" s="125" t="e">
        <f>VLOOKUP(Table257519913140106110151155170178204217[[#This Row],[PEG]],Table1016[#All],3,FALSE)</f>
        <v>#N/A</v>
      </c>
    </row>
    <row r="14" spans="1:5" x14ac:dyDescent="0.35">
      <c r="A14" s="118">
        <v>7</v>
      </c>
      <c r="B14" s="114" t="s">
        <v>114</v>
      </c>
      <c r="C14" s="109" t="e">
        <f>VLOOKUP(Table257519913140106110151155170178204217[[#This Row],[PEG]],Table1016[#All],2,FALSE)</f>
        <v>#N/A</v>
      </c>
      <c r="D14" s="128"/>
      <c r="E14" s="125" t="e">
        <f>VLOOKUP(Table257519913140106110151155170178204217[[#This Row],[PEG]],Table1016[#All],3,FALSE)</f>
        <v>#N/A</v>
      </c>
    </row>
    <row r="15" spans="1:5" x14ac:dyDescent="0.35">
      <c r="A15" s="118">
        <v>8</v>
      </c>
      <c r="B15" s="114" t="s">
        <v>115</v>
      </c>
      <c r="C15" s="109" t="e">
        <f>VLOOKUP(Table257519913140106110151155170178204217[[#This Row],[PEG]],Table1016[#All],2,FALSE)</f>
        <v>#N/A</v>
      </c>
      <c r="D15" s="116"/>
      <c r="E15" s="125" t="e">
        <f>VLOOKUP(Table257519913140106110151155170178204217[[#This Row],[PEG]],Table1016[#All],3,FALSE)</f>
        <v>#N/A</v>
      </c>
    </row>
    <row r="16" spans="1:5" x14ac:dyDescent="0.35">
      <c r="A16" s="118">
        <v>9</v>
      </c>
      <c r="B16" s="114" t="s">
        <v>12</v>
      </c>
      <c r="C16" s="109" t="e">
        <f>VLOOKUP(Table257519913140106110151155170178204217[[#This Row],[PEG]],Table1016[#All],2,FALSE)</f>
        <v>#N/A</v>
      </c>
      <c r="D16" s="116"/>
      <c r="E16" s="125" t="e">
        <f>VLOOKUP(Table257519913140106110151155170178204217[[#This Row],[PEG]],Table1016[#All],3,FALSE)</f>
        <v>#N/A</v>
      </c>
    </row>
    <row r="17" spans="1:5" x14ac:dyDescent="0.35">
      <c r="A17" s="118">
        <v>10</v>
      </c>
      <c r="B17" s="114" t="s">
        <v>12</v>
      </c>
      <c r="C17" s="109" t="e">
        <f>VLOOKUP(Table257519913140106110151155170178204217[[#This Row],[PEG]],Table1016[#All],2,FALSE)</f>
        <v>#N/A</v>
      </c>
      <c r="D17" s="117"/>
      <c r="E17" s="125" t="e">
        <f>VLOOKUP(Table257519913140106110151155170178204217[[#This Row],[PEG]],Table1016[#All],3,FALSE)</f>
        <v>#N/A</v>
      </c>
    </row>
    <row r="18" spans="1:5" x14ac:dyDescent="0.35">
      <c r="A18" s="118">
        <v>11</v>
      </c>
      <c r="B18" s="114" t="s">
        <v>115</v>
      </c>
      <c r="C18" s="109" t="e">
        <f>VLOOKUP(Table257519913140106110151155170178204217[[#This Row],[PEG]],Table1016[#All],2,FALSE)</f>
        <v>#N/A</v>
      </c>
      <c r="D18" s="117"/>
      <c r="E18" s="125" t="e">
        <f>VLOOKUP(Table257519913140106110151155170178204217[[#This Row],[PEG]],Table1016[#All],3,FALSE)</f>
        <v>#N/A</v>
      </c>
    </row>
    <row r="19" spans="1:5" x14ac:dyDescent="0.35">
      <c r="A19" s="118">
        <v>12</v>
      </c>
      <c r="B19" s="114" t="s">
        <v>115</v>
      </c>
      <c r="C19" s="109" t="e">
        <f>VLOOKUP(Table257519913140106110151155170178204217[[#This Row],[PEG]],Table1016[#All],2,FALSE)</f>
        <v>#N/A</v>
      </c>
      <c r="D19" s="117"/>
      <c r="E19" s="125" t="e">
        <f>VLOOKUP(Table257519913140106110151155170178204217[[#This Row],[PEG]],Table1016[#All],3,FALSE)</f>
        <v>#N/A</v>
      </c>
    </row>
    <row r="20" spans="1:5" x14ac:dyDescent="0.35">
      <c r="A20" s="118">
        <v>13</v>
      </c>
      <c r="B20" s="114" t="s">
        <v>114</v>
      </c>
      <c r="C20" s="109" t="e">
        <f>VLOOKUP(Table257519913140106110151155170178204217[[#This Row],[PEG]],Table1016[#All],2,FALSE)</f>
        <v>#N/A</v>
      </c>
      <c r="D20" s="117"/>
      <c r="E20" s="125" t="e">
        <f>VLOOKUP(Table257519913140106110151155170178204217[[#This Row],[PEG]],Table1016[#All],3,FALSE)</f>
        <v>#N/A</v>
      </c>
    </row>
    <row r="21" spans="1:5" x14ac:dyDescent="0.35">
      <c r="A21" s="118">
        <v>14</v>
      </c>
      <c r="B21" s="114" t="s">
        <v>12</v>
      </c>
      <c r="C21" s="109" t="e">
        <f>VLOOKUP(Table257519913140106110151155170178204217[[#This Row],[PEG]],Table1016[#All],2,FALSE)</f>
        <v>#N/A</v>
      </c>
      <c r="D21" s="117"/>
      <c r="E21" s="125" t="e">
        <f>VLOOKUP(Table257519913140106110151155170178204217[[#This Row],[PEG]],Table1016[#All],3,FALSE)</f>
        <v>#N/A</v>
      </c>
    </row>
    <row r="22" spans="1:5" x14ac:dyDescent="0.35">
      <c r="A22" s="118">
        <v>15</v>
      </c>
      <c r="B22" s="114" t="s">
        <v>12</v>
      </c>
      <c r="C22" s="109" t="e">
        <f>VLOOKUP(Table257519913140106110151155170178204217[[#This Row],[PEG]],Table1016[#All],2,FALSE)</f>
        <v>#N/A</v>
      </c>
      <c r="D22" s="117"/>
      <c r="E22" s="125" t="e">
        <f>VLOOKUP(Table257519913140106110151155170178204217[[#This Row],[PEG]],Table1016[#All],3,FALSE)</f>
        <v>#N/A</v>
      </c>
    </row>
    <row r="23" spans="1:5" x14ac:dyDescent="0.35">
      <c r="A23" s="118">
        <v>16</v>
      </c>
      <c r="B23" s="114" t="s">
        <v>115</v>
      </c>
      <c r="C23" s="109" t="e">
        <f>VLOOKUP(Table257519913140106110151155170178204217[[#This Row],[PEG]],Table1016[#All],2,FALSE)</f>
        <v>#N/A</v>
      </c>
      <c r="D23" s="117"/>
      <c r="E23" s="125" t="e">
        <f>VLOOKUP(Table257519913140106110151155170178204217[[#This Row],[PEG]],Table1016[#All],3,FALSE)</f>
        <v>#N/A</v>
      </c>
    </row>
    <row r="24" spans="1:5" x14ac:dyDescent="0.35">
      <c r="A24" s="118">
        <v>17</v>
      </c>
      <c r="B24" s="114" t="s">
        <v>114</v>
      </c>
      <c r="C24" s="109" t="e">
        <f>VLOOKUP(Table257519913140106110151155170178204217[[#This Row],[PEG]],Table1016[#All],2,FALSE)</f>
        <v>#N/A</v>
      </c>
      <c r="D24" s="117"/>
      <c r="E24" s="125" t="e">
        <f>VLOOKUP(Table257519913140106110151155170178204217[[#This Row],[PEG]],Table1016[#All],3,FALSE)</f>
        <v>#N/A</v>
      </c>
    </row>
    <row r="25" spans="1:5" x14ac:dyDescent="0.35">
      <c r="A25" s="118">
        <v>18</v>
      </c>
      <c r="B25" s="114" t="s">
        <v>12</v>
      </c>
      <c r="C25" s="109" t="e">
        <f>VLOOKUP(Table257519913140106110151155170178204217[[#This Row],[PEG]],Table1016[#All],2,FALSE)</f>
        <v>#N/A</v>
      </c>
      <c r="D25" s="117"/>
      <c r="E25" s="125" t="e">
        <f>VLOOKUP(Table257519913140106110151155170178204217[[#This Row],[PEG]],Table1016[#All],3,FALSE)</f>
        <v>#N/A</v>
      </c>
    </row>
    <row r="26" spans="1:5" x14ac:dyDescent="0.35">
      <c r="A26" s="118">
        <v>19</v>
      </c>
      <c r="B26" s="114" t="s">
        <v>12</v>
      </c>
      <c r="C26" s="109" t="e">
        <f>VLOOKUP(Table257519913140106110151155170178204217[[#This Row],[PEG]],Table1016[#All],2,FALSE)</f>
        <v>#N/A</v>
      </c>
      <c r="D26" s="117"/>
      <c r="E26" s="125" t="e">
        <f>VLOOKUP(Table257519913140106110151155170178204217[[#This Row],[PEG]],Table1016[#All],3,FALSE)</f>
        <v>#N/A</v>
      </c>
    </row>
    <row r="27" spans="1:5" x14ac:dyDescent="0.35">
      <c r="A27" s="118">
        <v>20</v>
      </c>
      <c r="B27" s="114" t="s">
        <v>115</v>
      </c>
      <c r="C27" s="109" t="e">
        <f>VLOOKUP(Table257519913140106110151155170178204217[[#This Row],[PEG]],Table1016[#All],2,FALSE)</f>
        <v>#N/A</v>
      </c>
      <c r="D27" s="117"/>
      <c r="E27" s="125" t="e">
        <f>VLOOKUP(Table257519913140106110151155170178204217[[#This Row],[PEG]],Table1016[#All],3,FALSE)</f>
        <v>#N/A</v>
      </c>
    </row>
    <row r="28" spans="1:5" x14ac:dyDescent="0.35">
      <c r="A28" s="118">
        <v>21</v>
      </c>
      <c r="B28" s="114" t="s">
        <v>114</v>
      </c>
      <c r="C28" s="109" t="e">
        <f>VLOOKUP(Table257519913140106110151155170178204217[[#This Row],[PEG]],Table1016[#All],2,FALSE)</f>
        <v>#N/A</v>
      </c>
      <c r="D28" s="117"/>
      <c r="E28" s="125" t="e">
        <f>VLOOKUP(Table257519913140106110151155170178204217[[#This Row],[PEG]],Table1016[#All],3,FALSE)</f>
        <v>#N/A</v>
      </c>
    </row>
    <row r="29" spans="1:5" x14ac:dyDescent="0.35">
      <c r="A29" s="118">
        <v>22</v>
      </c>
      <c r="B29" s="114" t="s">
        <v>12</v>
      </c>
      <c r="C29" s="109" t="e">
        <f>VLOOKUP(Table257519913140106110151155170178204217[[#This Row],[PEG]],Table1016[#All],2,FALSE)</f>
        <v>#N/A</v>
      </c>
      <c r="D29" s="117"/>
      <c r="E29" s="125" t="e">
        <f>VLOOKUP(Table257519913140106110151155170178204217[[#This Row],[PEG]],Table1016[#All],3,FALSE)</f>
        <v>#N/A</v>
      </c>
    </row>
    <row r="30" spans="1:5" x14ac:dyDescent="0.35">
      <c r="A30" s="118">
        <v>23</v>
      </c>
      <c r="B30" s="114" t="s">
        <v>12</v>
      </c>
      <c r="C30" s="109" t="e">
        <f>VLOOKUP(Table257519913140106110151155170178204217[[#This Row],[PEG]],Table1016[#All],2,FALSE)</f>
        <v>#N/A</v>
      </c>
      <c r="D30" s="117"/>
      <c r="E30" s="125" t="e">
        <f>VLOOKUP(Table257519913140106110151155170178204217[[#This Row],[PEG]],Table1016[#All],3,FALSE)</f>
        <v>#N/A</v>
      </c>
    </row>
    <row r="31" spans="1:5" x14ac:dyDescent="0.35">
      <c r="A31" s="118">
        <v>24</v>
      </c>
      <c r="B31" s="114" t="s">
        <v>115</v>
      </c>
      <c r="C31" s="109" t="e">
        <f>VLOOKUP(Table257519913140106110151155170178204217[[#This Row],[PEG]],Table1016[#All],2,FALSE)</f>
        <v>#N/A</v>
      </c>
      <c r="D31" s="117"/>
      <c r="E31" s="125" t="e">
        <f>VLOOKUP(Table257519913140106110151155170178204217[[#This Row],[PEG]],Table1016[#All],3,FALSE)</f>
        <v>#N/A</v>
      </c>
    </row>
    <row r="32" spans="1:5" x14ac:dyDescent="0.35">
      <c r="A32" s="118">
        <v>25</v>
      </c>
      <c r="B32" s="114" t="s">
        <v>115</v>
      </c>
      <c r="C32" s="109" t="e">
        <f>VLOOKUP(Table257519913140106110151155170178204217[[#This Row],[PEG]],Table1016[#All],2,FALSE)</f>
        <v>#N/A</v>
      </c>
      <c r="D32" s="117"/>
      <c r="E32" s="125" t="e">
        <f>VLOOKUP(Table257519913140106110151155170178204217[[#This Row],[PEG]],Table1016[#All],3,FALSE)</f>
        <v>#N/A</v>
      </c>
    </row>
    <row r="33" spans="1:5" x14ac:dyDescent="0.35">
      <c r="A33" s="118">
        <v>26</v>
      </c>
      <c r="B33" s="114" t="s">
        <v>124</v>
      </c>
      <c r="C33" s="109" t="e">
        <f>VLOOKUP(Table257519913140106110151155170178204217[[#This Row],[PEG]],Table1016[#All],2,FALSE)</f>
        <v>#N/A</v>
      </c>
      <c r="D33" s="117"/>
      <c r="E33" s="125" t="e">
        <f>VLOOKUP(Table257519913140106110151155170178204217[[#This Row],[PEG]],Table1016[#All],3,FALSE)</f>
        <v>#N/A</v>
      </c>
    </row>
    <row r="34" spans="1:5" x14ac:dyDescent="0.35">
      <c r="A34" s="118">
        <v>27</v>
      </c>
      <c r="B34" s="114" t="s">
        <v>115</v>
      </c>
      <c r="C34" s="109" t="e">
        <f>VLOOKUP(Table257519913140106110151155170178204217[[#This Row],[PEG]],Table1016[#All],2,FALSE)</f>
        <v>#N/A</v>
      </c>
      <c r="D34" s="117"/>
      <c r="E34" s="125" t="e">
        <f>VLOOKUP(Table257519913140106110151155170178204217[[#This Row],[PEG]],Table1016[#All],3,FALSE)</f>
        <v>#N/A</v>
      </c>
    </row>
    <row r="35" spans="1:5" x14ac:dyDescent="0.35">
      <c r="A35" s="118">
        <v>28</v>
      </c>
      <c r="B35" s="114" t="s">
        <v>124</v>
      </c>
      <c r="C35" s="109" t="e">
        <f>VLOOKUP(Table257519913140106110151155170178204217[[#This Row],[PEG]],Table1016[#All],2,FALSE)</f>
        <v>#N/A</v>
      </c>
      <c r="D35" s="117"/>
      <c r="E35" s="125" t="e">
        <f>VLOOKUP(Table257519913140106110151155170178204217[[#This Row],[PEG]],Table1016[#All],3,FALSE)</f>
        <v>#N/A</v>
      </c>
    </row>
    <row r="36" spans="1:5" x14ac:dyDescent="0.35">
      <c r="A36" s="118">
        <v>29</v>
      </c>
      <c r="B36" s="114" t="s">
        <v>115</v>
      </c>
      <c r="C36" s="109" t="e">
        <f>VLOOKUP(Table257519913140106110151155170178204217[[#This Row],[PEG]],Table1016[#All],2,FALSE)</f>
        <v>#N/A</v>
      </c>
      <c r="D36" s="117"/>
      <c r="E36" s="125" t="e">
        <f>VLOOKUP(Table257519913140106110151155170178204217[[#This Row],[PEG]],Table1016[#All],3,FALSE)</f>
        <v>#N/A</v>
      </c>
    </row>
    <row r="37" spans="1:5" x14ac:dyDescent="0.35">
      <c r="A37" s="118">
        <v>30</v>
      </c>
      <c r="B37" s="114" t="s">
        <v>12</v>
      </c>
      <c r="C37" s="109" t="e">
        <f>VLOOKUP(Table257519913140106110151155170178204217[[#This Row],[PEG]],Table1016[#All],2,FALSE)</f>
        <v>#N/A</v>
      </c>
      <c r="D37" s="117"/>
      <c r="E37" s="125" t="e">
        <f>VLOOKUP(Table257519913140106110151155170178204217[[#This Row],[PEG]],Table1016[#All],3,FALSE)</f>
        <v>#N/A</v>
      </c>
    </row>
    <row r="38" spans="1:5" x14ac:dyDescent="0.35">
      <c r="A38" s="118">
        <v>31</v>
      </c>
      <c r="B38" s="114" t="s">
        <v>12</v>
      </c>
      <c r="C38" s="109" t="e">
        <f>VLOOKUP(Table257519913140106110151155170178204217[[#This Row],[PEG]],Table1016[#All],2,FALSE)</f>
        <v>#N/A</v>
      </c>
      <c r="D38" s="117"/>
      <c r="E38" s="125" t="e">
        <f>VLOOKUP(Table257519913140106110151155170178204217[[#This Row],[PEG]],Table1016[#All],3,FALSE)</f>
        <v>#N/A</v>
      </c>
    </row>
    <row r="39" spans="1:5" x14ac:dyDescent="0.35">
      <c r="A39" s="118">
        <v>32</v>
      </c>
      <c r="B39" s="114" t="s">
        <v>12</v>
      </c>
      <c r="C39" s="109" t="e">
        <f>VLOOKUP(Table257519913140106110151155170178204217[[#This Row],[PEG]],Table1016[#All],2,FALSE)</f>
        <v>#N/A</v>
      </c>
      <c r="D39" s="117"/>
      <c r="E39" s="125" t="e">
        <f>VLOOKUP(Table257519913140106110151155170178204217[[#This Row],[PEG]],Table1016[#All],3,FALSE)</f>
        <v>#N/A</v>
      </c>
    </row>
    <row r="40" spans="1:5" x14ac:dyDescent="0.35">
      <c r="A40" s="118">
        <v>33</v>
      </c>
      <c r="B40" s="114" t="s">
        <v>12</v>
      </c>
      <c r="C40" s="109" t="e">
        <f>VLOOKUP(Table257519913140106110151155170178204217[[#This Row],[PEG]],Table1016[#All],2,FALSE)</f>
        <v>#N/A</v>
      </c>
      <c r="D40" s="117"/>
      <c r="E40" s="125" t="e">
        <f>VLOOKUP(Table257519913140106110151155170178204217[[#This Row],[PEG]],Table1016[#All],3,FALSE)</f>
        <v>#N/A</v>
      </c>
    </row>
    <row r="41" spans="1:5" x14ac:dyDescent="0.35">
      <c r="A41" s="118">
        <v>34</v>
      </c>
      <c r="B41" s="114" t="s">
        <v>115</v>
      </c>
      <c r="C41" s="109" t="e">
        <f>VLOOKUP(Table257519913140106110151155170178204217[[#This Row],[PEG]],Table1016[#All],2,FALSE)</f>
        <v>#N/A</v>
      </c>
      <c r="D41" s="117"/>
      <c r="E41" s="125" t="e">
        <f>VLOOKUP(Table257519913140106110151155170178204217[[#This Row],[PEG]],Table1016[#All],3,FALSE)</f>
        <v>#N/A</v>
      </c>
    </row>
    <row r="42" spans="1:5" x14ac:dyDescent="0.35">
      <c r="A42" s="118">
        <v>35</v>
      </c>
      <c r="B42" s="114" t="s">
        <v>12</v>
      </c>
      <c r="C42" s="109" t="e">
        <f>VLOOKUP(Table257519913140106110151155170178204217[[#This Row],[PEG]],Table1016[#All],2,FALSE)</f>
        <v>#N/A</v>
      </c>
      <c r="D42" s="115"/>
      <c r="E42" s="125" t="e">
        <f>VLOOKUP(Table257519913140106110151155170178204217[[#This Row],[PEG]],Table1016[#All],3,FALSE)</f>
        <v>#N/A</v>
      </c>
    </row>
    <row r="43" spans="1:5" x14ac:dyDescent="0.35">
      <c r="A43" s="118">
        <v>36</v>
      </c>
      <c r="B43" s="114" t="s">
        <v>115</v>
      </c>
      <c r="C43" s="109" t="e">
        <f>VLOOKUP(Table257519913140106110151155170178204217[[#This Row],[PEG]],Table1016[#All],2,FALSE)</f>
        <v>#N/A</v>
      </c>
      <c r="D43" s="115"/>
      <c r="E43" s="125" t="e">
        <f>VLOOKUP(Table257519913140106110151155170178204217[[#This Row],[PEG]],Table1016[#All],3,FALSE)</f>
        <v>#N/A</v>
      </c>
    </row>
    <row r="44" spans="1:5" x14ac:dyDescent="0.35">
      <c r="A44" s="118">
        <v>37</v>
      </c>
      <c r="B44" s="114" t="s">
        <v>13</v>
      </c>
      <c r="C44" s="18" t="s">
        <v>13</v>
      </c>
      <c r="D44" s="115"/>
      <c r="E44" s="32"/>
    </row>
  </sheetData>
  <mergeCells count="1">
    <mergeCell ref="A1:B1"/>
  </mergeCells>
  <conditionalFormatting sqref="B8:B18">
    <cfRule type="containsText" dxfId="775" priority="1" operator="containsText" text="Hear">
      <formula>NOT(ISERROR(SEARCH("Hear",B8)))</formula>
    </cfRule>
  </conditionalFormatting>
  <conditionalFormatting sqref="B30">
    <cfRule type="containsText" dxfId="774" priority="4" operator="containsText" text="Hear">
      <formula>NOT(ISERROR(SEARCH("Hear",B30)))</formula>
    </cfRule>
  </conditionalFormatting>
  <conditionalFormatting sqref="B43:B44">
    <cfRule type="containsText" dxfId="773" priority="8" operator="containsText" text="Hear">
      <formula>NOT(ISERROR(SEARCH("Hear",B43)))</formula>
    </cfRule>
  </conditionalFormatting>
  <conditionalFormatting sqref="E44">
    <cfRule type="containsText" dxfId="772" priority="6" operator="containsText" text="WEB SERVICE">
      <formula>NOT(ISERROR(SEARCH("WEB SERVICE",E44)))</formula>
    </cfRule>
    <cfRule type="containsText" dxfId="771" priority="7" operator="containsText" text="DB">
      <formula>NOT(ISERROR(SEARCH("DB",E44)))</formula>
    </cfRule>
  </conditionalFormatting>
  <conditionalFormatting sqref="C44">
    <cfRule type="expression" dxfId="770" priority="9">
      <formula>$B44="Dial"</formula>
    </cfRule>
  </conditionalFormatting>
  <conditionalFormatting sqref="C44">
    <cfRule type="expression" dxfId="769" priority="3">
      <formula>$B44="Speak"</formula>
    </cfRule>
  </conditionalFormatting>
  <conditionalFormatting sqref="B19:B29 B31:B35 B42">
    <cfRule type="containsText" dxfId="768" priority="5" operator="containsText" text="Hear">
      <formula>NOT(ISERROR(SEARCH("Hear",B19)))</formula>
    </cfRule>
  </conditionalFormatting>
  <hyperlinks>
    <hyperlink ref="A1" location="'Test Case Overview'!A1" display="Return to Test Case Overview" xr:uid="{CCD28B9C-721A-48CB-82E8-640CBE59F4A0}"/>
  </hyperlinks>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expression" priority="2" id="{E974A96B-A18E-4A69-BFBD-641F3FCBC4AF}">
            <xm:f>'TC1'!$B8="HANGUP"</xm:f>
            <x14:dxf>
              <font>
                <b/>
                <i val="0"/>
              </font>
            </x14:dxf>
          </x14:cfRule>
          <xm:sqref>C8</xm:sqref>
        </x14:conditionalFormatting>
        <x14:conditionalFormatting xmlns:xm="http://schemas.microsoft.com/office/excel/2006/main">
          <x14:cfRule type="expression" priority="3262" id="{E974A96B-A18E-4A69-BFBD-641F3FCBC4AF}">
            <xm:f>'TC1'!$B16="HANGUP"</xm:f>
            <x14:dxf>
              <font>
                <b/>
                <i val="0"/>
              </font>
            </x14:dxf>
          </x14:cfRule>
          <xm:sqref>C34:C43</xm:sqref>
        </x14:conditionalFormatting>
        <x14:conditionalFormatting xmlns:xm="http://schemas.microsoft.com/office/excel/2006/main">
          <x14:cfRule type="expression" priority="3263" id="{E974A96B-A18E-4A69-BFBD-641F3FCBC4AF}">
            <xm:f>'TC1'!#REF!="HANGUP"</xm:f>
            <x14:dxf>
              <font>
                <b/>
                <i val="0"/>
              </font>
            </x14:dxf>
          </x14:cfRule>
          <xm:sqref>C17:C33</xm:sqref>
        </x14:conditionalFormatting>
        <x14:conditionalFormatting xmlns:xm="http://schemas.microsoft.com/office/excel/2006/main">
          <x14:cfRule type="expression" priority="5876" id="{E974A96B-A18E-4A69-BFBD-641F3FCBC4AF}">
            <xm:f>'TC1'!$B9="HANGUP"</xm:f>
            <x14:dxf>
              <font>
                <b/>
                <i val="0"/>
              </font>
            </x14:dxf>
          </x14:cfRule>
          <xm:sqref>C12:C15</xm:sqref>
        </x14:conditionalFormatting>
        <x14:conditionalFormatting xmlns:xm="http://schemas.microsoft.com/office/excel/2006/main">
          <x14:cfRule type="expression" priority="5877" id="{E974A96B-A18E-4A69-BFBD-641F3FCBC4AF}">
            <xm:f>'TC1'!#REF!="HANGUP"</xm:f>
            <x14:dxf>
              <font>
                <b/>
                <i val="0"/>
              </font>
            </x14:dxf>
          </x14:cfRule>
          <xm:sqref>C9:C11</xm:sqref>
        </x14:conditionalFormatting>
        <x14:conditionalFormatting xmlns:xm="http://schemas.microsoft.com/office/excel/2006/main">
          <x14:cfRule type="expression" priority="8070" id="{E974A96B-A18E-4A69-BFBD-641F3FCBC4AF}">
            <xm:f>'TC1'!$B15="HANGUP"</xm:f>
            <x14:dxf>
              <font>
                <b/>
                <i val="0"/>
              </font>
            </x14:dxf>
          </x14:cfRule>
          <xm:sqref>C16</xm:sqref>
        </x14:conditionalFormatting>
      </x14:conditionalFormattings>
    </ext>
  </extLst>
</worksheet>
</file>

<file path=xl/worksheets/sheet1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B00-000000000000}">
  <sheetPr codeName="Sheet157"/>
  <dimension ref="A1:E44"/>
  <sheetViews>
    <sheetView zoomScaleNormal="100" workbookViewId="0">
      <selection sqref="A1:E44"/>
    </sheetView>
  </sheetViews>
  <sheetFormatPr defaultRowHeight="14.5" x14ac:dyDescent="0.35"/>
  <cols>
    <col min="1" max="1" width="14.453125" bestFit="1" customWidth="1"/>
    <col min="2" max="2" width="42.6328125" customWidth="1"/>
    <col min="3" max="3" width="106.1796875" customWidth="1"/>
    <col min="4" max="4" width="21.81640625" bestFit="1" customWidth="1"/>
    <col min="5" max="5" width="20.6328125" customWidth="1"/>
  </cols>
  <sheetData>
    <row r="1" spans="1:5" ht="18.5" x14ac:dyDescent="0.35">
      <c r="A1" s="192" t="s">
        <v>4</v>
      </c>
      <c r="B1" s="192"/>
      <c r="C1" s="105"/>
      <c r="D1" s="111"/>
      <c r="E1" s="97"/>
    </row>
    <row r="2" spans="1:5" x14ac:dyDescent="0.35">
      <c r="A2" s="106" t="s">
        <v>5</v>
      </c>
      <c r="B2" s="107" t="str">
        <f ca="1">MID(CELL("filename",A1),FIND("]",CELL("filename",A1))+1,LEN(CELL("filename",A1))-FIND("]",CELL("filename",A1)))</f>
        <v>TC155</v>
      </c>
      <c r="C2" s="98"/>
      <c r="D2" s="111"/>
      <c r="E2" s="97"/>
    </row>
    <row r="3" spans="1:5" x14ac:dyDescent="0.35">
      <c r="A3" s="104" t="s">
        <v>19</v>
      </c>
      <c r="B3" s="112" t="e">
        <f ca="1">VLOOKUP(B2,Table53[#All],2,FALSE)</f>
        <v>#N/A</v>
      </c>
      <c r="C3" s="98"/>
      <c r="D3" s="111"/>
      <c r="E3" s="97"/>
    </row>
    <row r="4" spans="1:5" ht="29" x14ac:dyDescent="0.35">
      <c r="A4" s="113" t="s">
        <v>20</v>
      </c>
      <c r="B4" s="99" t="e">
        <f ca="1">VLOOKUP(B2,Table53[#All],4,FALSE)</f>
        <v>#N/A</v>
      </c>
      <c r="C4" s="98"/>
      <c r="D4" s="111"/>
      <c r="E4" s="97"/>
    </row>
    <row r="5" spans="1:5" x14ac:dyDescent="0.35">
      <c r="A5" s="104" t="s">
        <v>6</v>
      </c>
      <c r="B5" s="77" t="e">
        <f ca="1">VLOOKUP(B2,Table53[#All],3,FALSE)</f>
        <v>#N/A</v>
      </c>
      <c r="C5" s="98"/>
      <c r="D5" s="111"/>
      <c r="E5" s="97"/>
    </row>
    <row r="6" spans="1:5" x14ac:dyDescent="0.35">
      <c r="A6" s="97"/>
      <c r="B6" s="97"/>
      <c r="C6" s="98"/>
      <c r="D6" s="111"/>
      <c r="E6" s="97"/>
    </row>
    <row r="7" spans="1:5" ht="15.5" x14ac:dyDescent="0.35">
      <c r="A7" s="100" t="s">
        <v>7</v>
      </c>
      <c r="B7" s="101" t="s">
        <v>8</v>
      </c>
      <c r="C7" s="102" t="s">
        <v>9</v>
      </c>
      <c r="D7" s="102" t="s">
        <v>14</v>
      </c>
      <c r="E7" s="103" t="s">
        <v>10</v>
      </c>
    </row>
    <row r="8" spans="1:5" x14ac:dyDescent="0.35">
      <c r="A8" s="118">
        <v>1</v>
      </c>
      <c r="B8" s="114" t="s">
        <v>114</v>
      </c>
      <c r="C8" s="109" t="s">
        <v>125</v>
      </c>
      <c r="D8" s="128"/>
      <c r="E8" s="125" t="s">
        <v>11</v>
      </c>
    </row>
    <row r="9" spans="1:5" x14ac:dyDescent="0.35">
      <c r="A9" s="118">
        <v>2</v>
      </c>
      <c r="B9" s="114" t="s">
        <v>12</v>
      </c>
      <c r="C9" s="109" t="e">
        <f>VLOOKUP(Table257519913140106110151155170178204219[[#This Row],[PEG]],Table1016[#All],2,FALSE)</f>
        <v>#N/A</v>
      </c>
      <c r="D9" s="128"/>
      <c r="E9" s="125" t="e">
        <f>VLOOKUP(Table257519913140106110151155170178204219[[#This Row],[PEG]],Table1016[#All],3,FALSE)</f>
        <v>#N/A</v>
      </c>
    </row>
    <row r="10" spans="1:5" x14ac:dyDescent="0.35">
      <c r="A10" s="118">
        <v>3</v>
      </c>
      <c r="B10" s="114" t="s">
        <v>115</v>
      </c>
      <c r="C10" s="109" t="e">
        <f>VLOOKUP(Table257519913140106110151155170178204219[[#This Row],[PEG]],Table1016[#All],2,FALSE)</f>
        <v>#N/A</v>
      </c>
      <c r="D10" s="128"/>
      <c r="E10" s="125" t="e">
        <f>VLOOKUP(Table257519913140106110151155170178204219[[#This Row],[PEG]],Table1016[#All],3,FALSE)</f>
        <v>#N/A</v>
      </c>
    </row>
    <row r="11" spans="1:5" x14ac:dyDescent="0.35">
      <c r="A11" s="118">
        <v>4</v>
      </c>
      <c r="B11" s="114" t="s">
        <v>115</v>
      </c>
      <c r="C11" s="109" t="e">
        <f>VLOOKUP(Table257519913140106110151155170178204219[[#This Row],[PEG]],Table1016[#All],2,FALSE)</f>
        <v>#N/A</v>
      </c>
      <c r="D11" s="128"/>
      <c r="E11" s="125" t="e">
        <f>VLOOKUP(Table257519913140106110151155170178204219[[#This Row],[PEG]],Table1016[#All],3,FALSE)</f>
        <v>#N/A</v>
      </c>
    </row>
    <row r="12" spans="1:5" x14ac:dyDescent="0.35">
      <c r="A12" s="118">
        <v>5</v>
      </c>
      <c r="B12" s="114" t="s">
        <v>114</v>
      </c>
      <c r="C12" s="109" t="e">
        <f>VLOOKUP(Table257519913140106110151155170178204219[[#This Row],[PEG]],Table1016[#All],2,FALSE)</f>
        <v>#N/A</v>
      </c>
      <c r="D12" s="128"/>
      <c r="E12" s="125" t="e">
        <f>VLOOKUP(Table257519913140106110151155170178204219[[#This Row],[PEG]],Table1016[#All],3,FALSE)</f>
        <v>#N/A</v>
      </c>
    </row>
    <row r="13" spans="1:5" x14ac:dyDescent="0.35">
      <c r="A13" s="118">
        <v>6</v>
      </c>
      <c r="B13" s="114" t="s">
        <v>115</v>
      </c>
      <c r="C13" s="109" t="e">
        <f>VLOOKUP(Table257519913140106110151155170178204219[[#This Row],[PEG]],Table1016[#All],2,FALSE)</f>
        <v>#N/A</v>
      </c>
      <c r="D13" s="128"/>
      <c r="E13" s="125" t="e">
        <f>VLOOKUP(Table257519913140106110151155170178204219[[#This Row],[PEG]],Table1016[#All],3,FALSE)</f>
        <v>#N/A</v>
      </c>
    </row>
    <row r="14" spans="1:5" x14ac:dyDescent="0.35">
      <c r="A14" s="118">
        <v>7</v>
      </c>
      <c r="B14" s="114" t="s">
        <v>114</v>
      </c>
      <c r="C14" s="109" t="e">
        <f>VLOOKUP(Table257519913140106110151155170178204219[[#This Row],[PEG]],Table1016[#All],2,FALSE)</f>
        <v>#N/A</v>
      </c>
      <c r="D14" s="128"/>
      <c r="E14" s="125" t="e">
        <f>VLOOKUP(Table257519913140106110151155170178204219[[#This Row],[PEG]],Table1016[#All],3,FALSE)</f>
        <v>#N/A</v>
      </c>
    </row>
    <row r="15" spans="1:5" x14ac:dyDescent="0.35">
      <c r="A15" s="118">
        <v>8</v>
      </c>
      <c r="B15" s="114" t="s">
        <v>115</v>
      </c>
      <c r="C15" s="109" t="e">
        <f>VLOOKUP(Table257519913140106110151155170178204219[[#This Row],[PEG]],Table1016[#All],2,FALSE)</f>
        <v>#N/A</v>
      </c>
      <c r="D15" s="116"/>
      <c r="E15" s="125" t="e">
        <f>VLOOKUP(Table257519913140106110151155170178204219[[#This Row],[PEG]],Table1016[#All],3,FALSE)</f>
        <v>#N/A</v>
      </c>
    </row>
    <row r="16" spans="1:5" x14ac:dyDescent="0.35">
      <c r="A16" s="118">
        <v>9</v>
      </c>
      <c r="B16" s="114" t="s">
        <v>12</v>
      </c>
      <c r="C16" s="109" t="e">
        <f>VLOOKUP(Table257519913140106110151155170178204219[[#This Row],[PEG]],Table1016[#All],2,FALSE)</f>
        <v>#N/A</v>
      </c>
      <c r="D16" s="116"/>
      <c r="E16" s="125" t="e">
        <f>VLOOKUP(Table257519913140106110151155170178204219[[#This Row],[PEG]],Table1016[#All],3,FALSE)</f>
        <v>#N/A</v>
      </c>
    </row>
    <row r="17" spans="1:5" x14ac:dyDescent="0.35">
      <c r="A17" s="118">
        <v>10</v>
      </c>
      <c r="B17" s="114" t="s">
        <v>12</v>
      </c>
      <c r="C17" s="109" t="e">
        <f>VLOOKUP(Table257519913140106110151155170178204219[[#This Row],[PEG]],Table1016[#All],2,FALSE)</f>
        <v>#N/A</v>
      </c>
      <c r="D17" s="117"/>
      <c r="E17" s="125" t="e">
        <f>VLOOKUP(Table257519913140106110151155170178204219[[#This Row],[PEG]],Table1016[#All],3,FALSE)</f>
        <v>#N/A</v>
      </c>
    </row>
    <row r="18" spans="1:5" x14ac:dyDescent="0.35">
      <c r="A18" s="118">
        <v>11</v>
      </c>
      <c r="B18" s="114" t="s">
        <v>115</v>
      </c>
      <c r="C18" s="109" t="e">
        <f>VLOOKUP(Table257519913140106110151155170178204219[[#This Row],[PEG]],Table1016[#All],2,FALSE)</f>
        <v>#N/A</v>
      </c>
      <c r="D18" s="117"/>
      <c r="E18" s="125" t="e">
        <f>VLOOKUP(Table257519913140106110151155170178204219[[#This Row],[PEG]],Table1016[#All],3,FALSE)</f>
        <v>#N/A</v>
      </c>
    </row>
    <row r="19" spans="1:5" x14ac:dyDescent="0.35">
      <c r="A19" s="118">
        <v>12</v>
      </c>
      <c r="B19" s="114" t="s">
        <v>115</v>
      </c>
      <c r="C19" s="109" t="e">
        <f>VLOOKUP(Table257519913140106110151155170178204219[[#This Row],[PEG]],Table1016[#All],2,FALSE)</f>
        <v>#N/A</v>
      </c>
      <c r="D19" s="117"/>
      <c r="E19" s="125" t="e">
        <f>VLOOKUP(Table257519913140106110151155170178204219[[#This Row],[PEG]],Table1016[#All],3,FALSE)</f>
        <v>#N/A</v>
      </c>
    </row>
    <row r="20" spans="1:5" x14ac:dyDescent="0.35">
      <c r="A20" s="118">
        <v>13</v>
      </c>
      <c r="B20" s="114" t="s">
        <v>114</v>
      </c>
      <c r="C20" s="109" t="e">
        <f>VLOOKUP(Table257519913140106110151155170178204219[[#This Row],[PEG]],Table1016[#All],2,FALSE)</f>
        <v>#N/A</v>
      </c>
      <c r="D20" s="117"/>
      <c r="E20" s="125" t="e">
        <f>VLOOKUP(Table257519913140106110151155170178204219[[#This Row],[PEG]],Table1016[#All],3,FALSE)</f>
        <v>#N/A</v>
      </c>
    </row>
    <row r="21" spans="1:5" x14ac:dyDescent="0.35">
      <c r="A21" s="118">
        <v>14</v>
      </c>
      <c r="B21" s="114" t="s">
        <v>12</v>
      </c>
      <c r="C21" s="109" t="e">
        <f>VLOOKUP(Table257519913140106110151155170178204219[[#This Row],[PEG]],Table1016[#All],2,FALSE)</f>
        <v>#N/A</v>
      </c>
      <c r="D21" s="117"/>
      <c r="E21" s="125" t="e">
        <f>VLOOKUP(Table257519913140106110151155170178204219[[#This Row],[PEG]],Table1016[#All],3,FALSE)</f>
        <v>#N/A</v>
      </c>
    </row>
    <row r="22" spans="1:5" x14ac:dyDescent="0.35">
      <c r="A22" s="118">
        <v>15</v>
      </c>
      <c r="B22" s="114" t="s">
        <v>12</v>
      </c>
      <c r="C22" s="109" t="e">
        <f>VLOOKUP(Table257519913140106110151155170178204219[[#This Row],[PEG]],Table1016[#All],2,FALSE)</f>
        <v>#N/A</v>
      </c>
      <c r="D22" s="117"/>
      <c r="E22" s="125" t="e">
        <f>VLOOKUP(Table257519913140106110151155170178204219[[#This Row],[PEG]],Table1016[#All],3,FALSE)</f>
        <v>#N/A</v>
      </c>
    </row>
    <row r="23" spans="1:5" x14ac:dyDescent="0.35">
      <c r="A23" s="118">
        <v>16</v>
      </c>
      <c r="B23" s="114" t="s">
        <v>115</v>
      </c>
      <c r="C23" s="109" t="e">
        <f>VLOOKUP(Table257519913140106110151155170178204219[[#This Row],[PEG]],Table1016[#All],2,FALSE)</f>
        <v>#N/A</v>
      </c>
      <c r="D23" s="117"/>
      <c r="E23" s="125" t="e">
        <f>VLOOKUP(Table257519913140106110151155170178204219[[#This Row],[PEG]],Table1016[#All],3,FALSE)</f>
        <v>#N/A</v>
      </c>
    </row>
    <row r="24" spans="1:5" x14ac:dyDescent="0.35">
      <c r="A24" s="118">
        <v>17</v>
      </c>
      <c r="B24" s="114" t="s">
        <v>114</v>
      </c>
      <c r="C24" s="109" t="e">
        <f>VLOOKUP(Table257519913140106110151155170178204219[[#This Row],[PEG]],Table1016[#All],2,FALSE)</f>
        <v>#N/A</v>
      </c>
      <c r="D24" s="117"/>
      <c r="E24" s="125" t="e">
        <f>VLOOKUP(Table257519913140106110151155170178204219[[#This Row],[PEG]],Table1016[#All],3,FALSE)</f>
        <v>#N/A</v>
      </c>
    </row>
    <row r="25" spans="1:5" x14ac:dyDescent="0.35">
      <c r="A25" s="118">
        <v>18</v>
      </c>
      <c r="B25" s="114" t="s">
        <v>12</v>
      </c>
      <c r="C25" s="109" t="e">
        <f>VLOOKUP(Table257519913140106110151155170178204219[[#This Row],[PEG]],Table1016[#All],2,FALSE)</f>
        <v>#N/A</v>
      </c>
      <c r="D25" s="117"/>
      <c r="E25" s="125" t="e">
        <f>VLOOKUP(Table257519913140106110151155170178204219[[#This Row],[PEG]],Table1016[#All],3,FALSE)</f>
        <v>#N/A</v>
      </c>
    </row>
    <row r="26" spans="1:5" x14ac:dyDescent="0.35">
      <c r="A26" s="118">
        <v>19</v>
      </c>
      <c r="B26" s="114" t="s">
        <v>12</v>
      </c>
      <c r="C26" s="109" t="e">
        <f>VLOOKUP(Table257519913140106110151155170178204219[[#This Row],[PEG]],Table1016[#All],2,FALSE)</f>
        <v>#N/A</v>
      </c>
      <c r="D26" s="117"/>
      <c r="E26" s="125" t="e">
        <f>VLOOKUP(Table257519913140106110151155170178204219[[#This Row],[PEG]],Table1016[#All],3,FALSE)</f>
        <v>#N/A</v>
      </c>
    </row>
    <row r="27" spans="1:5" x14ac:dyDescent="0.35">
      <c r="A27" s="118">
        <v>20</v>
      </c>
      <c r="B27" s="114" t="s">
        <v>115</v>
      </c>
      <c r="C27" s="109" t="e">
        <f>VLOOKUP(Table257519913140106110151155170178204219[[#This Row],[PEG]],Table1016[#All],2,FALSE)</f>
        <v>#N/A</v>
      </c>
      <c r="D27" s="117"/>
      <c r="E27" s="125" t="e">
        <f>VLOOKUP(Table257519913140106110151155170178204219[[#This Row],[PEG]],Table1016[#All],3,FALSE)</f>
        <v>#N/A</v>
      </c>
    </row>
    <row r="28" spans="1:5" x14ac:dyDescent="0.35">
      <c r="A28" s="118">
        <v>21</v>
      </c>
      <c r="B28" s="114" t="s">
        <v>114</v>
      </c>
      <c r="C28" s="109" t="e">
        <f>VLOOKUP(Table257519913140106110151155170178204219[[#This Row],[PEG]],Table1016[#All],2,FALSE)</f>
        <v>#N/A</v>
      </c>
      <c r="D28" s="117"/>
      <c r="E28" s="125" t="e">
        <f>VLOOKUP(Table257519913140106110151155170178204219[[#This Row],[PEG]],Table1016[#All],3,FALSE)</f>
        <v>#N/A</v>
      </c>
    </row>
    <row r="29" spans="1:5" x14ac:dyDescent="0.35">
      <c r="A29" s="118">
        <v>22</v>
      </c>
      <c r="B29" s="114" t="s">
        <v>12</v>
      </c>
      <c r="C29" s="109" t="e">
        <f>VLOOKUP(Table257519913140106110151155170178204219[[#This Row],[PEG]],Table1016[#All],2,FALSE)</f>
        <v>#N/A</v>
      </c>
      <c r="D29" s="117"/>
      <c r="E29" s="125" t="e">
        <f>VLOOKUP(Table257519913140106110151155170178204219[[#This Row],[PEG]],Table1016[#All],3,FALSE)</f>
        <v>#N/A</v>
      </c>
    </row>
    <row r="30" spans="1:5" x14ac:dyDescent="0.35">
      <c r="A30" s="118">
        <v>23</v>
      </c>
      <c r="B30" s="114" t="s">
        <v>12</v>
      </c>
      <c r="C30" s="109" t="e">
        <f>VLOOKUP(Table257519913140106110151155170178204219[[#This Row],[PEG]],Table1016[#All],2,FALSE)</f>
        <v>#N/A</v>
      </c>
      <c r="D30" s="117"/>
      <c r="E30" s="125" t="e">
        <f>VLOOKUP(Table257519913140106110151155170178204219[[#This Row],[PEG]],Table1016[#All],3,FALSE)</f>
        <v>#N/A</v>
      </c>
    </row>
    <row r="31" spans="1:5" x14ac:dyDescent="0.35">
      <c r="A31" s="118">
        <v>24</v>
      </c>
      <c r="B31" s="114" t="s">
        <v>115</v>
      </c>
      <c r="C31" s="109" t="e">
        <f>VLOOKUP(Table257519913140106110151155170178204219[[#This Row],[PEG]],Table1016[#All],2,FALSE)</f>
        <v>#N/A</v>
      </c>
      <c r="D31" s="117"/>
      <c r="E31" s="125" t="e">
        <f>VLOOKUP(Table257519913140106110151155170178204219[[#This Row],[PEG]],Table1016[#All],3,FALSE)</f>
        <v>#N/A</v>
      </c>
    </row>
    <row r="32" spans="1:5" x14ac:dyDescent="0.35">
      <c r="A32" s="118">
        <v>25</v>
      </c>
      <c r="B32" s="114" t="s">
        <v>115</v>
      </c>
      <c r="C32" s="109" t="e">
        <f>VLOOKUP(Table257519913140106110151155170178204219[[#This Row],[PEG]],Table1016[#All],2,FALSE)</f>
        <v>#N/A</v>
      </c>
      <c r="D32" s="117"/>
      <c r="E32" s="125" t="e">
        <f>VLOOKUP(Table257519913140106110151155170178204219[[#This Row],[PEG]],Table1016[#All],3,FALSE)</f>
        <v>#N/A</v>
      </c>
    </row>
    <row r="33" spans="1:5" x14ac:dyDescent="0.35">
      <c r="A33" s="118">
        <v>26</v>
      </c>
      <c r="B33" s="114" t="s">
        <v>124</v>
      </c>
      <c r="C33" s="109" t="e">
        <f>VLOOKUP(Table257519913140106110151155170178204219[[#This Row],[PEG]],Table1016[#All],2,FALSE)</f>
        <v>#N/A</v>
      </c>
      <c r="D33" s="117"/>
      <c r="E33" s="125" t="e">
        <f>VLOOKUP(Table257519913140106110151155170178204219[[#This Row],[PEG]],Table1016[#All],3,FALSE)</f>
        <v>#N/A</v>
      </c>
    </row>
    <row r="34" spans="1:5" x14ac:dyDescent="0.35">
      <c r="A34" s="118">
        <v>27</v>
      </c>
      <c r="B34" s="114" t="s">
        <v>115</v>
      </c>
      <c r="C34" s="109" t="e">
        <f>VLOOKUP(Table257519913140106110151155170178204219[[#This Row],[PEG]],Table1016[#All],2,FALSE)</f>
        <v>#N/A</v>
      </c>
      <c r="D34" s="117"/>
      <c r="E34" s="125" t="e">
        <f>VLOOKUP(Table257519913140106110151155170178204219[[#This Row],[PEG]],Table1016[#All],3,FALSE)</f>
        <v>#N/A</v>
      </c>
    </row>
    <row r="35" spans="1:5" x14ac:dyDescent="0.35">
      <c r="A35" s="118">
        <v>28</v>
      </c>
      <c r="B35" s="114" t="s">
        <v>124</v>
      </c>
      <c r="C35" s="109" t="e">
        <f>VLOOKUP(Table257519913140106110151155170178204219[[#This Row],[PEG]],Table1016[#All],2,FALSE)</f>
        <v>#N/A</v>
      </c>
      <c r="D35" s="117"/>
      <c r="E35" s="125" t="e">
        <f>VLOOKUP(Table257519913140106110151155170178204219[[#This Row],[PEG]],Table1016[#All],3,FALSE)</f>
        <v>#N/A</v>
      </c>
    </row>
    <row r="36" spans="1:5" x14ac:dyDescent="0.35">
      <c r="A36" s="118">
        <v>29</v>
      </c>
      <c r="B36" s="114" t="s">
        <v>115</v>
      </c>
      <c r="C36" s="109" t="e">
        <f>VLOOKUP(Table257519913140106110151155170178204219[[#This Row],[PEG]],Table1016[#All],2,FALSE)</f>
        <v>#N/A</v>
      </c>
      <c r="D36" s="117"/>
      <c r="E36" s="125" t="e">
        <f>VLOOKUP(Table257519913140106110151155170178204219[[#This Row],[PEG]],Table1016[#All],3,FALSE)</f>
        <v>#N/A</v>
      </c>
    </row>
    <row r="37" spans="1:5" x14ac:dyDescent="0.35">
      <c r="A37" s="118">
        <v>30</v>
      </c>
      <c r="B37" s="114" t="s">
        <v>12</v>
      </c>
      <c r="C37" s="109" t="e">
        <f>VLOOKUP(Table257519913140106110151155170178204219[[#This Row],[PEG]],Table1016[#All],2,FALSE)</f>
        <v>#N/A</v>
      </c>
      <c r="D37" s="117"/>
      <c r="E37" s="125" t="e">
        <f>VLOOKUP(Table257519913140106110151155170178204219[[#This Row],[PEG]],Table1016[#All],3,FALSE)</f>
        <v>#N/A</v>
      </c>
    </row>
    <row r="38" spans="1:5" x14ac:dyDescent="0.35">
      <c r="A38" s="118">
        <v>31</v>
      </c>
      <c r="B38" s="114" t="s">
        <v>12</v>
      </c>
      <c r="C38" s="109" t="e">
        <f>VLOOKUP(Table257519913140106110151155170178204219[[#This Row],[PEG]],Table1016[#All],2,FALSE)</f>
        <v>#N/A</v>
      </c>
      <c r="D38" s="117"/>
      <c r="E38" s="125" t="e">
        <f>VLOOKUP(Table257519913140106110151155170178204219[[#This Row],[PEG]],Table1016[#All],3,FALSE)</f>
        <v>#N/A</v>
      </c>
    </row>
    <row r="39" spans="1:5" x14ac:dyDescent="0.35">
      <c r="A39" s="118">
        <v>32</v>
      </c>
      <c r="B39" s="114" t="s">
        <v>12</v>
      </c>
      <c r="C39" s="109" t="e">
        <f>VLOOKUP(Table257519913140106110151155170178204219[[#This Row],[PEG]],Table1016[#All],2,FALSE)</f>
        <v>#N/A</v>
      </c>
      <c r="D39" s="117"/>
      <c r="E39" s="125" t="e">
        <f>VLOOKUP(Table257519913140106110151155170178204219[[#This Row],[PEG]],Table1016[#All],3,FALSE)</f>
        <v>#N/A</v>
      </c>
    </row>
    <row r="40" spans="1:5" x14ac:dyDescent="0.35">
      <c r="A40" s="118">
        <v>33</v>
      </c>
      <c r="B40" s="114" t="s">
        <v>12</v>
      </c>
      <c r="C40" s="109" t="e">
        <f>VLOOKUP(Table257519913140106110151155170178204219[[#This Row],[PEG]],Table1016[#All],2,FALSE)</f>
        <v>#N/A</v>
      </c>
      <c r="D40" s="117"/>
      <c r="E40" s="125" t="e">
        <f>VLOOKUP(Table257519913140106110151155170178204219[[#This Row],[PEG]],Table1016[#All],3,FALSE)</f>
        <v>#N/A</v>
      </c>
    </row>
    <row r="41" spans="1:5" x14ac:dyDescent="0.35">
      <c r="A41" s="118">
        <v>34</v>
      </c>
      <c r="B41" s="114" t="s">
        <v>115</v>
      </c>
      <c r="C41" s="109" t="e">
        <f>VLOOKUP(Table257519913140106110151155170178204219[[#This Row],[PEG]],Table1016[#All],2,FALSE)</f>
        <v>#N/A</v>
      </c>
      <c r="D41" s="117"/>
      <c r="E41" s="125" t="e">
        <f>VLOOKUP(Table257519913140106110151155170178204219[[#This Row],[PEG]],Table1016[#All],3,FALSE)</f>
        <v>#N/A</v>
      </c>
    </row>
    <row r="42" spans="1:5" x14ac:dyDescent="0.35">
      <c r="A42" s="118">
        <v>35</v>
      </c>
      <c r="B42" s="114" t="s">
        <v>12</v>
      </c>
      <c r="C42" s="109" t="e">
        <f>VLOOKUP(Table257519913140106110151155170178204219[[#This Row],[PEG]],Table1016[#All],2,FALSE)</f>
        <v>#N/A</v>
      </c>
      <c r="D42" s="115"/>
      <c r="E42" s="125" t="e">
        <f>VLOOKUP(Table257519913140106110151155170178204219[[#This Row],[PEG]],Table1016[#All],3,FALSE)</f>
        <v>#N/A</v>
      </c>
    </row>
    <row r="43" spans="1:5" x14ac:dyDescent="0.35">
      <c r="A43" s="118">
        <v>36</v>
      </c>
      <c r="B43" s="114" t="s">
        <v>115</v>
      </c>
      <c r="C43" s="109" t="e">
        <f>VLOOKUP(Table257519913140106110151155170178204219[[#This Row],[PEG]],Table1016[#All],2,FALSE)</f>
        <v>#N/A</v>
      </c>
      <c r="D43" s="115"/>
      <c r="E43" s="125" t="e">
        <f>VLOOKUP(Table257519913140106110151155170178204219[[#This Row],[PEG]],Table1016[#All],3,FALSE)</f>
        <v>#N/A</v>
      </c>
    </row>
    <row r="44" spans="1:5" x14ac:dyDescent="0.35">
      <c r="A44" s="118">
        <v>37</v>
      </c>
      <c r="B44" s="114" t="s">
        <v>13</v>
      </c>
      <c r="C44" s="18" t="s">
        <v>13</v>
      </c>
      <c r="D44" s="115"/>
      <c r="E44" s="32"/>
    </row>
  </sheetData>
  <mergeCells count="1">
    <mergeCell ref="A1:B1"/>
  </mergeCells>
  <conditionalFormatting sqref="B8:B18">
    <cfRule type="containsText" dxfId="761" priority="1" operator="containsText" text="Hear">
      <formula>NOT(ISERROR(SEARCH("Hear",B8)))</formula>
    </cfRule>
  </conditionalFormatting>
  <conditionalFormatting sqref="B30">
    <cfRule type="containsText" dxfId="760" priority="4" operator="containsText" text="Hear">
      <formula>NOT(ISERROR(SEARCH("Hear",B30)))</formula>
    </cfRule>
  </conditionalFormatting>
  <conditionalFormatting sqref="B43:B44">
    <cfRule type="containsText" dxfId="759" priority="8" operator="containsText" text="Hear">
      <formula>NOT(ISERROR(SEARCH("Hear",B43)))</formula>
    </cfRule>
  </conditionalFormatting>
  <conditionalFormatting sqref="E44">
    <cfRule type="containsText" dxfId="758" priority="6" operator="containsText" text="WEB SERVICE">
      <formula>NOT(ISERROR(SEARCH("WEB SERVICE",E44)))</formula>
    </cfRule>
    <cfRule type="containsText" dxfId="757" priority="7" operator="containsText" text="DB">
      <formula>NOT(ISERROR(SEARCH("DB",E44)))</formula>
    </cfRule>
  </conditionalFormatting>
  <conditionalFormatting sqref="C44">
    <cfRule type="expression" dxfId="756" priority="9">
      <formula>$B44="Dial"</formula>
    </cfRule>
  </conditionalFormatting>
  <conditionalFormatting sqref="C44">
    <cfRule type="expression" dxfId="755" priority="3">
      <formula>$B44="Speak"</formula>
    </cfRule>
  </conditionalFormatting>
  <conditionalFormatting sqref="B19:B29 B31:B35 B42">
    <cfRule type="containsText" dxfId="754" priority="5" operator="containsText" text="Hear">
      <formula>NOT(ISERROR(SEARCH("Hear",B19)))</formula>
    </cfRule>
  </conditionalFormatting>
  <hyperlinks>
    <hyperlink ref="A1" location="'Test Case Overview'!A1" display="Return to Test Case Overview" xr:uid="{0665BBE2-FE00-4B0F-BDEE-611C4EE98DFD}"/>
  </hyperlinks>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expression" priority="2" id="{D834317A-A19C-49B1-AFDE-54D9B1421970}">
            <xm:f>'TC1'!$B8="HANGUP"</xm:f>
            <x14:dxf>
              <font>
                <b/>
                <i val="0"/>
              </font>
            </x14:dxf>
          </x14:cfRule>
          <xm:sqref>C8</xm:sqref>
        </x14:conditionalFormatting>
        <x14:conditionalFormatting xmlns:xm="http://schemas.microsoft.com/office/excel/2006/main">
          <x14:cfRule type="expression" priority="3266" id="{D834317A-A19C-49B1-AFDE-54D9B1421970}">
            <xm:f>'TC1'!$B16="HANGUP"</xm:f>
            <x14:dxf>
              <font>
                <b/>
                <i val="0"/>
              </font>
            </x14:dxf>
          </x14:cfRule>
          <xm:sqref>C34:C43</xm:sqref>
        </x14:conditionalFormatting>
        <x14:conditionalFormatting xmlns:xm="http://schemas.microsoft.com/office/excel/2006/main">
          <x14:cfRule type="expression" priority="3267" id="{D834317A-A19C-49B1-AFDE-54D9B1421970}">
            <xm:f>'TC1'!#REF!="HANGUP"</xm:f>
            <x14:dxf>
              <font>
                <b/>
                <i val="0"/>
              </font>
            </x14:dxf>
          </x14:cfRule>
          <xm:sqref>C17:C33</xm:sqref>
        </x14:conditionalFormatting>
        <x14:conditionalFormatting xmlns:xm="http://schemas.microsoft.com/office/excel/2006/main">
          <x14:cfRule type="expression" priority="5880" id="{D834317A-A19C-49B1-AFDE-54D9B1421970}">
            <xm:f>'TC1'!$B9="HANGUP"</xm:f>
            <x14:dxf>
              <font>
                <b/>
                <i val="0"/>
              </font>
            </x14:dxf>
          </x14:cfRule>
          <xm:sqref>C12:C15</xm:sqref>
        </x14:conditionalFormatting>
        <x14:conditionalFormatting xmlns:xm="http://schemas.microsoft.com/office/excel/2006/main">
          <x14:cfRule type="expression" priority="5881" id="{D834317A-A19C-49B1-AFDE-54D9B1421970}">
            <xm:f>'TC1'!#REF!="HANGUP"</xm:f>
            <x14:dxf>
              <font>
                <b/>
                <i val="0"/>
              </font>
            </x14:dxf>
          </x14:cfRule>
          <xm:sqref>C9:C11</xm:sqref>
        </x14:conditionalFormatting>
        <x14:conditionalFormatting xmlns:xm="http://schemas.microsoft.com/office/excel/2006/main">
          <x14:cfRule type="expression" priority="8073" id="{D834317A-A19C-49B1-AFDE-54D9B1421970}">
            <xm:f>'TC1'!$B15="HANGUP"</xm:f>
            <x14:dxf>
              <font>
                <b/>
                <i val="0"/>
              </font>
            </x14:dxf>
          </x14:cfRule>
          <xm:sqref>C16</xm:sqref>
        </x14:conditionalFormatting>
      </x14:conditionalFormattings>
    </ext>
  </extLst>
</worksheet>
</file>

<file path=xl/worksheets/sheet1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C00-000000000000}">
  <sheetPr codeName="Sheet158"/>
  <dimension ref="A1:E44"/>
  <sheetViews>
    <sheetView zoomScaleNormal="100" workbookViewId="0">
      <selection sqref="A1:E44"/>
    </sheetView>
  </sheetViews>
  <sheetFormatPr defaultRowHeight="14.5" x14ac:dyDescent="0.35"/>
  <cols>
    <col min="1" max="1" width="14.453125" bestFit="1" customWidth="1"/>
    <col min="2" max="2" width="42.6328125" customWidth="1"/>
    <col min="3" max="3" width="106.1796875" customWidth="1"/>
    <col min="4" max="4" width="21.81640625" bestFit="1" customWidth="1"/>
    <col min="5" max="5" width="20.6328125" customWidth="1"/>
  </cols>
  <sheetData>
    <row r="1" spans="1:5" ht="18.5" x14ac:dyDescent="0.35">
      <c r="A1" s="192" t="s">
        <v>4</v>
      </c>
      <c r="B1" s="192"/>
      <c r="C1" s="105"/>
      <c r="D1" s="111"/>
      <c r="E1" s="97"/>
    </row>
    <row r="2" spans="1:5" x14ac:dyDescent="0.35">
      <c r="A2" s="106" t="s">
        <v>5</v>
      </c>
      <c r="B2" s="107" t="str">
        <f ca="1">MID(CELL("filename",A1),FIND("]",CELL("filename",A1))+1,LEN(CELL("filename",A1))-FIND("]",CELL("filename",A1)))</f>
        <v>TC156</v>
      </c>
      <c r="C2" s="98"/>
      <c r="D2" s="111"/>
      <c r="E2" s="97"/>
    </row>
    <row r="3" spans="1:5" x14ac:dyDescent="0.35">
      <c r="A3" s="104" t="s">
        <v>19</v>
      </c>
      <c r="B3" s="112" t="e">
        <f ca="1">VLOOKUP(B2,Table53[#All],2,FALSE)</f>
        <v>#N/A</v>
      </c>
      <c r="C3" s="98"/>
      <c r="D3" s="111"/>
      <c r="E3" s="97"/>
    </row>
    <row r="4" spans="1:5" ht="29" x14ac:dyDescent="0.35">
      <c r="A4" s="113" t="s">
        <v>20</v>
      </c>
      <c r="B4" s="99" t="e">
        <f ca="1">VLOOKUP(B2,Table53[#All],4,FALSE)</f>
        <v>#N/A</v>
      </c>
      <c r="C4" s="98"/>
      <c r="D4" s="111"/>
      <c r="E4" s="97"/>
    </row>
    <row r="5" spans="1:5" x14ac:dyDescent="0.35">
      <c r="A5" s="104" t="s">
        <v>6</v>
      </c>
      <c r="B5" s="77" t="e">
        <f ca="1">VLOOKUP(B2,Table53[#All],3,FALSE)</f>
        <v>#N/A</v>
      </c>
      <c r="C5" s="98"/>
      <c r="D5" s="111"/>
      <c r="E5" s="97"/>
    </row>
    <row r="6" spans="1:5" x14ac:dyDescent="0.35">
      <c r="A6" s="97"/>
      <c r="B6" s="97"/>
      <c r="C6" s="98"/>
      <c r="D6" s="111"/>
      <c r="E6" s="97"/>
    </row>
    <row r="7" spans="1:5" ht="15.5" x14ac:dyDescent="0.35">
      <c r="A7" s="100" t="s">
        <v>7</v>
      </c>
      <c r="B7" s="101" t="s">
        <v>8</v>
      </c>
      <c r="C7" s="102" t="s">
        <v>9</v>
      </c>
      <c r="D7" s="102" t="s">
        <v>14</v>
      </c>
      <c r="E7" s="103" t="s">
        <v>10</v>
      </c>
    </row>
    <row r="8" spans="1:5" x14ac:dyDescent="0.35">
      <c r="A8" s="118">
        <v>1</v>
      </c>
      <c r="B8" s="114" t="s">
        <v>114</v>
      </c>
      <c r="C8" s="109" t="s">
        <v>125</v>
      </c>
      <c r="D8" s="128"/>
      <c r="E8" s="125" t="s">
        <v>11</v>
      </c>
    </row>
    <row r="9" spans="1:5" x14ac:dyDescent="0.35">
      <c r="A9" s="118">
        <v>2</v>
      </c>
      <c r="B9" s="114" t="s">
        <v>12</v>
      </c>
      <c r="C9" s="109" t="e">
        <f>VLOOKUP(Table257519913140106110151155170178204221[[#This Row],[PEG]],Table1016[#All],2,FALSE)</f>
        <v>#N/A</v>
      </c>
      <c r="D9" s="128"/>
      <c r="E9" s="125" t="e">
        <f>VLOOKUP(Table257519913140106110151155170178204221[[#This Row],[PEG]],Table1016[#All],3,FALSE)</f>
        <v>#N/A</v>
      </c>
    </row>
    <row r="10" spans="1:5" x14ac:dyDescent="0.35">
      <c r="A10" s="118">
        <v>3</v>
      </c>
      <c r="B10" s="114" t="s">
        <v>115</v>
      </c>
      <c r="C10" s="109" t="e">
        <f>VLOOKUP(Table257519913140106110151155170178204221[[#This Row],[PEG]],Table1016[#All],2,FALSE)</f>
        <v>#N/A</v>
      </c>
      <c r="D10" s="128"/>
      <c r="E10" s="125" t="e">
        <f>VLOOKUP(Table257519913140106110151155170178204221[[#This Row],[PEG]],Table1016[#All],3,FALSE)</f>
        <v>#N/A</v>
      </c>
    </row>
    <row r="11" spans="1:5" x14ac:dyDescent="0.35">
      <c r="A11" s="118">
        <v>4</v>
      </c>
      <c r="B11" s="114" t="s">
        <v>115</v>
      </c>
      <c r="C11" s="109" t="e">
        <f>VLOOKUP(Table257519913140106110151155170178204221[[#This Row],[PEG]],Table1016[#All],2,FALSE)</f>
        <v>#N/A</v>
      </c>
      <c r="D11" s="128"/>
      <c r="E11" s="125" t="e">
        <f>VLOOKUP(Table257519913140106110151155170178204221[[#This Row],[PEG]],Table1016[#All],3,FALSE)</f>
        <v>#N/A</v>
      </c>
    </row>
    <row r="12" spans="1:5" x14ac:dyDescent="0.35">
      <c r="A12" s="118">
        <v>5</v>
      </c>
      <c r="B12" s="114" t="s">
        <v>114</v>
      </c>
      <c r="C12" s="109" t="e">
        <f>VLOOKUP(Table257519913140106110151155170178204221[[#This Row],[PEG]],Table1016[#All],2,FALSE)</f>
        <v>#N/A</v>
      </c>
      <c r="D12" s="128"/>
      <c r="E12" s="125" t="e">
        <f>VLOOKUP(Table257519913140106110151155170178204221[[#This Row],[PEG]],Table1016[#All],3,FALSE)</f>
        <v>#N/A</v>
      </c>
    </row>
    <row r="13" spans="1:5" x14ac:dyDescent="0.35">
      <c r="A13" s="118">
        <v>6</v>
      </c>
      <c r="B13" s="114" t="s">
        <v>115</v>
      </c>
      <c r="C13" s="109" t="e">
        <f>VLOOKUP(Table257519913140106110151155170178204221[[#This Row],[PEG]],Table1016[#All],2,FALSE)</f>
        <v>#N/A</v>
      </c>
      <c r="D13" s="128"/>
      <c r="E13" s="125" t="e">
        <f>VLOOKUP(Table257519913140106110151155170178204221[[#This Row],[PEG]],Table1016[#All],3,FALSE)</f>
        <v>#N/A</v>
      </c>
    </row>
    <row r="14" spans="1:5" x14ac:dyDescent="0.35">
      <c r="A14" s="118">
        <v>7</v>
      </c>
      <c r="B14" s="114" t="s">
        <v>114</v>
      </c>
      <c r="C14" s="109" t="e">
        <f>VLOOKUP(Table257519913140106110151155170178204221[[#This Row],[PEG]],Table1016[#All],2,FALSE)</f>
        <v>#N/A</v>
      </c>
      <c r="D14" s="128"/>
      <c r="E14" s="125" t="e">
        <f>VLOOKUP(Table257519913140106110151155170178204221[[#This Row],[PEG]],Table1016[#All],3,FALSE)</f>
        <v>#N/A</v>
      </c>
    </row>
    <row r="15" spans="1:5" x14ac:dyDescent="0.35">
      <c r="A15" s="118">
        <v>8</v>
      </c>
      <c r="B15" s="114" t="s">
        <v>115</v>
      </c>
      <c r="C15" s="109" t="e">
        <f>VLOOKUP(Table257519913140106110151155170178204221[[#This Row],[PEG]],Table1016[#All],2,FALSE)</f>
        <v>#N/A</v>
      </c>
      <c r="D15" s="116"/>
      <c r="E15" s="125" t="e">
        <f>VLOOKUP(Table257519913140106110151155170178204221[[#This Row],[PEG]],Table1016[#All],3,FALSE)</f>
        <v>#N/A</v>
      </c>
    </row>
    <row r="16" spans="1:5" x14ac:dyDescent="0.35">
      <c r="A16" s="118">
        <v>9</v>
      </c>
      <c r="B16" s="114" t="s">
        <v>12</v>
      </c>
      <c r="C16" s="109" t="e">
        <f>VLOOKUP(Table257519913140106110151155170178204221[[#This Row],[PEG]],Table1016[#All],2,FALSE)</f>
        <v>#N/A</v>
      </c>
      <c r="D16" s="116"/>
      <c r="E16" s="125" t="e">
        <f>VLOOKUP(Table257519913140106110151155170178204221[[#This Row],[PEG]],Table1016[#All],3,FALSE)</f>
        <v>#N/A</v>
      </c>
    </row>
    <row r="17" spans="1:5" x14ac:dyDescent="0.35">
      <c r="A17" s="118">
        <v>10</v>
      </c>
      <c r="B17" s="114" t="s">
        <v>12</v>
      </c>
      <c r="C17" s="109" t="e">
        <f>VLOOKUP(Table257519913140106110151155170178204221[[#This Row],[PEG]],Table1016[#All],2,FALSE)</f>
        <v>#N/A</v>
      </c>
      <c r="D17" s="117"/>
      <c r="E17" s="125" t="e">
        <f>VLOOKUP(Table257519913140106110151155170178204221[[#This Row],[PEG]],Table1016[#All],3,FALSE)</f>
        <v>#N/A</v>
      </c>
    </row>
    <row r="18" spans="1:5" x14ac:dyDescent="0.35">
      <c r="A18" s="118">
        <v>11</v>
      </c>
      <c r="B18" s="114" t="s">
        <v>115</v>
      </c>
      <c r="C18" s="109" t="e">
        <f>VLOOKUP(Table257519913140106110151155170178204221[[#This Row],[PEG]],Table1016[#All],2,FALSE)</f>
        <v>#N/A</v>
      </c>
      <c r="D18" s="117"/>
      <c r="E18" s="125" t="e">
        <f>VLOOKUP(Table257519913140106110151155170178204221[[#This Row],[PEG]],Table1016[#All],3,FALSE)</f>
        <v>#N/A</v>
      </c>
    </row>
    <row r="19" spans="1:5" x14ac:dyDescent="0.35">
      <c r="A19" s="118">
        <v>12</v>
      </c>
      <c r="B19" s="114" t="s">
        <v>115</v>
      </c>
      <c r="C19" s="109" t="e">
        <f>VLOOKUP(Table257519913140106110151155170178204221[[#This Row],[PEG]],Table1016[#All],2,FALSE)</f>
        <v>#N/A</v>
      </c>
      <c r="D19" s="117"/>
      <c r="E19" s="125" t="e">
        <f>VLOOKUP(Table257519913140106110151155170178204221[[#This Row],[PEG]],Table1016[#All],3,FALSE)</f>
        <v>#N/A</v>
      </c>
    </row>
    <row r="20" spans="1:5" x14ac:dyDescent="0.35">
      <c r="A20" s="118">
        <v>13</v>
      </c>
      <c r="B20" s="114" t="s">
        <v>114</v>
      </c>
      <c r="C20" s="109" t="e">
        <f>VLOOKUP(Table257519913140106110151155170178204221[[#This Row],[PEG]],Table1016[#All],2,FALSE)</f>
        <v>#N/A</v>
      </c>
      <c r="D20" s="117"/>
      <c r="E20" s="125" t="e">
        <f>VLOOKUP(Table257519913140106110151155170178204221[[#This Row],[PEG]],Table1016[#All],3,FALSE)</f>
        <v>#N/A</v>
      </c>
    </row>
    <row r="21" spans="1:5" x14ac:dyDescent="0.35">
      <c r="A21" s="118">
        <v>14</v>
      </c>
      <c r="B21" s="114" t="s">
        <v>12</v>
      </c>
      <c r="C21" s="109" t="e">
        <f>VLOOKUP(Table257519913140106110151155170178204221[[#This Row],[PEG]],Table1016[#All],2,FALSE)</f>
        <v>#N/A</v>
      </c>
      <c r="D21" s="117"/>
      <c r="E21" s="125" t="e">
        <f>VLOOKUP(Table257519913140106110151155170178204221[[#This Row],[PEG]],Table1016[#All],3,FALSE)</f>
        <v>#N/A</v>
      </c>
    </row>
    <row r="22" spans="1:5" x14ac:dyDescent="0.35">
      <c r="A22" s="118">
        <v>15</v>
      </c>
      <c r="B22" s="114" t="s">
        <v>12</v>
      </c>
      <c r="C22" s="109" t="e">
        <f>VLOOKUP(Table257519913140106110151155170178204221[[#This Row],[PEG]],Table1016[#All],2,FALSE)</f>
        <v>#N/A</v>
      </c>
      <c r="D22" s="117"/>
      <c r="E22" s="125" t="e">
        <f>VLOOKUP(Table257519913140106110151155170178204221[[#This Row],[PEG]],Table1016[#All],3,FALSE)</f>
        <v>#N/A</v>
      </c>
    </row>
    <row r="23" spans="1:5" x14ac:dyDescent="0.35">
      <c r="A23" s="118">
        <v>16</v>
      </c>
      <c r="B23" s="114" t="s">
        <v>115</v>
      </c>
      <c r="C23" s="109" t="e">
        <f>VLOOKUP(Table257519913140106110151155170178204221[[#This Row],[PEG]],Table1016[#All],2,FALSE)</f>
        <v>#N/A</v>
      </c>
      <c r="D23" s="117"/>
      <c r="E23" s="125" t="e">
        <f>VLOOKUP(Table257519913140106110151155170178204221[[#This Row],[PEG]],Table1016[#All],3,FALSE)</f>
        <v>#N/A</v>
      </c>
    </row>
    <row r="24" spans="1:5" x14ac:dyDescent="0.35">
      <c r="A24" s="118">
        <v>17</v>
      </c>
      <c r="B24" s="114" t="s">
        <v>114</v>
      </c>
      <c r="C24" s="109" t="e">
        <f>VLOOKUP(Table257519913140106110151155170178204221[[#This Row],[PEG]],Table1016[#All],2,FALSE)</f>
        <v>#N/A</v>
      </c>
      <c r="D24" s="117"/>
      <c r="E24" s="125" t="e">
        <f>VLOOKUP(Table257519913140106110151155170178204221[[#This Row],[PEG]],Table1016[#All],3,FALSE)</f>
        <v>#N/A</v>
      </c>
    </row>
    <row r="25" spans="1:5" x14ac:dyDescent="0.35">
      <c r="A25" s="118">
        <v>18</v>
      </c>
      <c r="B25" s="114" t="s">
        <v>12</v>
      </c>
      <c r="C25" s="109" t="e">
        <f>VLOOKUP(Table257519913140106110151155170178204221[[#This Row],[PEG]],Table1016[#All],2,FALSE)</f>
        <v>#N/A</v>
      </c>
      <c r="D25" s="117"/>
      <c r="E25" s="125" t="e">
        <f>VLOOKUP(Table257519913140106110151155170178204221[[#This Row],[PEG]],Table1016[#All],3,FALSE)</f>
        <v>#N/A</v>
      </c>
    </row>
    <row r="26" spans="1:5" x14ac:dyDescent="0.35">
      <c r="A26" s="118">
        <v>19</v>
      </c>
      <c r="B26" s="114" t="s">
        <v>12</v>
      </c>
      <c r="C26" s="109" t="e">
        <f>VLOOKUP(Table257519913140106110151155170178204221[[#This Row],[PEG]],Table1016[#All],2,FALSE)</f>
        <v>#N/A</v>
      </c>
      <c r="D26" s="117"/>
      <c r="E26" s="125" t="e">
        <f>VLOOKUP(Table257519913140106110151155170178204221[[#This Row],[PEG]],Table1016[#All],3,FALSE)</f>
        <v>#N/A</v>
      </c>
    </row>
    <row r="27" spans="1:5" x14ac:dyDescent="0.35">
      <c r="A27" s="118">
        <v>20</v>
      </c>
      <c r="B27" s="114" t="s">
        <v>115</v>
      </c>
      <c r="C27" s="109" t="e">
        <f>VLOOKUP(Table257519913140106110151155170178204221[[#This Row],[PEG]],Table1016[#All],2,FALSE)</f>
        <v>#N/A</v>
      </c>
      <c r="D27" s="117"/>
      <c r="E27" s="125" t="e">
        <f>VLOOKUP(Table257519913140106110151155170178204221[[#This Row],[PEG]],Table1016[#All],3,FALSE)</f>
        <v>#N/A</v>
      </c>
    </row>
    <row r="28" spans="1:5" x14ac:dyDescent="0.35">
      <c r="A28" s="118">
        <v>21</v>
      </c>
      <c r="B28" s="114" t="s">
        <v>114</v>
      </c>
      <c r="C28" s="109" t="e">
        <f>VLOOKUP(Table257519913140106110151155170178204221[[#This Row],[PEG]],Table1016[#All],2,FALSE)</f>
        <v>#N/A</v>
      </c>
      <c r="D28" s="117"/>
      <c r="E28" s="125" t="e">
        <f>VLOOKUP(Table257519913140106110151155170178204221[[#This Row],[PEG]],Table1016[#All],3,FALSE)</f>
        <v>#N/A</v>
      </c>
    </row>
    <row r="29" spans="1:5" x14ac:dyDescent="0.35">
      <c r="A29" s="118">
        <v>22</v>
      </c>
      <c r="B29" s="114" t="s">
        <v>12</v>
      </c>
      <c r="C29" s="109" t="e">
        <f>VLOOKUP(Table257519913140106110151155170178204221[[#This Row],[PEG]],Table1016[#All],2,FALSE)</f>
        <v>#N/A</v>
      </c>
      <c r="D29" s="117"/>
      <c r="E29" s="125" t="e">
        <f>VLOOKUP(Table257519913140106110151155170178204221[[#This Row],[PEG]],Table1016[#All],3,FALSE)</f>
        <v>#N/A</v>
      </c>
    </row>
    <row r="30" spans="1:5" x14ac:dyDescent="0.35">
      <c r="A30" s="118">
        <v>23</v>
      </c>
      <c r="B30" s="114" t="s">
        <v>12</v>
      </c>
      <c r="C30" s="109" t="e">
        <f>VLOOKUP(Table257519913140106110151155170178204221[[#This Row],[PEG]],Table1016[#All],2,FALSE)</f>
        <v>#N/A</v>
      </c>
      <c r="D30" s="117"/>
      <c r="E30" s="125" t="e">
        <f>VLOOKUP(Table257519913140106110151155170178204221[[#This Row],[PEG]],Table1016[#All],3,FALSE)</f>
        <v>#N/A</v>
      </c>
    </row>
    <row r="31" spans="1:5" x14ac:dyDescent="0.35">
      <c r="A31" s="118">
        <v>24</v>
      </c>
      <c r="B31" s="114" t="s">
        <v>115</v>
      </c>
      <c r="C31" s="109" t="e">
        <f>VLOOKUP(Table257519913140106110151155170178204221[[#This Row],[PEG]],Table1016[#All],2,FALSE)</f>
        <v>#N/A</v>
      </c>
      <c r="D31" s="117"/>
      <c r="E31" s="125" t="e">
        <f>VLOOKUP(Table257519913140106110151155170178204221[[#This Row],[PEG]],Table1016[#All],3,FALSE)</f>
        <v>#N/A</v>
      </c>
    </row>
    <row r="32" spans="1:5" x14ac:dyDescent="0.35">
      <c r="A32" s="118">
        <v>25</v>
      </c>
      <c r="B32" s="114" t="s">
        <v>115</v>
      </c>
      <c r="C32" s="109" t="e">
        <f>VLOOKUP(Table257519913140106110151155170178204221[[#This Row],[PEG]],Table1016[#All],2,FALSE)</f>
        <v>#N/A</v>
      </c>
      <c r="D32" s="117"/>
      <c r="E32" s="125" t="e">
        <f>VLOOKUP(Table257519913140106110151155170178204221[[#This Row],[PEG]],Table1016[#All],3,FALSE)</f>
        <v>#N/A</v>
      </c>
    </row>
    <row r="33" spans="1:5" x14ac:dyDescent="0.35">
      <c r="A33" s="118">
        <v>26</v>
      </c>
      <c r="B33" s="114" t="s">
        <v>124</v>
      </c>
      <c r="C33" s="109" t="e">
        <f>VLOOKUP(Table257519913140106110151155170178204221[[#This Row],[PEG]],Table1016[#All],2,FALSE)</f>
        <v>#N/A</v>
      </c>
      <c r="D33" s="117"/>
      <c r="E33" s="125" t="e">
        <f>VLOOKUP(Table257519913140106110151155170178204221[[#This Row],[PEG]],Table1016[#All],3,FALSE)</f>
        <v>#N/A</v>
      </c>
    </row>
    <row r="34" spans="1:5" x14ac:dyDescent="0.35">
      <c r="A34" s="118">
        <v>27</v>
      </c>
      <c r="B34" s="114" t="s">
        <v>115</v>
      </c>
      <c r="C34" s="109" t="e">
        <f>VLOOKUP(Table257519913140106110151155170178204221[[#This Row],[PEG]],Table1016[#All],2,FALSE)</f>
        <v>#N/A</v>
      </c>
      <c r="D34" s="117"/>
      <c r="E34" s="125" t="e">
        <f>VLOOKUP(Table257519913140106110151155170178204221[[#This Row],[PEG]],Table1016[#All],3,FALSE)</f>
        <v>#N/A</v>
      </c>
    </row>
    <row r="35" spans="1:5" x14ac:dyDescent="0.35">
      <c r="A35" s="118">
        <v>28</v>
      </c>
      <c r="B35" s="114" t="s">
        <v>124</v>
      </c>
      <c r="C35" s="109" t="e">
        <f>VLOOKUP(Table257519913140106110151155170178204221[[#This Row],[PEG]],Table1016[#All],2,FALSE)</f>
        <v>#N/A</v>
      </c>
      <c r="D35" s="117"/>
      <c r="E35" s="125" t="e">
        <f>VLOOKUP(Table257519913140106110151155170178204221[[#This Row],[PEG]],Table1016[#All],3,FALSE)</f>
        <v>#N/A</v>
      </c>
    </row>
    <row r="36" spans="1:5" x14ac:dyDescent="0.35">
      <c r="A36" s="118">
        <v>29</v>
      </c>
      <c r="B36" s="114" t="s">
        <v>115</v>
      </c>
      <c r="C36" s="109" t="e">
        <f>VLOOKUP(Table257519913140106110151155170178204221[[#This Row],[PEG]],Table1016[#All],2,FALSE)</f>
        <v>#N/A</v>
      </c>
      <c r="D36" s="117"/>
      <c r="E36" s="125" t="e">
        <f>VLOOKUP(Table257519913140106110151155170178204221[[#This Row],[PEG]],Table1016[#All],3,FALSE)</f>
        <v>#N/A</v>
      </c>
    </row>
    <row r="37" spans="1:5" x14ac:dyDescent="0.35">
      <c r="A37" s="118">
        <v>30</v>
      </c>
      <c r="B37" s="114" t="s">
        <v>12</v>
      </c>
      <c r="C37" s="109" t="e">
        <f>VLOOKUP(Table257519913140106110151155170178204221[[#This Row],[PEG]],Table1016[#All],2,FALSE)</f>
        <v>#N/A</v>
      </c>
      <c r="D37" s="117"/>
      <c r="E37" s="125" t="e">
        <f>VLOOKUP(Table257519913140106110151155170178204221[[#This Row],[PEG]],Table1016[#All],3,FALSE)</f>
        <v>#N/A</v>
      </c>
    </row>
    <row r="38" spans="1:5" x14ac:dyDescent="0.35">
      <c r="A38" s="118">
        <v>31</v>
      </c>
      <c r="B38" s="114" t="s">
        <v>12</v>
      </c>
      <c r="C38" s="109" t="e">
        <f>VLOOKUP(Table257519913140106110151155170178204221[[#This Row],[PEG]],Table1016[#All],2,FALSE)</f>
        <v>#N/A</v>
      </c>
      <c r="D38" s="117"/>
      <c r="E38" s="125" t="e">
        <f>VLOOKUP(Table257519913140106110151155170178204221[[#This Row],[PEG]],Table1016[#All],3,FALSE)</f>
        <v>#N/A</v>
      </c>
    </row>
    <row r="39" spans="1:5" x14ac:dyDescent="0.35">
      <c r="A39" s="118">
        <v>32</v>
      </c>
      <c r="B39" s="114" t="s">
        <v>12</v>
      </c>
      <c r="C39" s="109" t="e">
        <f>VLOOKUP(Table257519913140106110151155170178204221[[#This Row],[PEG]],Table1016[#All],2,FALSE)</f>
        <v>#N/A</v>
      </c>
      <c r="D39" s="117"/>
      <c r="E39" s="125" t="e">
        <f>VLOOKUP(Table257519913140106110151155170178204221[[#This Row],[PEG]],Table1016[#All],3,FALSE)</f>
        <v>#N/A</v>
      </c>
    </row>
    <row r="40" spans="1:5" x14ac:dyDescent="0.35">
      <c r="A40" s="118">
        <v>33</v>
      </c>
      <c r="B40" s="114" t="s">
        <v>12</v>
      </c>
      <c r="C40" s="109" t="e">
        <f>VLOOKUP(Table257519913140106110151155170178204221[[#This Row],[PEG]],Table1016[#All],2,FALSE)</f>
        <v>#N/A</v>
      </c>
      <c r="D40" s="117"/>
      <c r="E40" s="125" t="e">
        <f>VLOOKUP(Table257519913140106110151155170178204221[[#This Row],[PEG]],Table1016[#All],3,FALSE)</f>
        <v>#N/A</v>
      </c>
    </row>
    <row r="41" spans="1:5" x14ac:dyDescent="0.35">
      <c r="A41" s="118">
        <v>34</v>
      </c>
      <c r="B41" s="114" t="s">
        <v>115</v>
      </c>
      <c r="C41" s="109" t="e">
        <f>VLOOKUP(Table257519913140106110151155170178204221[[#This Row],[PEG]],Table1016[#All],2,FALSE)</f>
        <v>#N/A</v>
      </c>
      <c r="D41" s="117"/>
      <c r="E41" s="125" t="e">
        <f>VLOOKUP(Table257519913140106110151155170178204221[[#This Row],[PEG]],Table1016[#All],3,FALSE)</f>
        <v>#N/A</v>
      </c>
    </row>
    <row r="42" spans="1:5" x14ac:dyDescent="0.35">
      <c r="A42" s="118">
        <v>35</v>
      </c>
      <c r="B42" s="114" t="s">
        <v>12</v>
      </c>
      <c r="C42" s="109" t="e">
        <f>VLOOKUP(Table257519913140106110151155170178204221[[#This Row],[PEG]],Table1016[#All],2,FALSE)</f>
        <v>#N/A</v>
      </c>
      <c r="D42" s="115"/>
      <c r="E42" s="125" t="e">
        <f>VLOOKUP(Table257519913140106110151155170178204221[[#This Row],[PEG]],Table1016[#All],3,FALSE)</f>
        <v>#N/A</v>
      </c>
    </row>
    <row r="43" spans="1:5" x14ac:dyDescent="0.35">
      <c r="A43" s="118">
        <v>36</v>
      </c>
      <c r="B43" s="114" t="s">
        <v>115</v>
      </c>
      <c r="C43" s="109" t="e">
        <f>VLOOKUP(Table257519913140106110151155170178204221[[#This Row],[PEG]],Table1016[#All],2,FALSE)</f>
        <v>#N/A</v>
      </c>
      <c r="D43" s="115"/>
      <c r="E43" s="125" t="e">
        <f>VLOOKUP(Table257519913140106110151155170178204221[[#This Row],[PEG]],Table1016[#All],3,FALSE)</f>
        <v>#N/A</v>
      </c>
    </row>
    <row r="44" spans="1:5" x14ac:dyDescent="0.35">
      <c r="A44" s="118">
        <v>37</v>
      </c>
      <c r="B44" s="114" t="s">
        <v>13</v>
      </c>
      <c r="C44" s="18" t="s">
        <v>13</v>
      </c>
      <c r="D44" s="115"/>
      <c r="E44" s="32"/>
    </row>
  </sheetData>
  <mergeCells count="1">
    <mergeCell ref="A1:B1"/>
  </mergeCells>
  <conditionalFormatting sqref="B8:B18">
    <cfRule type="containsText" dxfId="747" priority="1" operator="containsText" text="Hear">
      <formula>NOT(ISERROR(SEARCH("Hear",B8)))</formula>
    </cfRule>
  </conditionalFormatting>
  <conditionalFormatting sqref="B30">
    <cfRule type="containsText" dxfId="746" priority="4" operator="containsText" text="Hear">
      <formula>NOT(ISERROR(SEARCH("Hear",B30)))</formula>
    </cfRule>
  </conditionalFormatting>
  <conditionalFormatting sqref="B43:B44">
    <cfRule type="containsText" dxfId="745" priority="8" operator="containsText" text="Hear">
      <formula>NOT(ISERROR(SEARCH("Hear",B43)))</formula>
    </cfRule>
  </conditionalFormatting>
  <conditionalFormatting sqref="E44">
    <cfRule type="containsText" dxfId="744" priority="6" operator="containsText" text="WEB SERVICE">
      <formula>NOT(ISERROR(SEARCH("WEB SERVICE",E44)))</formula>
    </cfRule>
    <cfRule type="containsText" dxfId="743" priority="7" operator="containsText" text="DB">
      <formula>NOT(ISERROR(SEARCH("DB",E44)))</formula>
    </cfRule>
  </conditionalFormatting>
  <conditionalFormatting sqref="C44">
    <cfRule type="expression" dxfId="742" priority="9">
      <formula>$B44="Dial"</formula>
    </cfRule>
  </conditionalFormatting>
  <conditionalFormatting sqref="C44">
    <cfRule type="expression" dxfId="741" priority="3">
      <formula>$B44="Speak"</formula>
    </cfRule>
  </conditionalFormatting>
  <conditionalFormatting sqref="B19:B29 B31:B35 B42">
    <cfRule type="containsText" dxfId="740" priority="5" operator="containsText" text="Hear">
      <formula>NOT(ISERROR(SEARCH("Hear",B19)))</formula>
    </cfRule>
  </conditionalFormatting>
  <hyperlinks>
    <hyperlink ref="A1" location="'Test Case Overview'!A1" display="Return to Test Case Overview" xr:uid="{88CC467D-46A1-4AD9-B0C4-5D3E57BD74FF}"/>
  </hyperlinks>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expression" priority="2" id="{A93B3B0C-3C7D-411F-BD54-F400560E2691}">
            <xm:f>'TC1'!$B8="HANGUP"</xm:f>
            <x14:dxf>
              <font>
                <b/>
                <i val="0"/>
              </font>
            </x14:dxf>
          </x14:cfRule>
          <xm:sqref>C8</xm:sqref>
        </x14:conditionalFormatting>
        <x14:conditionalFormatting xmlns:xm="http://schemas.microsoft.com/office/excel/2006/main">
          <x14:cfRule type="expression" priority="3270" id="{A93B3B0C-3C7D-411F-BD54-F400560E2691}">
            <xm:f>'TC1'!$B16="HANGUP"</xm:f>
            <x14:dxf>
              <font>
                <b/>
                <i val="0"/>
              </font>
            </x14:dxf>
          </x14:cfRule>
          <xm:sqref>C34:C43</xm:sqref>
        </x14:conditionalFormatting>
        <x14:conditionalFormatting xmlns:xm="http://schemas.microsoft.com/office/excel/2006/main">
          <x14:cfRule type="expression" priority="3271" id="{A93B3B0C-3C7D-411F-BD54-F400560E2691}">
            <xm:f>'TC1'!#REF!="HANGUP"</xm:f>
            <x14:dxf>
              <font>
                <b/>
                <i val="0"/>
              </font>
            </x14:dxf>
          </x14:cfRule>
          <xm:sqref>C17:C33</xm:sqref>
        </x14:conditionalFormatting>
        <x14:conditionalFormatting xmlns:xm="http://schemas.microsoft.com/office/excel/2006/main">
          <x14:cfRule type="expression" priority="5884" id="{A93B3B0C-3C7D-411F-BD54-F400560E2691}">
            <xm:f>'TC1'!$B9="HANGUP"</xm:f>
            <x14:dxf>
              <font>
                <b/>
                <i val="0"/>
              </font>
            </x14:dxf>
          </x14:cfRule>
          <xm:sqref>C12:C15</xm:sqref>
        </x14:conditionalFormatting>
        <x14:conditionalFormatting xmlns:xm="http://schemas.microsoft.com/office/excel/2006/main">
          <x14:cfRule type="expression" priority="5885" id="{A93B3B0C-3C7D-411F-BD54-F400560E2691}">
            <xm:f>'TC1'!#REF!="HANGUP"</xm:f>
            <x14:dxf>
              <font>
                <b/>
                <i val="0"/>
              </font>
            </x14:dxf>
          </x14:cfRule>
          <xm:sqref>C9:C11</xm:sqref>
        </x14:conditionalFormatting>
        <x14:conditionalFormatting xmlns:xm="http://schemas.microsoft.com/office/excel/2006/main">
          <x14:cfRule type="expression" priority="8076" id="{A93B3B0C-3C7D-411F-BD54-F400560E2691}">
            <xm:f>'TC1'!$B15="HANGUP"</xm:f>
            <x14:dxf>
              <font>
                <b/>
                <i val="0"/>
              </font>
            </x14:dxf>
          </x14:cfRule>
          <xm:sqref>C16</xm:sqref>
        </x14:conditionalFormatting>
      </x14:conditionalFormattings>
    </ext>
  </extLst>
</worksheet>
</file>

<file path=xl/worksheets/sheet1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D00-000000000000}">
  <sheetPr codeName="Sheet159"/>
  <dimension ref="A1:E44"/>
  <sheetViews>
    <sheetView zoomScaleNormal="100" workbookViewId="0">
      <selection sqref="A1:E44"/>
    </sheetView>
  </sheetViews>
  <sheetFormatPr defaultRowHeight="14.5" x14ac:dyDescent="0.35"/>
  <cols>
    <col min="1" max="1" width="14.453125" bestFit="1" customWidth="1"/>
    <col min="2" max="2" width="42.6328125" customWidth="1"/>
    <col min="3" max="3" width="106.1796875" customWidth="1"/>
    <col min="4" max="4" width="21.81640625" bestFit="1" customWidth="1"/>
    <col min="5" max="5" width="20.6328125" customWidth="1"/>
  </cols>
  <sheetData>
    <row r="1" spans="1:5" ht="18.5" x14ac:dyDescent="0.35">
      <c r="A1" s="192" t="s">
        <v>4</v>
      </c>
      <c r="B1" s="192"/>
      <c r="C1" s="105"/>
      <c r="D1" s="111"/>
      <c r="E1" s="97"/>
    </row>
    <row r="2" spans="1:5" x14ac:dyDescent="0.35">
      <c r="A2" s="106" t="s">
        <v>5</v>
      </c>
      <c r="B2" s="107" t="str">
        <f ca="1">MID(CELL("filename",A1),FIND("]",CELL("filename",A1))+1,LEN(CELL("filename",A1))-FIND("]",CELL("filename",A1)))</f>
        <v>TC157</v>
      </c>
      <c r="C2" s="98"/>
      <c r="D2" s="111"/>
      <c r="E2" s="97"/>
    </row>
    <row r="3" spans="1:5" x14ac:dyDescent="0.35">
      <c r="A3" s="104" t="s">
        <v>19</v>
      </c>
      <c r="B3" s="112" t="e">
        <f ca="1">VLOOKUP(B2,Table53[#All],2,FALSE)</f>
        <v>#N/A</v>
      </c>
      <c r="C3" s="98"/>
      <c r="D3" s="111"/>
      <c r="E3" s="97"/>
    </row>
    <row r="4" spans="1:5" ht="29" x14ac:dyDescent="0.35">
      <c r="A4" s="113" t="s">
        <v>20</v>
      </c>
      <c r="B4" s="99" t="e">
        <f ca="1">VLOOKUP(B2,Table53[#All],4,FALSE)</f>
        <v>#N/A</v>
      </c>
      <c r="C4" s="98"/>
      <c r="D4" s="111"/>
      <c r="E4" s="97"/>
    </row>
    <row r="5" spans="1:5" x14ac:dyDescent="0.35">
      <c r="A5" s="104" t="s">
        <v>6</v>
      </c>
      <c r="B5" s="77" t="e">
        <f ca="1">VLOOKUP(B2,Table53[#All],3,FALSE)</f>
        <v>#N/A</v>
      </c>
      <c r="C5" s="98"/>
      <c r="D5" s="111"/>
      <c r="E5" s="97"/>
    </row>
    <row r="6" spans="1:5" x14ac:dyDescent="0.35">
      <c r="A6" s="97"/>
      <c r="B6" s="97"/>
      <c r="C6" s="98"/>
      <c r="D6" s="111"/>
      <c r="E6" s="97"/>
    </row>
    <row r="7" spans="1:5" ht="15.5" x14ac:dyDescent="0.35">
      <c r="A7" s="100" t="s">
        <v>7</v>
      </c>
      <c r="B7" s="101" t="s">
        <v>8</v>
      </c>
      <c r="C7" s="102" t="s">
        <v>9</v>
      </c>
      <c r="D7" s="102" t="s">
        <v>14</v>
      </c>
      <c r="E7" s="103" t="s">
        <v>10</v>
      </c>
    </row>
    <row r="8" spans="1:5" x14ac:dyDescent="0.35">
      <c r="A8" s="118">
        <v>1</v>
      </c>
      <c r="B8" s="114" t="s">
        <v>114</v>
      </c>
      <c r="C8" s="109" t="s">
        <v>125</v>
      </c>
      <c r="D8" s="128"/>
      <c r="E8" s="125" t="s">
        <v>11</v>
      </c>
    </row>
    <row r="9" spans="1:5" x14ac:dyDescent="0.35">
      <c r="A9" s="118">
        <v>2</v>
      </c>
      <c r="B9" s="114" t="s">
        <v>12</v>
      </c>
      <c r="C9" s="109" t="e">
        <f>VLOOKUP(Table257519913140106110151155170178204223[[#This Row],[PEG]],Table1016[#All],2,FALSE)</f>
        <v>#N/A</v>
      </c>
      <c r="D9" s="128"/>
      <c r="E9" s="125" t="e">
        <f>VLOOKUP(Table257519913140106110151155170178204223[[#This Row],[PEG]],Table1016[#All],3,FALSE)</f>
        <v>#N/A</v>
      </c>
    </row>
    <row r="10" spans="1:5" x14ac:dyDescent="0.35">
      <c r="A10" s="118">
        <v>3</v>
      </c>
      <c r="B10" s="114" t="s">
        <v>115</v>
      </c>
      <c r="C10" s="109" t="e">
        <f>VLOOKUP(Table257519913140106110151155170178204223[[#This Row],[PEG]],Table1016[#All],2,FALSE)</f>
        <v>#N/A</v>
      </c>
      <c r="D10" s="128"/>
      <c r="E10" s="125" t="e">
        <f>VLOOKUP(Table257519913140106110151155170178204223[[#This Row],[PEG]],Table1016[#All],3,FALSE)</f>
        <v>#N/A</v>
      </c>
    </row>
    <row r="11" spans="1:5" x14ac:dyDescent="0.35">
      <c r="A11" s="118">
        <v>4</v>
      </c>
      <c r="B11" s="114" t="s">
        <v>115</v>
      </c>
      <c r="C11" s="109" t="e">
        <f>VLOOKUP(Table257519913140106110151155170178204223[[#This Row],[PEG]],Table1016[#All],2,FALSE)</f>
        <v>#N/A</v>
      </c>
      <c r="D11" s="128"/>
      <c r="E11" s="125" t="e">
        <f>VLOOKUP(Table257519913140106110151155170178204223[[#This Row],[PEG]],Table1016[#All],3,FALSE)</f>
        <v>#N/A</v>
      </c>
    </row>
    <row r="12" spans="1:5" x14ac:dyDescent="0.35">
      <c r="A12" s="118">
        <v>5</v>
      </c>
      <c r="B12" s="114" t="s">
        <v>114</v>
      </c>
      <c r="C12" s="109" t="e">
        <f>VLOOKUP(Table257519913140106110151155170178204223[[#This Row],[PEG]],Table1016[#All],2,FALSE)</f>
        <v>#N/A</v>
      </c>
      <c r="D12" s="128"/>
      <c r="E12" s="125" t="e">
        <f>VLOOKUP(Table257519913140106110151155170178204223[[#This Row],[PEG]],Table1016[#All],3,FALSE)</f>
        <v>#N/A</v>
      </c>
    </row>
    <row r="13" spans="1:5" x14ac:dyDescent="0.35">
      <c r="A13" s="118">
        <v>6</v>
      </c>
      <c r="B13" s="114" t="s">
        <v>115</v>
      </c>
      <c r="C13" s="109" t="e">
        <f>VLOOKUP(Table257519913140106110151155170178204223[[#This Row],[PEG]],Table1016[#All],2,FALSE)</f>
        <v>#N/A</v>
      </c>
      <c r="D13" s="128"/>
      <c r="E13" s="125" t="e">
        <f>VLOOKUP(Table257519913140106110151155170178204223[[#This Row],[PEG]],Table1016[#All],3,FALSE)</f>
        <v>#N/A</v>
      </c>
    </row>
    <row r="14" spans="1:5" x14ac:dyDescent="0.35">
      <c r="A14" s="118">
        <v>7</v>
      </c>
      <c r="B14" s="114" t="s">
        <v>114</v>
      </c>
      <c r="C14" s="109" t="e">
        <f>VLOOKUP(Table257519913140106110151155170178204223[[#This Row],[PEG]],Table1016[#All],2,FALSE)</f>
        <v>#N/A</v>
      </c>
      <c r="D14" s="128"/>
      <c r="E14" s="125" t="e">
        <f>VLOOKUP(Table257519913140106110151155170178204223[[#This Row],[PEG]],Table1016[#All],3,FALSE)</f>
        <v>#N/A</v>
      </c>
    </row>
    <row r="15" spans="1:5" x14ac:dyDescent="0.35">
      <c r="A15" s="118">
        <v>8</v>
      </c>
      <c r="B15" s="114" t="s">
        <v>115</v>
      </c>
      <c r="C15" s="109" t="e">
        <f>VLOOKUP(Table257519913140106110151155170178204223[[#This Row],[PEG]],Table1016[#All],2,FALSE)</f>
        <v>#N/A</v>
      </c>
      <c r="D15" s="116"/>
      <c r="E15" s="125" t="e">
        <f>VLOOKUP(Table257519913140106110151155170178204223[[#This Row],[PEG]],Table1016[#All],3,FALSE)</f>
        <v>#N/A</v>
      </c>
    </row>
    <row r="16" spans="1:5" x14ac:dyDescent="0.35">
      <c r="A16" s="118">
        <v>9</v>
      </c>
      <c r="B16" s="114" t="s">
        <v>12</v>
      </c>
      <c r="C16" s="109" t="e">
        <f>VLOOKUP(Table257519913140106110151155170178204223[[#This Row],[PEG]],Table1016[#All],2,FALSE)</f>
        <v>#N/A</v>
      </c>
      <c r="D16" s="116"/>
      <c r="E16" s="125" t="e">
        <f>VLOOKUP(Table257519913140106110151155170178204223[[#This Row],[PEG]],Table1016[#All],3,FALSE)</f>
        <v>#N/A</v>
      </c>
    </row>
    <row r="17" spans="1:5" x14ac:dyDescent="0.35">
      <c r="A17" s="118">
        <v>10</v>
      </c>
      <c r="B17" s="114" t="s">
        <v>12</v>
      </c>
      <c r="C17" s="109" t="e">
        <f>VLOOKUP(Table257519913140106110151155170178204223[[#This Row],[PEG]],Table1016[#All],2,FALSE)</f>
        <v>#N/A</v>
      </c>
      <c r="D17" s="117"/>
      <c r="E17" s="125" t="e">
        <f>VLOOKUP(Table257519913140106110151155170178204223[[#This Row],[PEG]],Table1016[#All],3,FALSE)</f>
        <v>#N/A</v>
      </c>
    </row>
    <row r="18" spans="1:5" x14ac:dyDescent="0.35">
      <c r="A18" s="118">
        <v>11</v>
      </c>
      <c r="B18" s="114" t="s">
        <v>115</v>
      </c>
      <c r="C18" s="109" t="e">
        <f>VLOOKUP(Table257519913140106110151155170178204223[[#This Row],[PEG]],Table1016[#All],2,FALSE)</f>
        <v>#N/A</v>
      </c>
      <c r="D18" s="117"/>
      <c r="E18" s="125" t="e">
        <f>VLOOKUP(Table257519913140106110151155170178204223[[#This Row],[PEG]],Table1016[#All],3,FALSE)</f>
        <v>#N/A</v>
      </c>
    </row>
    <row r="19" spans="1:5" x14ac:dyDescent="0.35">
      <c r="A19" s="118">
        <v>12</v>
      </c>
      <c r="B19" s="114" t="s">
        <v>115</v>
      </c>
      <c r="C19" s="109" t="e">
        <f>VLOOKUP(Table257519913140106110151155170178204223[[#This Row],[PEG]],Table1016[#All],2,FALSE)</f>
        <v>#N/A</v>
      </c>
      <c r="D19" s="117"/>
      <c r="E19" s="125" t="e">
        <f>VLOOKUP(Table257519913140106110151155170178204223[[#This Row],[PEG]],Table1016[#All],3,FALSE)</f>
        <v>#N/A</v>
      </c>
    </row>
    <row r="20" spans="1:5" x14ac:dyDescent="0.35">
      <c r="A20" s="118">
        <v>13</v>
      </c>
      <c r="B20" s="114" t="s">
        <v>114</v>
      </c>
      <c r="C20" s="109" t="e">
        <f>VLOOKUP(Table257519913140106110151155170178204223[[#This Row],[PEG]],Table1016[#All],2,FALSE)</f>
        <v>#N/A</v>
      </c>
      <c r="D20" s="117"/>
      <c r="E20" s="125" t="e">
        <f>VLOOKUP(Table257519913140106110151155170178204223[[#This Row],[PEG]],Table1016[#All],3,FALSE)</f>
        <v>#N/A</v>
      </c>
    </row>
    <row r="21" spans="1:5" x14ac:dyDescent="0.35">
      <c r="A21" s="118">
        <v>14</v>
      </c>
      <c r="B21" s="114" t="s">
        <v>12</v>
      </c>
      <c r="C21" s="109" t="e">
        <f>VLOOKUP(Table257519913140106110151155170178204223[[#This Row],[PEG]],Table1016[#All],2,FALSE)</f>
        <v>#N/A</v>
      </c>
      <c r="D21" s="117"/>
      <c r="E21" s="125" t="e">
        <f>VLOOKUP(Table257519913140106110151155170178204223[[#This Row],[PEG]],Table1016[#All],3,FALSE)</f>
        <v>#N/A</v>
      </c>
    </row>
    <row r="22" spans="1:5" x14ac:dyDescent="0.35">
      <c r="A22" s="118">
        <v>15</v>
      </c>
      <c r="B22" s="114" t="s">
        <v>12</v>
      </c>
      <c r="C22" s="109" t="e">
        <f>VLOOKUP(Table257519913140106110151155170178204223[[#This Row],[PEG]],Table1016[#All],2,FALSE)</f>
        <v>#N/A</v>
      </c>
      <c r="D22" s="117"/>
      <c r="E22" s="125" t="e">
        <f>VLOOKUP(Table257519913140106110151155170178204223[[#This Row],[PEG]],Table1016[#All],3,FALSE)</f>
        <v>#N/A</v>
      </c>
    </row>
    <row r="23" spans="1:5" x14ac:dyDescent="0.35">
      <c r="A23" s="118">
        <v>16</v>
      </c>
      <c r="B23" s="114" t="s">
        <v>115</v>
      </c>
      <c r="C23" s="109" t="e">
        <f>VLOOKUP(Table257519913140106110151155170178204223[[#This Row],[PEG]],Table1016[#All],2,FALSE)</f>
        <v>#N/A</v>
      </c>
      <c r="D23" s="117"/>
      <c r="E23" s="125" t="e">
        <f>VLOOKUP(Table257519913140106110151155170178204223[[#This Row],[PEG]],Table1016[#All],3,FALSE)</f>
        <v>#N/A</v>
      </c>
    </row>
    <row r="24" spans="1:5" x14ac:dyDescent="0.35">
      <c r="A24" s="118">
        <v>17</v>
      </c>
      <c r="B24" s="114" t="s">
        <v>114</v>
      </c>
      <c r="C24" s="109" t="e">
        <f>VLOOKUP(Table257519913140106110151155170178204223[[#This Row],[PEG]],Table1016[#All],2,FALSE)</f>
        <v>#N/A</v>
      </c>
      <c r="D24" s="117"/>
      <c r="E24" s="125" t="e">
        <f>VLOOKUP(Table257519913140106110151155170178204223[[#This Row],[PEG]],Table1016[#All],3,FALSE)</f>
        <v>#N/A</v>
      </c>
    </row>
    <row r="25" spans="1:5" x14ac:dyDescent="0.35">
      <c r="A25" s="118">
        <v>18</v>
      </c>
      <c r="B25" s="114" t="s">
        <v>12</v>
      </c>
      <c r="C25" s="109" t="e">
        <f>VLOOKUP(Table257519913140106110151155170178204223[[#This Row],[PEG]],Table1016[#All],2,FALSE)</f>
        <v>#N/A</v>
      </c>
      <c r="D25" s="117"/>
      <c r="E25" s="125" t="e">
        <f>VLOOKUP(Table257519913140106110151155170178204223[[#This Row],[PEG]],Table1016[#All],3,FALSE)</f>
        <v>#N/A</v>
      </c>
    </row>
    <row r="26" spans="1:5" x14ac:dyDescent="0.35">
      <c r="A26" s="118">
        <v>19</v>
      </c>
      <c r="B26" s="114" t="s">
        <v>12</v>
      </c>
      <c r="C26" s="109" t="e">
        <f>VLOOKUP(Table257519913140106110151155170178204223[[#This Row],[PEG]],Table1016[#All],2,FALSE)</f>
        <v>#N/A</v>
      </c>
      <c r="D26" s="117"/>
      <c r="E26" s="125" t="e">
        <f>VLOOKUP(Table257519913140106110151155170178204223[[#This Row],[PEG]],Table1016[#All],3,FALSE)</f>
        <v>#N/A</v>
      </c>
    </row>
    <row r="27" spans="1:5" x14ac:dyDescent="0.35">
      <c r="A27" s="118">
        <v>20</v>
      </c>
      <c r="B27" s="114" t="s">
        <v>115</v>
      </c>
      <c r="C27" s="109" t="e">
        <f>VLOOKUP(Table257519913140106110151155170178204223[[#This Row],[PEG]],Table1016[#All],2,FALSE)</f>
        <v>#N/A</v>
      </c>
      <c r="D27" s="117"/>
      <c r="E27" s="125" t="e">
        <f>VLOOKUP(Table257519913140106110151155170178204223[[#This Row],[PEG]],Table1016[#All],3,FALSE)</f>
        <v>#N/A</v>
      </c>
    </row>
    <row r="28" spans="1:5" x14ac:dyDescent="0.35">
      <c r="A28" s="118">
        <v>21</v>
      </c>
      <c r="B28" s="114" t="s">
        <v>114</v>
      </c>
      <c r="C28" s="109" t="e">
        <f>VLOOKUP(Table257519913140106110151155170178204223[[#This Row],[PEG]],Table1016[#All],2,FALSE)</f>
        <v>#N/A</v>
      </c>
      <c r="D28" s="117"/>
      <c r="E28" s="125" t="e">
        <f>VLOOKUP(Table257519913140106110151155170178204223[[#This Row],[PEG]],Table1016[#All],3,FALSE)</f>
        <v>#N/A</v>
      </c>
    </row>
    <row r="29" spans="1:5" x14ac:dyDescent="0.35">
      <c r="A29" s="118">
        <v>22</v>
      </c>
      <c r="B29" s="114" t="s">
        <v>12</v>
      </c>
      <c r="C29" s="109" t="e">
        <f>VLOOKUP(Table257519913140106110151155170178204223[[#This Row],[PEG]],Table1016[#All],2,FALSE)</f>
        <v>#N/A</v>
      </c>
      <c r="D29" s="117"/>
      <c r="E29" s="125" t="e">
        <f>VLOOKUP(Table257519913140106110151155170178204223[[#This Row],[PEG]],Table1016[#All],3,FALSE)</f>
        <v>#N/A</v>
      </c>
    </row>
    <row r="30" spans="1:5" x14ac:dyDescent="0.35">
      <c r="A30" s="118">
        <v>23</v>
      </c>
      <c r="B30" s="114" t="s">
        <v>12</v>
      </c>
      <c r="C30" s="109" t="e">
        <f>VLOOKUP(Table257519913140106110151155170178204223[[#This Row],[PEG]],Table1016[#All],2,FALSE)</f>
        <v>#N/A</v>
      </c>
      <c r="D30" s="117"/>
      <c r="E30" s="125" t="e">
        <f>VLOOKUP(Table257519913140106110151155170178204223[[#This Row],[PEG]],Table1016[#All],3,FALSE)</f>
        <v>#N/A</v>
      </c>
    </row>
    <row r="31" spans="1:5" x14ac:dyDescent="0.35">
      <c r="A31" s="118">
        <v>24</v>
      </c>
      <c r="B31" s="114" t="s">
        <v>115</v>
      </c>
      <c r="C31" s="109" t="e">
        <f>VLOOKUP(Table257519913140106110151155170178204223[[#This Row],[PEG]],Table1016[#All],2,FALSE)</f>
        <v>#N/A</v>
      </c>
      <c r="D31" s="117"/>
      <c r="E31" s="125" t="e">
        <f>VLOOKUP(Table257519913140106110151155170178204223[[#This Row],[PEG]],Table1016[#All],3,FALSE)</f>
        <v>#N/A</v>
      </c>
    </row>
    <row r="32" spans="1:5" x14ac:dyDescent="0.35">
      <c r="A32" s="118">
        <v>25</v>
      </c>
      <c r="B32" s="114" t="s">
        <v>115</v>
      </c>
      <c r="C32" s="109" t="e">
        <f>VLOOKUP(Table257519913140106110151155170178204223[[#This Row],[PEG]],Table1016[#All],2,FALSE)</f>
        <v>#N/A</v>
      </c>
      <c r="D32" s="117"/>
      <c r="E32" s="125" t="e">
        <f>VLOOKUP(Table257519913140106110151155170178204223[[#This Row],[PEG]],Table1016[#All],3,FALSE)</f>
        <v>#N/A</v>
      </c>
    </row>
    <row r="33" spans="1:5" x14ac:dyDescent="0.35">
      <c r="A33" s="118">
        <v>26</v>
      </c>
      <c r="B33" s="114" t="s">
        <v>124</v>
      </c>
      <c r="C33" s="109" t="e">
        <f>VLOOKUP(Table257519913140106110151155170178204223[[#This Row],[PEG]],Table1016[#All],2,FALSE)</f>
        <v>#N/A</v>
      </c>
      <c r="D33" s="117"/>
      <c r="E33" s="125" t="e">
        <f>VLOOKUP(Table257519913140106110151155170178204223[[#This Row],[PEG]],Table1016[#All],3,FALSE)</f>
        <v>#N/A</v>
      </c>
    </row>
    <row r="34" spans="1:5" x14ac:dyDescent="0.35">
      <c r="A34" s="118">
        <v>27</v>
      </c>
      <c r="B34" s="114" t="s">
        <v>115</v>
      </c>
      <c r="C34" s="109" t="e">
        <f>VLOOKUP(Table257519913140106110151155170178204223[[#This Row],[PEG]],Table1016[#All],2,FALSE)</f>
        <v>#N/A</v>
      </c>
      <c r="D34" s="117"/>
      <c r="E34" s="125" t="e">
        <f>VLOOKUP(Table257519913140106110151155170178204223[[#This Row],[PEG]],Table1016[#All],3,FALSE)</f>
        <v>#N/A</v>
      </c>
    </row>
    <row r="35" spans="1:5" x14ac:dyDescent="0.35">
      <c r="A35" s="118">
        <v>28</v>
      </c>
      <c r="B35" s="114" t="s">
        <v>124</v>
      </c>
      <c r="C35" s="109" t="e">
        <f>VLOOKUP(Table257519913140106110151155170178204223[[#This Row],[PEG]],Table1016[#All],2,FALSE)</f>
        <v>#N/A</v>
      </c>
      <c r="D35" s="117"/>
      <c r="E35" s="125" t="e">
        <f>VLOOKUP(Table257519913140106110151155170178204223[[#This Row],[PEG]],Table1016[#All],3,FALSE)</f>
        <v>#N/A</v>
      </c>
    </row>
    <row r="36" spans="1:5" x14ac:dyDescent="0.35">
      <c r="A36" s="118">
        <v>29</v>
      </c>
      <c r="B36" s="114" t="s">
        <v>115</v>
      </c>
      <c r="C36" s="109" t="e">
        <f>VLOOKUP(Table257519913140106110151155170178204223[[#This Row],[PEG]],Table1016[#All],2,FALSE)</f>
        <v>#N/A</v>
      </c>
      <c r="D36" s="117"/>
      <c r="E36" s="125" t="e">
        <f>VLOOKUP(Table257519913140106110151155170178204223[[#This Row],[PEG]],Table1016[#All],3,FALSE)</f>
        <v>#N/A</v>
      </c>
    </row>
    <row r="37" spans="1:5" x14ac:dyDescent="0.35">
      <c r="A37" s="118">
        <v>30</v>
      </c>
      <c r="B37" s="114" t="s">
        <v>12</v>
      </c>
      <c r="C37" s="109" t="e">
        <f>VLOOKUP(Table257519913140106110151155170178204223[[#This Row],[PEG]],Table1016[#All],2,FALSE)</f>
        <v>#N/A</v>
      </c>
      <c r="D37" s="117"/>
      <c r="E37" s="125" t="e">
        <f>VLOOKUP(Table257519913140106110151155170178204223[[#This Row],[PEG]],Table1016[#All],3,FALSE)</f>
        <v>#N/A</v>
      </c>
    </row>
    <row r="38" spans="1:5" x14ac:dyDescent="0.35">
      <c r="A38" s="118">
        <v>31</v>
      </c>
      <c r="B38" s="114" t="s">
        <v>12</v>
      </c>
      <c r="C38" s="109" t="e">
        <f>VLOOKUP(Table257519913140106110151155170178204223[[#This Row],[PEG]],Table1016[#All],2,FALSE)</f>
        <v>#N/A</v>
      </c>
      <c r="D38" s="117"/>
      <c r="E38" s="125" t="e">
        <f>VLOOKUP(Table257519913140106110151155170178204223[[#This Row],[PEG]],Table1016[#All],3,FALSE)</f>
        <v>#N/A</v>
      </c>
    </row>
    <row r="39" spans="1:5" x14ac:dyDescent="0.35">
      <c r="A39" s="118">
        <v>32</v>
      </c>
      <c r="B39" s="114" t="s">
        <v>12</v>
      </c>
      <c r="C39" s="109" t="e">
        <f>VLOOKUP(Table257519913140106110151155170178204223[[#This Row],[PEG]],Table1016[#All],2,FALSE)</f>
        <v>#N/A</v>
      </c>
      <c r="D39" s="117"/>
      <c r="E39" s="125" t="e">
        <f>VLOOKUP(Table257519913140106110151155170178204223[[#This Row],[PEG]],Table1016[#All],3,FALSE)</f>
        <v>#N/A</v>
      </c>
    </row>
    <row r="40" spans="1:5" x14ac:dyDescent="0.35">
      <c r="A40" s="118">
        <v>33</v>
      </c>
      <c r="B40" s="114" t="s">
        <v>12</v>
      </c>
      <c r="C40" s="109" t="e">
        <f>VLOOKUP(Table257519913140106110151155170178204223[[#This Row],[PEG]],Table1016[#All],2,FALSE)</f>
        <v>#N/A</v>
      </c>
      <c r="D40" s="117"/>
      <c r="E40" s="125" t="e">
        <f>VLOOKUP(Table257519913140106110151155170178204223[[#This Row],[PEG]],Table1016[#All],3,FALSE)</f>
        <v>#N/A</v>
      </c>
    </row>
    <row r="41" spans="1:5" x14ac:dyDescent="0.35">
      <c r="A41" s="118">
        <v>34</v>
      </c>
      <c r="B41" s="114" t="s">
        <v>115</v>
      </c>
      <c r="C41" s="109" t="e">
        <f>VLOOKUP(Table257519913140106110151155170178204223[[#This Row],[PEG]],Table1016[#All],2,FALSE)</f>
        <v>#N/A</v>
      </c>
      <c r="D41" s="117"/>
      <c r="E41" s="125" t="e">
        <f>VLOOKUP(Table257519913140106110151155170178204223[[#This Row],[PEG]],Table1016[#All],3,FALSE)</f>
        <v>#N/A</v>
      </c>
    </row>
    <row r="42" spans="1:5" x14ac:dyDescent="0.35">
      <c r="A42" s="118">
        <v>35</v>
      </c>
      <c r="B42" s="114" t="s">
        <v>12</v>
      </c>
      <c r="C42" s="109" t="e">
        <f>VLOOKUP(Table257519913140106110151155170178204223[[#This Row],[PEG]],Table1016[#All],2,FALSE)</f>
        <v>#N/A</v>
      </c>
      <c r="D42" s="115"/>
      <c r="E42" s="125" t="e">
        <f>VLOOKUP(Table257519913140106110151155170178204223[[#This Row],[PEG]],Table1016[#All],3,FALSE)</f>
        <v>#N/A</v>
      </c>
    </row>
    <row r="43" spans="1:5" x14ac:dyDescent="0.35">
      <c r="A43" s="118">
        <v>36</v>
      </c>
      <c r="B43" s="114" t="s">
        <v>115</v>
      </c>
      <c r="C43" s="109" t="e">
        <f>VLOOKUP(Table257519913140106110151155170178204223[[#This Row],[PEG]],Table1016[#All],2,FALSE)</f>
        <v>#N/A</v>
      </c>
      <c r="D43" s="115"/>
      <c r="E43" s="125" t="e">
        <f>VLOOKUP(Table257519913140106110151155170178204223[[#This Row],[PEG]],Table1016[#All],3,FALSE)</f>
        <v>#N/A</v>
      </c>
    </row>
    <row r="44" spans="1:5" x14ac:dyDescent="0.35">
      <c r="A44" s="118">
        <v>37</v>
      </c>
      <c r="B44" s="114" t="s">
        <v>13</v>
      </c>
      <c r="C44" s="18" t="s">
        <v>13</v>
      </c>
      <c r="D44" s="115"/>
      <c r="E44" s="32"/>
    </row>
  </sheetData>
  <mergeCells count="1">
    <mergeCell ref="A1:B1"/>
  </mergeCells>
  <conditionalFormatting sqref="B8:B18">
    <cfRule type="containsText" dxfId="733" priority="1" operator="containsText" text="Hear">
      <formula>NOT(ISERROR(SEARCH("Hear",B8)))</formula>
    </cfRule>
  </conditionalFormatting>
  <conditionalFormatting sqref="B30">
    <cfRule type="containsText" dxfId="732" priority="4" operator="containsText" text="Hear">
      <formula>NOT(ISERROR(SEARCH("Hear",B30)))</formula>
    </cfRule>
  </conditionalFormatting>
  <conditionalFormatting sqref="B43:B44">
    <cfRule type="containsText" dxfId="731" priority="8" operator="containsText" text="Hear">
      <formula>NOT(ISERROR(SEARCH("Hear",B43)))</formula>
    </cfRule>
  </conditionalFormatting>
  <conditionalFormatting sqref="E44">
    <cfRule type="containsText" dxfId="730" priority="6" operator="containsText" text="WEB SERVICE">
      <formula>NOT(ISERROR(SEARCH("WEB SERVICE",E44)))</formula>
    </cfRule>
    <cfRule type="containsText" dxfId="729" priority="7" operator="containsText" text="DB">
      <formula>NOT(ISERROR(SEARCH("DB",E44)))</formula>
    </cfRule>
  </conditionalFormatting>
  <conditionalFormatting sqref="C44">
    <cfRule type="expression" dxfId="728" priority="9">
      <formula>$B44="Dial"</formula>
    </cfRule>
  </conditionalFormatting>
  <conditionalFormatting sqref="C44">
    <cfRule type="expression" dxfId="727" priority="3">
      <formula>$B44="Speak"</formula>
    </cfRule>
  </conditionalFormatting>
  <conditionalFormatting sqref="B19:B29 B31:B35 B42">
    <cfRule type="containsText" dxfId="726" priority="5" operator="containsText" text="Hear">
      <formula>NOT(ISERROR(SEARCH("Hear",B19)))</formula>
    </cfRule>
  </conditionalFormatting>
  <hyperlinks>
    <hyperlink ref="A1" location="'Test Case Overview'!A1" display="Return to Test Case Overview" xr:uid="{5194A490-115E-412E-BCD0-005D2D16A107}"/>
  </hyperlinks>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expression" priority="2" id="{107C6D83-B24C-4DB0-967C-062089CF74E2}">
            <xm:f>'TC1'!$B8="HANGUP"</xm:f>
            <x14:dxf>
              <font>
                <b/>
                <i val="0"/>
              </font>
            </x14:dxf>
          </x14:cfRule>
          <xm:sqref>C8</xm:sqref>
        </x14:conditionalFormatting>
        <x14:conditionalFormatting xmlns:xm="http://schemas.microsoft.com/office/excel/2006/main">
          <x14:cfRule type="expression" priority="3274" id="{107C6D83-B24C-4DB0-967C-062089CF74E2}">
            <xm:f>'TC1'!$B16="HANGUP"</xm:f>
            <x14:dxf>
              <font>
                <b/>
                <i val="0"/>
              </font>
            </x14:dxf>
          </x14:cfRule>
          <xm:sqref>C34:C43</xm:sqref>
        </x14:conditionalFormatting>
        <x14:conditionalFormatting xmlns:xm="http://schemas.microsoft.com/office/excel/2006/main">
          <x14:cfRule type="expression" priority="3275" id="{107C6D83-B24C-4DB0-967C-062089CF74E2}">
            <xm:f>'TC1'!#REF!="HANGUP"</xm:f>
            <x14:dxf>
              <font>
                <b/>
                <i val="0"/>
              </font>
            </x14:dxf>
          </x14:cfRule>
          <xm:sqref>C17:C33</xm:sqref>
        </x14:conditionalFormatting>
        <x14:conditionalFormatting xmlns:xm="http://schemas.microsoft.com/office/excel/2006/main">
          <x14:cfRule type="expression" priority="5888" id="{107C6D83-B24C-4DB0-967C-062089CF74E2}">
            <xm:f>'TC1'!$B9="HANGUP"</xm:f>
            <x14:dxf>
              <font>
                <b/>
                <i val="0"/>
              </font>
            </x14:dxf>
          </x14:cfRule>
          <xm:sqref>C12:C15</xm:sqref>
        </x14:conditionalFormatting>
        <x14:conditionalFormatting xmlns:xm="http://schemas.microsoft.com/office/excel/2006/main">
          <x14:cfRule type="expression" priority="5889" id="{107C6D83-B24C-4DB0-967C-062089CF74E2}">
            <xm:f>'TC1'!#REF!="HANGUP"</xm:f>
            <x14:dxf>
              <font>
                <b/>
                <i val="0"/>
              </font>
            </x14:dxf>
          </x14:cfRule>
          <xm:sqref>C9:C11</xm:sqref>
        </x14:conditionalFormatting>
        <x14:conditionalFormatting xmlns:xm="http://schemas.microsoft.com/office/excel/2006/main">
          <x14:cfRule type="expression" priority="8079" id="{107C6D83-B24C-4DB0-967C-062089CF74E2}">
            <xm:f>'TC1'!$B15="HANGUP"</xm:f>
            <x14:dxf>
              <font>
                <b/>
                <i val="0"/>
              </font>
            </x14:dxf>
          </x14:cfRule>
          <xm:sqref>C16</xm:sqref>
        </x14:conditionalFormatting>
      </x14:conditionalFormattings>
    </ext>
  </extLst>
</worksheet>
</file>

<file path=xl/worksheets/sheet1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E00-000000000000}">
  <sheetPr codeName="Sheet160"/>
  <dimension ref="A1:E44"/>
  <sheetViews>
    <sheetView zoomScaleNormal="100" workbookViewId="0">
      <selection sqref="A1:E44"/>
    </sheetView>
  </sheetViews>
  <sheetFormatPr defaultRowHeight="14.5" x14ac:dyDescent="0.35"/>
  <cols>
    <col min="1" max="1" width="14.453125" bestFit="1" customWidth="1"/>
    <col min="2" max="2" width="42.6328125" customWidth="1"/>
    <col min="3" max="3" width="106.1796875" customWidth="1"/>
    <col min="4" max="4" width="21.81640625" bestFit="1" customWidth="1"/>
    <col min="5" max="5" width="20.6328125" customWidth="1"/>
  </cols>
  <sheetData>
    <row r="1" spans="1:5" ht="18.5" x14ac:dyDescent="0.35">
      <c r="A1" s="192" t="s">
        <v>4</v>
      </c>
      <c r="B1" s="192"/>
      <c r="C1" s="105"/>
      <c r="D1" s="111"/>
      <c r="E1" s="97"/>
    </row>
    <row r="2" spans="1:5" x14ac:dyDescent="0.35">
      <c r="A2" s="106" t="s">
        <v>5</v>
      </c>
      <c r="B2" s="107" t="str">
        <f ca="1">MID(CELL("filename",A1),FIND("]",CELL("filename",A1))+1,LEN(CELL("filename",A1))-FIND("]",CELL("filename",A1)))</f>
        <v>TC158</v>
      </c>
      <c r="C2" s="98"/>
      <c r="D2" s="111"/>
      <c r="E2" s="97"/>
    </row>
    <row r="3" spans="1:5" x14ac:dyDescent="0.35">
      <c r="A3" s="104" t="s">
        <v>19</v>
      </c>
      <c r="B3" s="112" t="e">
        <f ca="1">VLOOKUP(B2,Table53[#All],2,FALSE)</f>
        <v>#N/A</v>
      </c>
      <c r="C3" s="98"/>
      <c r="D3" s="111"/>
      <c r="E3" s="97"/>
    </row>
    <row r="4" spans="1:5" ht="29" x14ac:dyDescent="0.35">
      <c r="A4" s="113" t="s">
        <v>20</v>
      </c>
      <c r="B4" s="99" t="e">
        <f ca="1">VLOOKUP(B2,Table53[#All],4,FALSE)</f>
        <v>#N/A</v>
      </c>
      <c r="C4" s="98"/>
      <c r="D4" s="111"/>
      <c r="E4" s="97"/>
    </row>
    <row r="5" spans="1:5" x14ac:dyDescent="0.35">
      <c r="A5" s="104" t="s">
        <v>6</v>
      </c>
      <c r="B5" s="77" t="e">
        <f ca="1">VLOOKUP(B2,Table53[#All],3,FALSE)</f>
        <v>#N/A</v>
      </c>
      <c r="C5" s="98"/>
      <c r="D5" s="111"/>
      <c r="E5" s="97"/>
    </row>
    <row r="6" spans="1:5" x14ac:dyDescent="0.35">
      <c r="A6" s="97"/>
      <c r="B6" s="97"/>
      <c r="C6" s="98"/>
      <c r="D6" s="111"/>
      <c r="E6" s="97"/>
    </row>
    <row r="7" spans="1:5" ht="15.5" x14ac:dyDescent="0.35">
      <c r="A7" s="100" t="s">
        <v>7</v>
      </c>
      <c r="B7" s="101" t="s">
        <v>8</v>
      </c>
      <c r="C7" s="102" t="s">
        <v>9</v>
      </c>
      <c r="D7" s="102" t="s">
        <v>14</v>
      </c>
      <c r="E7" s="103" t="s">
        <v>10</v>
      </c>
    </row>
    <row r="8" spans="1:5" x14ac:dyDescent="0.35">
      <c r="A8" s="118">
        <v>1</v>
      </c>
      <c r="B8" s="114" t="s">
        <v>114</v>
      </c>
      <c r="C8" s="109" t="s">
        <v>125</v>
      </c>
      <c r="D8" s="128"/>
      <c r="E8" s="125" t="s">
        <v>11</v>
      </c>
    </row>
    <row r="9" spans="1:5" x14ac:dyDescent="0.35">
      <c r="A9" s="118">
        <v>2</v>
      </c>
      <c r="B9" s="114" t="s">
        <v>12</v>
      </c>
      <c r="C9" s="109" t="e">
        <f>VLOOKUP(Table257519913140106110151155170178204225[[#This Row],[PEG]],Table1016[#All],2,FALSE)</f>
        <v>#N/A</v>
      </c>
      <c r="D9" s="128"/>
      <c r="E9" s="125" t="e">
        <f>VLOOKUP(Table257519913140106110151155170178204225[[#This Row],[PEG]],Table1016[#All],3,FALSE)</f>
        <v>#N/A</v>
      </c>
    </row>
    <row r="10" spans="1:5" x14ac:dyDescent="0.35">
      <c r="A10" s="118">
        <v>3</v>
      </c>
      <c r="B10" s="114" t="s">
        <v>115</v>
      </c>
      <c r="C10" s="109" t="e">
        <f>VLOOKUP(Table257519913140106110151155170178204225[[#This Row],[PEG]],Table1016[#All],2,FALSE)</f>
        <v>#N/A</v>
      </c>
      <c r="D10" s="128"/>
      <c r="E10" s="125" t="e">
        <f>VLOOKUP(Table257519913140106110151155170178204225[[#This Row],[PEG]],Table1016[#All],3,FALSE)</f>
        <v>#N/A</v>
      </c>
    </row>
    <row r="11" spans="1:5" x14ac:dyDescent="0.35">
      <c r="A11" s="118">
        <v>4</v>
      </c>
      <c r="B11" s="114" t="s">
        <v>115</v>
      </c>
      <c r="C11" s="109" t="e">
        <f>VLOOKUP(Table257519913140106110151155170178204225[[#This Row],[PEG]],Table1016[#All],2,FALSE)</f>
        <v>#N/A</v>
      </c>
      <c r="D11" s="128"/>
      <c r="E11" s="125" t="e">
        <f>VLOOKUP(Table257519913140106110151155170178204225[[#This Row],[PEG]],Table1016[#All],3,FALSE)</f>
        <v>#N/A</v>
      </c>
    </row>
    <row r="12" spans="1:5" x14ac:dyDescent="0.35">
      <c r="A12" s="118">
        <v>5</v>
      </c>
      <c r="B12" s="114" t="s">
        <v>114</v>
      </c>
      <c r="C12" s="109" t="e">
        <f>VLOOKUP(Table257519913140106110151155170178204225[[#This Row],[PEG]],Table1016[#All],2,FALSE)</f>
        <v>#N/A</v>
      </c>
      <c r="D12" s="128"/>
      <c r="E12" s="125" t="e">
        <f>VLOOKUP(Table257519913140106110151155170178204225[[#This Row],[PEG]],Table1016[#All],3,FALSE)</f>
        <v>#N/A</v>
      </c>
    </row>
    <row r="13" spans="1:5" x14ac:dyDescent="0.35">
      <c r="A13" s="118">
        <v>6</v>
      </c>
      <c r="B13" s="114" t="s">
        <v>115</v>
      </c>
      <c r="C13" s="109" t="e">
        <f>VLOOKUP(Table257519913140106110151155170178204225[[#This Row],[PEG]],Table1016[#All],2,FALSE)</f>
        <v>#N/A</v>
      </c>
      <c r="D13" s="128"/>
      <c r="E13" s="125" t="e">
        <f>VLOOKUP(Table257519913140106110151155170178204225[[#This Row],[PEG]],Table1016[#All],3,FALSE)</f>
        <v>#N/A</v>
      </c>
    </row>
    <row r="14" spans="1:5" x14ac:dyDescent="0.35">
      <c r="A14" s="118">
        <v>7</v>
      </c>
      <c r="B14" s="114" t="s">
        <v>114</v>
      </c>
      <c r="C14" s="109" t="e">
        <f>VLOOKUP(Table257519913140106110151155170178204225[[#This Row],[PEG]],Table1016[#All],2,FALSE)</f>
        <v>#N/A</v>
      </c>
      <c r="D14" s="128"/>
      <c r="E14" s="125" t="e">
        <f>VLOOKUP(Table257519913140106110151155170178204225[[#This Row],[PEG]],Table1016[#All],3,FALSE)</f>
        <v>#N/A</v>
      </c>
    </row>
    <row r="15" spans="1:5" x14ac:dyDescent="0.35">
      <c r="A15" s="118">
        <v>8</v>
      </c>
      <c r="B15" s="114" t="s">
        <v>115</v>
      </c>
      <c r="C15" s="109" t="e">
        <f>VLOOKUP(Table257519913140106110151155170178204225[[#This Row],[PEG]],Table1016[#All],2,FALSE)</f>
        <v>#N/A</v>
      </c>
      <c r="D15" s="116"/>
      <c r="E15" s="125" t="e">
        <f>VLOOKUP(Table257519913140106110151155170178204225[[#This Row],[PEG]],Table1016[#All],3,FALSE)</f>
        <v>#N/A</v>
      </c>
    </row>
    <row r="16" spans="1:5" x14ac:dyDescent="0.35">
      <c r="A16" s="118">
        <v>9</v>
      </c>
      <c r="B16" s="114" t="s">
        <v>12</v>
      </c>
      <c r="C16" s="109" t="e">
        <f>VLOOKUP(Table257519913140106110151155170178204225[[#This Row],[PEG]],Table1016[#All],2,FALSE)</f>
        <v>#N/A</v>
      </c>
      <c r="D16" s="116"/>
      <c r="E16" s="125" t="e">
        <f>VLOOKUP(Table257519913140106110151155170178204225[[#This Row],[PEG]],Table1016[#All],3,FALSE)</f>
        <v>#N/A</v>
      </c>
    </row>
    <row r="17" spans="1:5" x14ac:dyDescent="0.35">
      <c r="A17" s="118">
        <v>10</v>
      </c>
      <c r="B17" s="114" t="s">
        <v>12</v>
      </c>
      <c r="C17" s="109" t="e">
        <f>VLOOKUP(Table257519913140106110151155170178204225[[#This Row],[PEG]],Table1016[#All],2,FALSE)</f>
        <v>#N/A</v>
      </c>
      <c r="D17" s="117"/>
      <c r="E17" s="125" t="e">
        <f>VLOOKUP(Table257519913140106110151155170178204225[[#This Row],[PEG]],Table1016[#All],3,FALSE)</f>
        <v>#N/A</v>
      </c>
    </row>
    <row r="18" spans="1:5" x14ac:dyDescent="0.35">
      <c r="A18" s="118">
        <v>11</v>
      </c>
      <c r="B18" s="114" t="s">
        <v>115</v>
      </c>
      <c r="C18" s="109" t="e">
        <f>VLOOKUP(Table257519913140106110151155170178204225[[#This Row],[PEG]],Table1016[#All],2,FALSE)</f>
        <v>#N/A</v>
      </c>
      <c r="D18" s="117"/>
      <c r="E18" s="125" t="e">
        <f>VLOOKUP(Table257519913140106110151155170178204225[[#This Row],[PEG]],Table1016[#All],3,FALSE)</f>
        <v>#N/A</v>
      </c>
    </row>
    <row r="19" spans="1:5" x14ac:dyDescent="0.35">
      <c r="A19" s="118">
        <v>12</v>
      </c>
      <c r="B19" s="114" t="s">
        <v>115</v>
      </c>
      <c r="C19" s="109" t="e">
        <f>VLOOKUP(Table257519913140106110151155170178204225[[#This Row],[PEG]],Table1016[#All],2,FALSE)</f>
        <v>#N/A</v>
      </c>
      <c r="D19" s="117"/>
      <c r="E19" s="125" t="e">
        <f>VLOOKUP(Table257519913140106110151155170178204225[[#This Row],[PEG]],Table1016[#All],3,FALSE)</f>
        <v>#N/A</v>
      </c>
    </row>
    <row r="20" spans="1:5" x14ac:dyDescent="0.35">
      <c r="A20" s="118">
        <v>13</v>
      </c>
      <c r="B20" s="114" t="s">
        <v>114</v>
      </c>
      <c r="C20" s="109" t="e">
        <f>VLOOKUP(Table257519913140106110151155170178204225[[#This Row],[PEG]],Table1016[#All],2,FALSE)</f>
        <v>#N/A</v>
      </c>
      <c r="D20" s="117"/>
      <c r="E20" s="125" t="e">
        <f>VLOOKUP(Table257519913140106110151155170178204225[[#This Row],[PEG]],Table1016[#All],3,FALSE)</f>
        <v>#N/A</v>
      </c>
    </row>
    <row r="21" spans="1:5" x14ac:dyDescent="0.35">
      <c r="A21" s="118">
        <v>14</v>
      </c>
      <c r="B21" s="114" t="s">
        <v>12</v>
      </c>
      <c r="C21" s="109" t="e">
        <f>VLOOKUP(Table257519913140106110151155170178204225[[#This Row],[PEG]],Table1016[#All],2,FALSE)</f>
        <v>#N/A</v>
      </c>
      <c r="D21" s="117"/>
      <c r="E21" s="125" t="e">
        <f>VLOOKUP(Table257519913140106110151155170178204225[[#This Row],[PEG]],Table1016[#All],3,FALSE)</f>
        <v>#N/A</v>
      </c>
    </row>
    <row r="22" spans="1:5" x14ac:dyDescent="0.35">
      <c r="A22" s="118">
        <v>15</v>
      </c>
      <c r="B22" s="114" t="s">
        <v>12</v>
      </c>
      <c r="C22" s="109" t="e">
        <f>VLOOKUP(Table257519913140106110151155170178204225[[#This Row],[PEG]],Table1016[#All],2,FALSE)</f>
        <v>#N/A</v>
      </c>
      <c r="D22" s="117"/>
      <c r="E22" s="125" t="e">
        <f>VLOOKUP(Table257519913140106110151155170178204225[[#This Row],[PEG]],Table1016[#All],3,FALSE)</f>
        <v>#N/A</v>
      </c>
    </row>
    <row r="23" spans="1:5" x14ac:dyDescent="0.35">
      <c r="A23" s="118">
        <v>16</v>
      </c>
      <c r="B23" s="114" t="s">
        <v>115</v>
      </c>
      <c r="C23" s="109" t="e">
        <f>VLOOKUP(Table257519913140106110151155170178204225[[#This Row],[PEG]],Table1016[#All],2,FALSE)</f>
        <v>#N/A</v>
      </c>
      <c r="D23" s="117"/>
      <c r="E23" s="125" t="e">
        <f>VLOOKUP(Table257519913140106110151155170178204225[[#This Row],[PEG]],Table1016[#All],3,FALSE)</f>
        <v>#N/A</v>
      </c>
    </row>
    <row r="24" spans="1:5" x14ac:dyDescent="0.35">
      <c r="A24" s="118">
        <v>17</v>
      </c>
      <c r="B24" s="114" t="s">
        <v>114</v>
      </c>
      <c r="C24" s="109" t="e">
        <f>VLOOKUP(Table257519913140106110151155170178204225[[#This Row],[PEG]],Table1016[#All],2,FALSE)</f>
        <v>#N/A</v>
      </c>
      <c r="D24" s="117"/>
      <c r="E24" s="125" t="e">
        <f>VLOOKUP(Table257519913140106110151155170178204225[[#This Row],[PEG]],Table1016[#All],3,FALSE)</f>
        <v>#N/A</v>
      </c>
    </row>
    <row r="25" spans="1:5" x14ac:dyDescent="0.35">
      <c r="A25" s="118">
        <v>18</v>
      </c>
      <c r="B25" s="114" t="s">
        <v>12</v>
      </c>
      <c r="C25" s="109" t="e">
        <f>VLOOKUP(Table257519913140106110151155170178204225[[#This Row],[PEG]],Table1016[#All],2,FALSE)</f>
        <v>#N/A</v>
      </c>
      <c r="D25" s="117"/>
      <c r="E25" s="125" t="e">
        <f>VLOOKUP(Table257519913140106110151155170178204225[[#This Row],[PEG]],Table1016[#All],3,FALSE)</f>
        <v>#N/A</v>
      </c>
    </row>
    <row r="26" spans="1:5" x14ac:dyDescent="0.35">
      <c r="A26" s="118">
        <v>19</v>
      </c>
      <c r="B26" s="114" t="s">
        <v>12</v>
      </c>
      <c r="C26" s="109" t="e">
        <f>VLOOKUP(Table257519913140106110151155170178204225[[#This Row],[PEG]],Table1016[#All],2,FALSE)</f>
        <v>#N/A</v>
      </c>
      <c r="D26" s="117"/>
      <c r="E26" s="125" t="e">
        <f>VLOOKUP(Table257519913140106110151155170178204225[[#This Row],[PEG]],Table1016[#All],3,FALSE)</f>
        <v>#N/A</v>
      </c>
    </row>
    <row r="27" spans="1:5" x14ac:dyDescent="0.35">
      <c r="A27" s="118">
        <v>20</v>
      </c>
      <c r="B27" s="114" t="s">
        <v>115</v>
      </c>
      <c r="C27" s="109" t="e">
        <f>VLOOKUP(Table257519913140106110151155170178204225[[#This Row],[PEG]],Table1016[#All],2,FALSE)</f>
        <v>#N/A</v>
      </c>
      <c r="D27" s="117"/>
      <c r="E27" s="125" t="e">
        <f>VLOOKUP(Table257519913140106110151155170178204225[[#This Row],[PEG]],Table1016[#All],3,FALSE)</f>
        <v>#N/A</v>
      </c>
    </row>
    <row r="28" spans="1:5" x14ac:dyDescent="0.35">
      <c r="A28" s="118">
        <v>21</v>
      </c>
      <c r="B28" s="114" t="s">
        <v>114</v>
      </c>
      <c r="C28" s="109" t="e">
        <f>VLOOKUP(Table257519913140106110151155170178204225[[#This Row],[PEG]],Table1016[#All],2,FALSE)</f>
        <v>#N/A</v>
      </c>
      <c r="D28" s="117"/>
      <c r="E28" s="125" t="e">
        <f>VLOOKUP(Table257519913140106110151155170178204225[[#This Row],[PEG]],Table1016[#All],3,FALSE)</f>
        <v>#N/A</v>
      </c>
    </row>
    <row r="29" spans="1:5" x14ac:dyDescent="0.35">
      <c r="A29" s="118">
        <v>22</v>
      </c>
      <c r="B29" s="114" t="s">
        <v>12</v>
      </c>
      <c r="C29" s="109" t="e">
        <f>VLOOKUP(Table257519913140106110151155170178204225[[#This Row],[PEG]],Table1016[#All],2,FALSE)</f>
        <v>#N/A</v>
      </c>
      <c r="D29" s="117"/>
      <c r="E29" s="125" t="e">
        <f>VLOOKUP(Table257519913140106110151155170178204225[[#This Row],[PEG]],Table1016[#All],3,FALSE)</f>
        <v>#N/A</v>
      </c>
    </row>
    <row r="30" spans="1:5" x14ac:dyDescent="0.35">
      <c r="A30" s="118">
        <v>23</v>
      </c>
      <c r="B30" s="114" t="s">
        <v>12</v>
      </c>
      <c r="C30" s="109" t="e">
        <f>VLOOKUP(Table257519913140106110151155170178204225[[#This Row],[PEG]],Table1016[#All],2,FALSE)</f>
        <v>#N/A</v>
      </c>
      <c r="D30" s="117"/>
      <c r="E30" s="125" t="e">
        <f>VLOOKUP(Table257519913140106110151155170178204225[[#This Row],[PEG]],Table1016[#All],3,FALSE)</f>
        <v>#N/A</v>
      </c>
    </row>
    <row r="31" spans="1:5" x14ac:dyDescent="0.35">
      <c r="A31" s="118">
        <v>24</v>
      </c>
      <c r="B31" s="114" t="s">
        <v>115</v>
      </c>
      <c r="C31" s="109" t="e">
        <f>VLOOKUP(Table257519913140106110151155170178204225[[#This Row],[PEG]],Table1016[#All],2,FALSE)</f>
        <v>#N/A</v>
      </c>
      <c r="D31" s="117"/>
      <c r="E31" s="125" t="e">
        <f>VLOOKUP(Table257519913140106110151155170178204225[[#This Row],[PEG]],Table1016[#All],3,FALSE)</f>
        <v>#N/A</v>
      </c>
    </row>
    <row r="32" spans="1:5" x14ac:dyDescent="0.35">
      <c r="A32" s="118">
        <v>25</v>
      </c>
      <c r="B32" s="114" t="s">
        <v>115</v>
      </c>
      <c r="C32" s="109" t="e">
        <f>VLOOKUP(Table257519913140106110151155170178204225[[#This Row],[PEG]],Table1016[#All],2,FALSE)</f>
        <v>#N/A</v>
      </c>
      <c r="D32" s="117"/>
      <c r="E32" s="125" t="e">
        <f>VLOOKUP(Table257519913140106110151155170178204225[[#This Row],[PEG]],Table1016[#All],3,FALSE)</f>
        <v>#N/A</v>
      </c>
    </row>
    <row r="33" spans="1:5" x14ac:dyDescent="0.35">
      <c r="A33" s="118">
        <v>26</v>
      </c>
      <c r="B33" s="114" t="s">
        <v>124</v>
      </c>
      <c r="C33" s="109" t="e">
        <f>VLOOKUP(Table257519913140106110151155170178204225[[#This Row],[PEG]],Table1016[#All],2,FALSE)</f>
        <v>#N/A</v>
      </c>
      <c r="D33" s="117"/>
      <c r="E33" s="125" t="e">
        <f>VLOOKUP(Table257519913140106110151155170178204225[[#This Row],[PEG]],Table1016[#All],3,FALSE)</f>
        <v>#N/A</v>
      </c>
    </row>
    <row r="34" spans="1:5" x14ac:dyDescent="0.35">
      <c r="A34" s="118">
        <v>27</v>
      </c>
      <c r="B34" s="114" t="s">
        <v>115</v>
      </c>
      <c r="C34" s="109" t="e">
        <f>VLOOKUP(Table257519913140106110151155170178204225[[#This Row],[PEG]],Table1016[#All],2,FALSE)</f>
        <v>#N/A</v>
      </c>
      <c r="D34" s="117"/>
      <c r="E34" s="125" t="e">
        <f>VLOOKUP(Table257519913140106110151155170178204225[[#This Row],[PEG]],Table1016[#All],3,FALSE)</f>
        <v>#N/A</v>
      </c>
    </row>
    <row r="35" spans="1:5" x14ac:dyDescent="0.35">
      <c r="A35" s="118">
        <v>28</v>
      </c>
      <c r="B35" s="114" t="s">
        <v>124</v>
      </c>
      <c r="C35" s="109" t="e">
        <f>VLOOKUP(Table257519913140106110151155170178204225[[#This Row],[PEG]],Table1016[#All],2,FALSE)</f>
        <v>#N/A</v>
      </c>
      <c r="D35" s="117"/>
      <c r="E35" s="125" t="e">
        <f>VLOOKUP(Table257519913140106110151155170178204225[[#This Row],[PEG]],Table1016[#All],3,FALSE)</f>
        <v>#N/A</v>
      </c>
    </row>
    <row r="36" spans="1:5" x14ac:dyDescent="0.35">
      <c r="A36" s="118">
        <v>29</v>
      </c>
      <c r="B36" s="114" t="s">
        <v>115</v>
      </c>
      <c r="C36" s="109" t="e">
        <f>VLOOKUP(Table257519913140106110151155170178204225[[#This Row],[PEG]],Table1016[#All],2,FALSE)</f>
        <v>#N/A</v>
      </c>
      <c r="D36" s="117"/>
      <c r="E36" s="125" t="e">
        <f>VLOOKUP(Table257519913140106110151155170178204225[[#This Row],[PEG]],Table1016[#All],3,FALSE)</f>
        <v>#N/A</v>
      </c>
    </row>
    <row r="37" spans="1:5" x14ac:dyDescent="0.35">
      <c r="A37" s="118">
        <v>30</v>
      </c>
      <c r="B37" s="114" t="s">
        <v>12</v>
      </c>
      <c r="C37" s="109" t="e">
        <f>VLOOKUP(Table257519913140106110151155170178204225[[#This Row],[PEG]],Table1016[#All],2,FALSE)</f>
        <v>#N/A</v>
      </c>
      <c r="D37" s="117"/>
      <c r="E37" s="125" t="e">
        <f>VLOOKUP(Table257519913140106110151155170178204225[[#This Row],[PEG]],Table1016[#All],3,FALSE)</f>
        <v>#N/A</v>
      </c>
    </row>
    <row r="38" spans="1:5" x14ac:dyDescent="0.35">
      <c r="A38" s="118">
        <v>31</v>
      </c>
      <c r="B38" s="114" t="s">
        <v>12</v>
      </c>
      <c r="C38" s="109" t="e">
        <f>VLOOKUP(Table257519913140106110151155170178204225[[#This Row],[PEG]],Table1016[#All],2,FALSE)</f>
        <v>#N/A</v>
      </c>
      <c r="D38" s="117"/>
      <c r="E38" s="125" t="e">
        <f>VLOOKUP(Table257519913140106110151155170178204225[[#This Row],[PEG]],Table1016[#All],3,FALSE)</f>
        <v>#N/A</v>
      </c>
    </row>
    <row r="39" spans="1:5" x14ac:dyDescent="0.35">
      <c r="A39" s="118">
        <v>32</v>
      </c>
      <c r="B39" s="114" t="s">
        <v>12</v>
      </c>
      <c r="C39" s="109" t="e">
        <f>VLOOKUP(Table257519913140106110151155170178204225[[#This Row],[PEG]],Table1016[#All],2,FALSE)</f>
        <v>#N/A</v>
      </c>
      <c r="D39" s="117"/>
      <c r="E39" s="125" t="e">
        <f>VLOOKUP(Table257519913140106110151155170178204225[[#This Row],[PEG]],Table1016[#All],3,FALSE)</f>
        <v>#N/A</v>
      </c>
    </row>
    <row r="40" spans="1:5" x14ac:dyDescent="0.35">
      <c r="A40" s="118">
        <v>33</v>
      </c>
      <c r="B40" s="114" t="s">
        <v>12</v>
      </c>
      <c r="C40" s="109" t="e">
        <f>VLOOKUP(Table257519913140106110151155170178204225[[#This Row],[PEG]],Table1016[#All],2,FALSE)</f>
        <v>#N/A</v>
      </c>
      <c r="D40" s="117"/>
      <c r="E40" s="125" t="e">
        <f>VLOOKUP(Table257519913140106110151155170178204225[[#This Row],[PEG]],Table1016[#All],3,FALSE)</f>
        <v>#N/A</v>
      </c>
    </row>
    <row r="41" spans="1:5" x14ac:dyDescent="0.35">
      <c r="A41" s="118">
        <v>34</v>
      </c>
      <c r="B41" s="114" t="s">
        <v>115</v>
      </c>
      <c r="C41" s="109" t="e">
        <f>VLOOKUP(Table257519913140106110151155170178204225[[#This Row],[PEG]],Table1016[#All],2,FALSE)</f>
        <v>#N/A</v>
      </c>
      <c r="D41" s="117"/>
      <c r="E41" s="125" t="e">
        <f>VLOOKUP(Table257519913140106110151155170178204225[[#This Row],[PEG]],Table1016[#All],3,FALSE)</f>
        <v>#N/A</v>
      </c>
    </row>
    <row r="42" spans="1:5" x14ac:dyDescent="0.35">
      <c r="A42" s="118">
        <v>35</v>
      </c>
      <c r="B42" s="114" t="s">
        <v>12</v>
      </c>
      <c r="C42" s="109" t="e">
        <f>VLOOKUP(Table257519913140106110151155170178204225[[#This Row],[PEG]],Table1016[#All],2,FALSE)</f>
        <v>#N/A</v>
      </c>
      <c r="D42" s="115"/>
      <c r="E42" s="125" t="e">
        <f>VLOOKUP(Table257519913140106110151155170178204225[[#This Row],[PEG]],Table1016[#All],3,FALSE)</f>
        <v>#N/A</v>
      </c>
    </row>
    <row r="43" spans="1:5" x14ac:dyDescent="0.35">
      <c r="A43" s="118">
        <v>36</v>
      </c>
      <c r="B43" s="114" t="s">
        <v>115</v>
      </c>
      <c r="C43" s="109" t="e">
        <f>VLOOKUP(Table257519913140106110151155170178204225[[#This Row],[PEG]],Table1016[#All],2,FALSE)</f>
        <v>#N/A</v>
      </c>
      <c r="D43" s="115"/>
      <c r="E43" s="125" t="e">
        <f>VLOOKUP(Table257519913140106110151155170178204225[[#This Row],[PEG]],Table1016[#All],3,FALSE)</f>
        <v>#N/A</v>
      </c>
    </row>
    <row r="44" spans="1:5" x14ac:dyDescent="0.35">
      <c r="A44" s="118">
        <v>37</v>
      </c>
      <c r="B44" s="114" t="s">
        <v>13</v>
      </c>
      <c r="C44" s="18" t="s">
        <v>13</v>
      </c>
      <c r="D44" s="115"/>
      <c r="E44" s="32"/>
    </row>
  </sheetData>
  <mergeCells count="1">
    <mergeCell ref="A1:B1"/>
  </mergeCells>
  <conditionalFormatting sqref="B8:B18">
    <cfRule type="containsText" dxfId="719" priority="1" operator="containsText" text="Hear">
      <formula>NOT(ISERROR(SEARCH("Hear",B8)))</formula>
    </cfRule>
  </conditionalFormatting>
  <conditionalFormatting sqref="B30">
    <cfRule type="containsText" dxfId="718" priority="4" operator="containsText" text="Hear">
      <formula>NOT(ISERROR(SEARCH("Hear",B30)))</formula>
    </cfRule>
  </conditionalFormatting>
  <conditionalFormatting sqref="B43:B44">
    <cfRule type="containsText" dxfId="717" priority="8" operator="containsText" text="Hear">
      <formula>NOT(ISERROR(SEARCH("Hear",B43)))</formula>
    </cfRule>
  </conditionalFormatting>
  <conditionalFormatting sqref="E44">
    <cfRule type="containsText" dxfId="716" priority="6" operator="containsText" text="WEB SERVICE">
      <formula>NOT(ISERROR(SEARCH("WEB SERVICE",E44)))</formula>
    </cfRule>
    <cfRule type="containsText" dxfId="715" priority="7" operator="containsText" text="DB">
      <formula>NOT(ISERROR(SEARCH("DB",E44)))</formula>
    </cfRule>
  </conditionalFormatting>
  <conditionalFormatting sqref="C44">
    <cfRule type="expression" dxfId="714" priority="9">
      <formula>$B44="Dial"</formula>
    </cfRule>
  </conditionalFormatting>
  <conditionalFormatting sqref="C44">
    <cfRule type="expression" dxfId="713" priority="3">
      <formula>$B44="Speak"</formula>
    </cfRule>
  </conditionalFormatting>
  <conditionalFormatting sqref="B19:B29 B31:B35 B42">
    <cfRule type="containsText" dxfId="712" priority="5" operator="containsText" text="Hear">
      <formula>NOT(ISERROR(SEARCH("Hear",B19)))</formula>
    </cfRule>
  </conditionalFormatting>
  <hyperlinks>
    <hyperlink ref="A1" location="'Test Case Overview'!A1" display="Return to Test Case Overview" xr:uid="{1C39FC5C-FEF1-46E0-8E66-5448EC1CCE4F}"/>
  </hyperlinks>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expression" priority="2" id="{460A0833-2DB5-43E7-8E67-4953D4E86A7D}">
            <xm:f>'TC1'!$B8="HANGUP"</xm:f>
            <x14:dxf>
              <font>
                <b/>
                <i val="0"/>
              </font>
            </x14:dxf>
          </x14:cfRule>
          <xm:sqref>C8</xm:sqref>
        </x14:conditionalFormatting>
        <x14:conditionalFormatting xmlns:xm="http://schemas.microsoft.com/office/excel/2006/main">
          <x14:cfRule type="expression" priority="3278" id="{460A0833-2DB5-43E7-8E67-4953D4E86A7D}">
            <xm:f>'TC1'!$B16="HANGUP"</xm:f>
            <x14:dxf>
              <font>
                <b/>
                <i val="0"/>
              </font>
            </x14:dxf>
          </x14:cfRule>
          <xm:sqref>C34:C43</xm:sqref>
        </x14:conditionalFormatting>
        <x14:conditionalFormatting xmlns:xm="http://schemas.microsoft.com/office/excel/2006/main">
          <x14:cfRule type="expression" priority="3279" id="{460A0833-2DB5-43E7-8E67-4953D4E86A7D}">
            <xm:f>'TC1'!#REF!="HANGUP"</xm:f>
            <x14:dxf>
              <font>
                <b/>
                <i val="0"/>
              </font>
            </x14:dxf>
          </x14:cfRule>
          <xm:sqref>C17:C33</xm:sqref>
        </x14:conditionalFormatting>
        <x14:conditionalFormatting xmlns:xm="http://schemas.microsoft.com/office/excel/2006/main">
          <x14:cfRule type="expression" priority="5892" id="{460A0833-2DB5-43E7-8E67-4953D4E86A7D}">
            <xm:f>'TC1'!$B9="HANGUP"</xm:f>
            <x14:dxf>
              <font>
                <b/>
                <i val="0"/>
              </font>
            </x14:dxf>
          </x14:cfRule>
          <xm:sqref>C12:C15</xm:sqref>
        </x14:conditionalFormatting>
        <x14:conditionalFormatting xmlns:xm="http://schemas.microsoft.com/office/excel/2006/main">
          <x14:cfRule type="expression" priority="5893" id="{460A0833-2DB5-43E7-8E67-4953D4E86A7D}">
            <xm:f>'TC1'!#REF!="HANGUP"</xm:f>
            <x14:dxf>
              <font>
                <b/>
                <i val="0"/>
              </font>
            </x14:dxf>
          </x14:cfRule>
          <xm:sqref>C9:C11</xm:sqref>
        </x14:conditionalFormatting>
        <x14:conditionalFormatting xmlns:xm="http://schemas.microsoft.com/office/excel/2006/main">
          <x14:cfRule type="expression" priority="8082" id="{460A0833-2DB5-43E7-8E67-4953D4E86A7D}">
            <xm:f>'TC1'!$B15="HANGUP"</xm:f>
            <x14:dxf>
              <font>
                <b/>
                <i val="0"/>
              </font>
            </x14:dxf>
          </x14:cfRule>
          <xm:sqref>C16</xm:sqref>
        </x14:conditionalFormatting>
      </x14:conditionalFormatting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7"/>
  <dimension ref="A1:E48"/>
  <sheetViews>
    <sheetView topLeftCell="A12" zoomScaleNormal="100" workbookViewId="0">
      <selection activeCell="D24" sqref="D24"/>
    </sheetView>
  </sheetViews>
  <sheetFormatPr defaultRowHeight="14.5" x14ac:dyDescent="0.35"/>
  <cols>
    <col min="1" max="1" width="14.453125" style="97" bestFit="1" customWidth="1"/>
    <col min="2" max="2" width="42.6328125" style="97" customWidth="1"/>
    <col min="3" max="3" width="106.1796875" style="98" customWidth="1"/>
    <col min="4" max="4" width="21.81640625" style="111" bestFit="1" customWidth="1"/>
    <col min="5" max="5" width="20.6328125" style="97" customWidth="1"/>
  </cols>
  <sheetData>
    <row r="1" spans="1:5" ht="18.5" x14ac:dyDescent="0.35">
      <c r="A1" s="192" t="s">
        <v>4</v>
      </c>
      <c r="B1" s="192"/>
      <c r="C1" s="105"/>
    </row>
    <row r="2" spans="1:5" x14ac:dyDescent="0.35">
      <c r="A2" s="106" t="s">
        <v>5</v>
      </c>
      <c r="B2" s="107" t="str">
        <f ca="1">MID(CELL("filename",A1),FIND("]",CELL("filename",A1))+1,LEN(CELL("filename",A1))-FIND("]",CELL("filename",A1)))</f>
        <v>TC15</v>
      </c>
    </row>
    <row r="3" spans="1:5" x14ac:dyDescent="0.35">
      <c r="A3" s="104" t="s">
        <v>19</v>
      </c>
      <c r="B3" s="112">
        <f ca="1">VLOOKUP(B2,Table1[#All],2,FALSE)</f>
        <v>0</v>
      </c>
    </row>
    <row r="4" spans="1:5" ht="29" x14ac:dyDescent="0.35">
      <c r="A4" s="113" t="s">
        <v>20</v>
      </c>
      <c r="B4" s="99" t="str">
        <f ca="1">VLOOKUP(B2,Table1[#All],4,FALSE)</f>
        <v>Future Acct,  Current Due, Make Payment, Savings</v>
      </c>
    </row>
    <row r="5" spans="1:5" x14ac:dyDescent="0.35">
      <c r="A5" s="104" t="s">
        <v>6</v>
      </c>
      <c r="B5" s="93" t="str">
        <f ca="1">VLOOKUP(B2,Table1[#All],3,FALSE)</f>
        <v>NACHA Second Prompt- NO</v>
      </c>
    </row>
    <row r="7" spans="1:5" ht="15.5" x14ac:dyDescent="0.35">
      <c r="A7" s="100" t="s">
        <v>7</v>
      </c>
      <c r="B7" s="101" t="s">
        <v>8</v>
      </c>
      <c r="C7" s="102" t="s">
        <v>9</v>
      </c>
      <c r="D7" s="102" t="s">
        <v>14</v>
      </c>
      <c r="E7" s="103" t="s">
        <v>10</v>
      </c>
    </row>
    <row r="8" spans="1:5" s="97" customFormat="1" x14ac:dyDescent="0.35">
      <c r="A8" s="118">
        <v>1</v>
      </c>
      <c r="B8" s="114" t="s">
        <v>114</v>
      </c>
      <c r="C8" s="127" t="s">
        <v>240</v>
      </c>
      <c r="D8" s="128"/>
      <c r="E8" s="125" t="s">
        <v>11</v>
      </c>
    </row>
    <row r="9" spans="1:5" s="97" customFormat="1" x14ac:dyDescent="0.35">
      <c r="A9" s="118">
        <v>2</v>
      </c>
      <c r="B9" s="114" t="s">
        <v>115</v>
      </c>
      <c r="C9" s="109" t="str">
        <f>VLOOKUP(Table25755252691013[[#This Row],[PEG]],Table1016[#All],2,FALSE)</f>
        <v>To get started, tell me your Account Number</v>
      </c>
      <c r="D9" s="141" t="s">
        <v>245</v>
      </c>
      <c r="E9" s="125" t="str">
        <f>VLOOKUP(Table25755252691013[[#This Row],[PEG]],Table1016[#All],3,FALSE)</f>
        <v>Prompt</v>
      </c>
    </row>
    <row r="10" spans="1:5" s="97" customFormat="1" x14ac:dyDescent="0.35">
      <c r="A10" s="118">
        <v>3</v>
      </c>
      <c r="B10" s="114" t="s">
        <v>124</v>
      </c>
      <c r="C10" s="109" t="s">
        <v>412</v>
      </c>
      <c r="D10" s="151"/>
      <c r="E10" s="125" t="e">
        <f>VLOOKUP(Table25755252691013[[#This Row],[PEG]],Table1016[#All],3,FALSE)</f>
        <v>#N/A</v>
      </c>
    </row>
    <row r="11" spans="1:5" s="97" customFormat="1" ht="174" x14ac:dyDescent="0.35">
      <c r="A11" s="118">
        <v>4</v>
      </c>
      <c r="B11" s="114" t="s">
        <v>12</v>
      </c>
      <c r="C11" s="109" t="str">
        <f>VLOOKUP(Table25755252691013[[#This Row],[PEG]],Table1016[#All],2,FALSE)</f>
        <v>SAP HANA – SAP01_GetMember
inputs:
idnumber = iIdnumber	T
idtype 	= iIdtype
outputs:
~ Billing Reference
~ Enrollment Details
~ Billing Details
~ Last Payment
~ Recurring Payment Method
~ Stored Payment Method</v>
      </c>
      <c r="D11" s="141" t="s">
        <v>371</v>
      </c>
      <c r="E11" s="125" t="str">
        <f>VLOOKUP(Table25755252691013[[#This Row],[PEG]],Table1016[#All],3,FALSE)</f>
        <v>DB</v>
      </c>
    </row>
    <row r="12" spans="1:5" x14ac:dyDescent="0.35">
      <c r="A12" s="118">
        <v>5</v>
      </c>
      <c r="B12" s="114" t="s">
        <v>115</v>
      </c>
      <c r="C12" s="109" t="str">
        <f>VLOOKUP(Table25755252691013[[#This Row],[PEG]],Table1016[#All],2,FALSE)</f>
        <v>Thanks, I found your account!</v>
      </c>
      <c r="D12" s="141" t="s">
        <v>248</v>
      </c>
      <c r="E12" s="125" t="str">
        <f>VLOOKUP(Table25755252691013[[#This Row],[PEG]],Table1016[#All],3,FALSE)</f>
        <v>Prompt</v>
      </c>
    </row>
    <row r="13" spans="1:5" x14ac:dyDescent="0.35">
      <c r="A13" s="118">
        <v>6</v>
      </c>
      <c r="B13" s="114" t="s">
        <v>115</v>
      </c>
      <c r="C13" s="109" t="str">
        <f>VLOOKUP(Table25755252691013[[#This Row],[PEG]],Table1016[#All],2,FALSE)</f>
        <v>Your one-time initial payment of &lt;SAP01_CurrentDue&gt; is due by &lt;SAP01_Duedate&gt;</v>
      </c>
      <c r="D13" s="142" t="s">
        <v>256</v>
      </c>
      <c r="E13" s="125" t="str">
        <f>VLOOKUP(Table25755252691013[[#This Row],[PEG]],Table1016[#All],3,FALSE)</f>
        <v>Prompt</v>
      </c>
    </row>
    <row r="14" spans="1:5" x14ac:dyDescent="0.35">
      <c r="A14" s="118">
        <v>7</v>
      </c>
      <c r="B14" s="114" t="s">
        <v>115</v>
      </c>
      <c r="C14" s="130" t="str">
        <f>VLOOKUP(Table25755252691013[[#This Row],[PEG]],Table1016[#All],2,FALSE)</f>
        <v>Would you like to pay this in full today?</v>
      </c>
      <c r="D14" s="142" t="s">
        <v>260</v>
      </c>
      <c r="E14" s="125" t="str">
        <f>VLOOKUP(Table25755252691013[[#This Row],[PEG]],Table1016[#All],3,FALSE)</f>
        <v>Prompt</v>
      </c>
    </row>
    <row r="15" spans="1:5" x14ac:dyDescent="0.35">
      <c r="A15" s="118">
        <v>8</v>
      </c>
      <c r="B15" s="114" t="s">
        <v>124</v>
      </c>
      <c r="C15" s="109" t="s">
        <v>388</v>
      </c>
      <c r="D15" s="143"/>
      <c r="E15" s="125" t="e">
        <f>VLOOKUP(Table25755252691013[[#This Row],[PEG]],Table1016[#All],3,FALSE)</f>
        <v>#N/A</v>
      </c>
    </row>
    <row r="16" spans="1:5" x14ac:dyDescent="0.35">
      <c r="A16" s="118">
        <v>9</v>
      </c>
      <c r="B16" s="114" t="s">
        <v>115</v>
      </c>
      <c r="C16" s="109" t="str">
        <f>VLOOKUP(Table25755252691013[[#This Row],[PEG]],Table1016[#All],2,FALSE)</f>
        <v>Ok, are you using Credit, Debit, Checking or Savings?</v>
      </c>
      <c r="D16" s="143" t="s">
        <v>286</v>
      </c>
      <c r="E16" s="125" t="str">
        <f>VLOOKUP(Table25755252691013[[#This Row],[PEG]],Table1016[#All],3,FALSE)</f>
        <v>Prompt</v>
      </c>
    </row>
    <row r="17" spans="1:5" x14ac:dyDescent="0.35">
      <c r="A17" s="118">
        <v>10</v>
      </c>
      <c r="B17" s="114" t="s">
        <v>124</v>
      </c>
      <c r="C17" s="109" t="s">
        <v>419</v>
      </c>
      <c r="D17" s="143"/>
      <c r="E17" s="125" t="e">
        <f>VLOOKUP(Table25755252691013[[#This Row],[PEG]],Table1016[#All],3,FALSE)</f>
        <v>#N/A</v>
      </c>
    </row>
    <row r="18" spans="1:5" s="97" customFormat="1" x14ac:dyDescent="0.35">
      <c r="A18" s="118">
        <v>11</v>
      </c>
      <c r="B18" s="114" t="s">
        <v>115</v>
      </c>
      <c r="C18" s="109" t="str">
        <f>VLOOKUP(Table25755252691013[[#This Row],[PEG]],Table1016[#All],2,FALSE)</f>
        <v>Tell me your 9-digit routing number.</v>
      </c>
      <c r="D18" s="143" t="s">
        <v>289</v>
      </c>
      <c r="E18" s="125" t="str">
        <f>VLOOKUP(Table25755252691013[[#This Row],[PEG]],Table1016[#All],3,FALSE)</f>
        <v>Prompt</v>
      </c>
    </row>
    <row r="19" spans="1:5" s="97" customFormat="1" x14ac:dyDescent="0.35">
      <c r="A19" s="118">
        <v>12</v>
      </c>
      <c r="B19" s="114" t="s">
        <v>124</v>
      </c>
      <c r="C19" s="109" t="s">
        <v>417</v>
      </c>
      <c r="D19" s="143"/>
      <c r="E19" s="125" t="e">
        <f>VLOOKUP(Table25755252691013[[#This Row],[PEG]],Table1016[#All],3,FALSE)</f>
        <v>#N/A</v>
      </c>
    </row>
    <row r="20" spans="1:5" s="97" customFormat="1" x14ac:dyDescent="0.35">
      <c r="A20" s="118">
        <v>13</v>
      </c>
      <c r="B20" s="114" t="s">
        <v>115</v>
      </c>
      <c r="C20" s="109" t="str">
        <f>VLOOKUP(Table25755252691013[[#This Row],[PEG]],Table1016[#All],2,FALSE)</f>
        <v>Is &lt;ivrBankKey&gt; the right number?</v>
      </c>
      <c r="D20" s="143" t="s">
        <v>292</v>
      </c>
      <c r="E20" s="125" t="str">
        <f>VLOOKUP(Table25755252691013[[#This Row],[PEG]],Table1016[#All],3,FALSE)</f>
        <v>Prompt</v>
      </c>
    </row>
    <row r="21" spans="1:5" s="97" customFormat="1" x14ac:dyDescent="0.35">
      <c r="A21" s="118">
        <v>14</v>
      </c>
      <c r="B21" s="114" t="s">
        <v>124</v>
      </c>
      <c r="C21" s="109" t="s">
        <v>388</v>
      </c>
      <c r="D21" s="143"/>
      <c r="E21" s="125" t="e">
        <f>VLOOKUP(Table25755252691013[[#This Row],[PEG]],Table1016[#All],3,FALSE)</f>
        <v>#N/A</v>
      </c>
    </row>
    <row r="22" spans="1:5" s="97" customFormat="1" x14ac:dyDescent="0.35">
      <c r="A22" s="118">
        <v>15</v>
      </c>
      <c r="B22" s="114" t="s">
        <v>115</v>
      </c>
      <c r="C22" s="109" t="str">
        <f>VLOOKUP(Table25755252691013[[#This Row],[PEG]],Table1016[#All],2,FALSE)</f>
        <v>Now what is your savings account number.</v>
      </c>
      <c r="D22" s="143" t="s">
        <v>296</v>
      </c>
      <c r="E22" s="125" t="str">
        <f>VLOOKUP(Table25755252691013[[#This Row],[PEG]],Table1016[#All],3,FALSE)</f>
        <v>Prompt</v>
      </c>
    </row>
    <row r="23" spans="1:5" s="97" customFormat="1" x14ac:dyDescent="0.35">
      <c r="A23" s="118">
        <v>16</v>
      </c>
      <c r="B23" s="114" t="s">
        <v>124</v>
      </c>
      <c r="C23" s="109" t="s">
        <v>423</v>
      </c>
      <c r="D23" s="143"/>
      <c r="E23" s="125" t="e">
        <f>VLOOKUP(Table25755252691013[[#This Row],[PEG]],Table1016[#All],3,FALSE)</f>
        <v>#N/A</v>
      </c>
    </row>
    <row r="24" spans="1:5" s="97" customFormat="1" x14ac:dyDescent="0.35">
      <c r="A24" s="118">
        <v>17</v>
      </c>
      <c r="B24" s="114" t="s">
        <v>115</v>
      </c>
      <c r="C24" s="109" t="str">
        <f>VLOOKUP(Table25755252691013[[#This Row],[PEG]],Table1016[#All],2,FALSE)</f>
        <v>Is &lt;ivrBankAcct&gt; the right number?</v>
      </c>
      <c r="D24" s="143" t="s">
        <v>301</v>
      </c>
      <c r="E24" s="125">
        <f>VLOOKUP(Table25755252691013[[#This Row],[PEG]],Table1016[#All],3,FALSE)</f>
        <v>0</v>
      </c>
    </row>
    <row r="25" spans="1:5" s="97" customFormat="1" x14ac:dyDescent="0.35">
      <c r="A25" s="118">
        <v>18</v>
      </c>
      <c r="B25" s="114" t="s">
        <v>124</v>
      </c>
      <c r="C25" s="109" t="s">
        <v>388</v>
      </c>
      <c r="D25" s="143"/>
      <c r="E25" s="125" t="e">
        <f>VLOOKUP(Table25755252691013[[#This Row],[PEG]],Table1016[#All],3,FALSE)</f>
        <v>#N/A</v>
      </c>
    </row>
    <row r="26" spans="1:5" s="97" customFormat="1" ht="43.5" x14ac:dyDescent="0.35">
      <c r="A26" s="118">
        <v>19</v>
      </c>
      <c r="B26" s="114" t="s">
        <v>115</v>
      </c>
      <c r="C26" s="109" t="str">
        <f>VLOOKUP(Table25755252691013[[#This Row],[PEG]],Table1016[#All],2,FALSE)</f>
        <v>Today &lt;SAP01_SystemDate&gt; I’d like to confirm that you &lt;SAP01_NameFirst&gt; &lt;SAP01_NameLast&gt; are authorizing a payment in the amount of &lt;ivrPmtAmt&gt;
to be processed as an electronic funds transfer, or draft drawn from your account.  Do you agree?</v>
      </c>
      <c r="D26" s="143" t="s">
        <v>304</v>
      </c>
      <c r="E26" s="125" t="str">
        <f>VLOOKUP(Table25755252691013[[#This Row],[PEG]],Table1016[#All],3,FALSE)</f>
        <v>Prompt</v>
      </c>
    </row>
    <row r="27" spans="1:5" s="97" customFormat="1" x14ac:dyDescent="0.35">
      <c r="A27" s="118">
        <v>20</v>
      </c>
      <c r="B27" s="114" t="s">
        <v>124</v>
      </c>
      <c r="C27" s="109" t="s">
        <v>388</v>
      </c>
      <c r="D27" s="117"/>
      <c r="E27" s="125" t="e">
        <f>VLOOKUP(Table25755252691013[[#This Row],[PEG]],Table1016[#All],3,FALSE)</f>
        <v>#N/A</v>
      </c>
    </row>
    <row r="28" spans="1:5" s="97" customFormat="1" ht="43.5" x14ac:dyDescent="0.35">
      <c r="A28" s="118">
        <v>21</v>
      </c>
      <c r="B28" s="114" t="s">
        <v>115</v>
      </c>
      <c r="C28" s="109" t="str">
        <f>VLOOKUP(Table25755252691013[[#This Row],[PEG]],Table1016[#All],2,FALSE)</f>
        <v>If your payment is returned unpaid, you authorize us or our service provider to collect the payment and your State’s return item fee of &lt;SAP01_NSFAmount&gt; by electronic funds transfer(s) or draft(s) drawn from your account.  Do you agree and authorize the payment?</v>
      </c>
      <c r="D28" s="143" t="s">
        <v>307</v>
      </c>
      <c r="E28" s="125" t="str">
        <f>VLOOKUP(Table25755252691013[[#This Row],[PEG]],Table1016[#All],3,FALSE)</f>
        <v>Prompt</v>
      </c>
    </row>
    <row r="29" spans="1:5" s="97" customFormat="1" x14ac:dyDescent="0.35">
      <c r="A29" s="118">
        <v>22</v>
      </c>
      <c r="B29" s="114" t="s">
        <v>124</v>
      </c>
      <c r="C29" s="109" t="s">
        <v>411</v>
      </c>
      <c r="D29" s="117"/>
      <c r="E29" s="125" t="e">
        <f>VLOOKUP(Table25755252691013[[#This Row],[PEG]],Table1016[#All],3,FALSE)</f>
        <v>#N/A</v>
      </c>
    </row>
    <row r="30" spans="1:5" s="97" customFormat="1" ht="29" x14ac:dyDescent="0.35">
      <c r="A30" s="118">
        <v>23</v>
      </c>
      <c r="B30" s="114" t="s">
        <v>115</v>
      </c>
      <c r="C30" s="109" t="str">
        <f>VLOOKUP(Table25755252691013[[#This Row],[PEG]],Table1016[#All],2,FALSE)</f>
        <v>It seems you are having trouble. For future transactions you can also access your plan details, or manage your account online anytime at members.lacare.com. One moment while I get someone to help. Make sure to have your invoice available.</v>
      </c>
      <c r="D30" s="117" t="s">
        <v>361</v>
      </c>
      <c r="E30" s="125" t="str">
        <f>VLOOKUP(Table25755252691013[[#This Row],[PEG]],Table1016[#All],3,FALSE)</f>
        <v>Prompt</v>
      </c>
    </row>
    <row r="31" spans="1:5" s="97" customFormat="1" x14ac:dyDescent="0.35">
      <c r="A31" s="118">
        <v>24</v>
      </c>
      <c r="B31" s="114" t="s">
        <v>13</v>
      </c>
      <c r="C31" s="109" t="s">
        <v>13</v>
      </c>
      <c r="D31" s="117"/>
      <c r="E31" s="125" t="e">
        <f>VLOOKUP(Table25755252691013[[#This Row],[PEG]],Table1016[#All],3,FALSE)</f>
        <v>#N/A</v>
      </c>
    </row>
    <row r="32" spans="1:5" x14ac:dyDescent="0.35">
      <c r="C32" s="26"/>
    </row>
    <row r="33" spans="3:3" x14ac:dyDescent="0.35">
      <c r="C33" s="26"/>
    </row>
    <row r="34" spans="3:3" x14ac:dyDescent="0.35">
      <c r="C34" s="26"/>
    </row>
    <row r="35" spans="3:3" x14ac:dyDescent="0.35">
      <c r="C35" s="26"/>
    </row>
    <row r="36" spans="3:3" x14ac:dyDescent="0.35">
      <c r="C36" s="26"/>
    </row>
    <row r="37" spans="3:3" x14ac:dyDescent="0.35">
      <c r="C37" s="26"/>
    </row>
    <row r="38" spans="3:3" x14ac:dyDescent="0.35">
      <c r="C38" s="26"/>
    </row>
    <row r="39" spans="3:3" x14ac:dyDescent="0.35">
      <c r="C39" s="26"/>
    </row>
    <row r="40" spans="3:3" x14ac:dyDescent="0.35">
      <c r="C40" s="26"/>
    </row>
    <row r="41" spans="3:3" x14ac:dyDescent="0.35">
      <c r="C41" s="26"/>
    </row>
    <row r="42" spans="3:3" x14ac:dyDescent="0.35">
      <c r="C42" s="26"/>
    </row>
    <row r="43" spans="3:3" x14ac:dyDescent="0.35">
      <c r="C43" s="26"/>
    </row>
    <row r="44" spans="3:3" x14ac:dyDescent="0.35">
      <c r="C44" s="26"/>
    </row>
    <row r="45" spans="3:3" x14ac:dyDescent="0.35">
      <c r="C45" s="26"/>
    </row>
    <row r="46" spans="3:3" x14ac:dyDescent="0.35">
      <c r="C46" s="27"/>
    </row>
    <row r="47" spans="3:3" x14ac:dyDescent="0.35">
      <c r="C47" s="27"/>
    </row>
    <row r="48" spans="3:3" x14ac:dyDescent="0.35">
      <c r="C48" s="27"/>
    </row>
  </sheetData>
  <mergeCells count="1">
    <mergeCell ref="A1:B1"/>
  </mergeCells>
  <conditionalFormatting sqref="C27:C9987 C9:C13">
    <cfRule type="expression" dxfId="5662" priority="49">
      <formula>$B9="Dial"</formula>
    </cfRule>
    <cfRule type="expression" dxfId="5661" priority="51">
      <formula>$B9="HANGUP"</formula>
    </cfRule>
  </conditionalFormatting>
  <conditionalFormatting sqref="B8:B31">
    <cfRule type="containsText" dxfId="5660" priority="16" operator="containsText" text="Hear">
      <formula>NOT(ISERROR(SEARCH("Hear",B8)))</formula>
    </cfRule>
  </conditionalFormatting>
  <conditionalFormatting sqref="C15 C17:C24">
    <cfRule type="expression" dxfId="5659" priority="17">
      <formula>$B15="Dial"</formula>
    </cfRule>
    <cfRule type="expression" dxfId="5658" priority="19">
      <formula>$B15="HANGUP"</formula>
    </cfRule>
  </conditionalFormatting>
  <conditionalFormatting sqref="C15 C17:C24 C27:C31 C9:C13">
    <cfRule type="expression" dxfId="5657" priority="18">
      <formula>$B9="Speak"</formula>
    </cfRule>
  </conditionalFormatting>
  <conditionalFormatting sqref="C14">
    <cfRule type="expression" dxfId="5656" priority="14">
      <formula>$B14="Dial"</formula>
    </cfRule>
    <cfRule type="expression" dxfId="5655" priority="15">
      <formula>$B14="HANGUP"</formula>
    </cfRule>
  </conditionalFormatting>
  <conditionalFormatting sqref="C8">
    <cfRule type="expression" dxfId="5654" priority="10">
      <formula>$B8="Dial"</formula>
    </cfRule>
    <cfRule type="expression" dxfId="5653" priority="11">
      <formula>$B8="HANGUP"</formula>
    </cfRule>
  </conditionalFormatting>
  <conditionalFormatting sqref="C16">
    <cfRule type="expression" dxfId="5652" priority="7">
      <formula>$B16="Dial"</formula>
    </cfRule>
    <cfRule type="expression" dxfId="5651" priority="9">
      <formula>$B16="HANGUP"</formula>
    </cfRule>
  </conditionalFormatting>
  <conditionalFormatting sqref="C16">
    <cfRule type="expression" dxfId="5650" priority="8">
      <formula>$B16="Speak"</formula>
    </cfRule>
  </conditionalFormatting>
  <conditionalFormatting sqref="C26">
    <cfRule type="expression" dxfId="5649" priority="4">
      <formula>$B26="Dial"</formula>
    </cfRule>
    <cfRule type="expression" dxfId="5648" priority="6">
      <formula>$B26="HANGUP"</formula>
    </cfRule>
  </conditionalFormatting>
  <conditionalFormatting sqref="C26">
    <cfRule type="expression" dxfId="5647" priority="5">
      <formula>$B26="Speak"</formula>
    </cfRule>
  </conditionalFormatting>
  <conditionalFormatting sqref="C25">
    <cfRule type="expression" dxfId="5646" priority="1">
      <formula>$B25="Dial"</formula>
    </cfRule>
    <cfRule type="expression" dxfId="5645" priority="3">
      <formula>$B25="HANGUP"</formula>
    </cfRule>
  </conditionalFormatting>
  <conditionalFormatting sqref="C25">
    <cfRule type="expression" dxfId="5644" priority="2">
      <formula>$B25="Speak"</formula>
    </cfRule>
  </conditionalFormatting>
  <hyperlinks>
    <hyperlink ref="A1" location="'Test Case Overview'!A1" display="Return to Test Case Overview" xr:uid="{00000000-0004-0000-0F00-000000000000}"/>
  </hyperlinks>
  <pageMargins left="0.7" right="0.7" top="0.75" bottom="0.75" header="0.3" footer="0.3"/>
  <pageSetup orientation="portrait" r:id="rId1"/>
  <tableParts count="1">
    <tablePart r:id="rId2"/>
  </tableParts>
  <extLst>
    <ext xmlns:x14="http://schemas.microsoft.com/office/spreadsheetml/2009/9/main" uri="{78C0D931-6437-407d-A8EE-F0AAD7539E65}">
      <x14:conditionalFormattings>
        <x14:conditionalFormatting xmlns:xm="http://schemas.microsoft.com/office/excel/2006/main">
          <x14:cfRule type="containsText" priority="759" operator="containsText" text="WEB SERVICE" id="{EDB53178-FE61-474E-9EA6-3490CEC7544D}">
            <xm:f>NOT(ISERROR(SEARCH("WEB SERVICE",'TC1'!E16)))</xm:f>
            <x14:dxf>
              <font>
                <color rgb="FF9C0006"/>
              </font>
              <fill>
                <patternFill>
                  <bgColor rgb="FFFFC7CE"/>
                </patternFill>
              </fill>
            </x14:dxf>
          </x14:cfRule>
          <x14:cfRule type="containsText" priority="760" operator="containsText" text="DB" id="{F1928706-C9BD-4F6D-8747-D0008ED4F308}">
            <xm:f>NOT(ISERROR(SEARCH("DB",'TC1'!E16)))</xm:f>
            <x14:dxf>
              <font>
                <color rgb="FF006100"/>
              </font>
              <fill>
                <patternFill>
                  <bgColor rgb="FFC6EFCE"/>
                </patternFill>
              </fill>
            </x14:dxf>
          </x14:cfRule>
          <xm:sqref>E31</xm:sqref>
        </x14:conditionalFormatting>
        <x14:conditionalFormatting xmlns:xm="http://schemas.microsoft.com/office/excel/2006/main">
          <x14:cfRule type="containsText" priority="761" operator="containsText" text="WEB SERVICE" id="{EDB53178-FE61-474E-9EA6-3490CEC7544D}">
            <xm:f>NOT(ISERROR(SEARCH("WEB SERVICE",'TC1'!#REF!)))</xm:f>
            <x14:dxf>
              <font>
                <color rgb="FF9C0006"/>
              </font>
              <fill>
                <patternFill>
                  <bgColor rgb="FFFFC7CE"/>
                </patternFill>
              </fill>
            </x14:dxf>
          </x14:cfRule>
          <x14:cfRule type="containsText" priority="762" operator="containsText" text="DB" id="{F1928706-C9BD-4F6D-8747-D0008ED4F308}">
            <xm:f>NOT(ISERROR(SEARCH("DB",'TC1'!#REF!)))</xm:f>
            <x14:dxf>
              <font>
                <color rgb="FF006100"/>
              </font>
              <fill>
                <patternFill>
                  <bgColor rgb="FFC6EFCE"/>
                </patternFill>
              </fill>
            </x14:dxf>
          </x14:cfRule>
          <xm:sqref>E14:E30</xm:sqref>
        </x14:conditionalFormatting>
        <x14:conditionalFormatting xmlns:xm="http://schemas.microsoft.com/office/excel/2006/main">
          <x14:cfRule type="containsText" priority="3614" operator="containsText" text="WEB SERVICE" id="{EDB53178-FE61-474E-9EA6-3490CEC7544D}">
            <xm:f>NOT(ISERROR(SEARCH("WEB SERVICE",'TC1'!E9)))</xm:f>
            <x14:dxf>
              <font>
                <color rgb="FF9C0006"/>
              </font>
              <fill>
                <patternFill>
                  <bgColor rgb="FFFFC7CE"/>
                </patternFill>
              </fill>
            </x14:dxf>
          </x14:cfRule>
          <x14:cfRule type="containsText" priority="3615" operator="containsText" text="DB" id="{F1928706-C9BD-4F6D-8747-D0008ED4F308}">
            <xm:f>NOT(ISERROR(SEARCH("DB",'TC1'!E9)))</xm:f>
            <x14:dxf>
              <font>
                <color rgb="FF006100"/>
              </font>
              <fill>
                <patternFill>
                  <bgColor rgb="FFC6EFCE"/>
                </patternFill>
              </fill>
            </x14:dxf>
          </x14:cfRule>
          <xm:sqref>E9:E12</xm:sqref>
        </x14:conditionalFormatting>
        <x14:conditionalFormatting xmlns:xm="http://schemas.microsoft.com/office/excel/2006/main">
          <x14:cfRule type="containsText" priority="6184" operator="containsText" text="WEB SERVICE" id="{EDB53178-FE61-474E-9EA6-3490CEC7544D}">
            <xm:f>NOT(ISERROR(SEARCH("WEB SERVICE",'TC1'!E15)))</xm:f>
            <x14:dxf>
              <font>
                <color rgb="FF9C0006"/>
              </font>
              <fill>
                <patternFill>
                  <bgColor rgb="FFFFC7CE"/>
                </patternFill>
              </fill>
            </x14:dxf>
          </x14:cfRule>
          <x14:cfRule type="containsText" priority="6185" operator="containsText" text="DB" id="{F1928706-C9BD-4F6D-8747-D0008ED4F308}">
            <xm:f>NOT(ISERROR(SEARCH("DB",'TC1'!E15)))</xm:f>
            <x14:dxf>
              <font>
                <color rgb="FF006100"/>
              </font>
              <fill>
                <patternFill>
                  <bgColor rgb="FFC6EFCE"/>
                </patternFill>
              </fill>
            </x14:dxf>
          </x14:cfRule>
          <xm:sqref>E13</xm:sqref>
        </x14:conditionalFormatting>
      </x14:conditionalFormattings>
    </ext>
  </extLst>
</worksheet>
</file>

<file path=xl/worksheets/sheet1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F00-000000000000}">
  <sheetPr codeName="Sheet161"/>
  <dimension ref="A1:E44"/>
  <sheetViews>
    <sheetView zoomScaleNormal="100" workbookViewId="0">
      <selection sqref="A1:E44"/>
    </sheetView>
  </sheetViews>
  <sheetFormatPr defaultRowHeight="14.5" x14ac:dyDescent="0.35"/>
  <cols>
    <col min="1" max="1" width="14.453125" bestFit="1" customWidth="1"/>
    <col min="2" max="2" width="42.6328125" customWidth="1"/>
    <col min="3" max="3" width="106.1796875" customWidth="1"/>
    <col min="4" max="4" width="21.81640625" bestFit="1" customWidth="1"/>
    <col min="5" max="5" width="20.6328125" customWidth="1"/>
  </cols>
  <sheetData>
    <row r="1" spans="1:5" ht="18.5" x14ac:dyDescent="0.35">
      <c r="A1" s="192" t="s">
        <v>4</v>
      </c>
      <c r="B1" s="192"/>
      <c r="C1" s="105"/>
      <c r="D1" s="111"/>
      <c r="E1" s="97"/>
    </row>
    <row r="2" spans="1:5" x14ac:dyDescent="0.35">
      <c r="A2" s="106" t="s">
        <v>5</v>
      </c>
      <c r="B2" s="107" t="str">
        <f ca="1">MID(CELL("filename",A1),FIND("]",CELL("filename",A1))+1,LEN(CELL("filename",A1))-FIND("]",CELL("filename",A1)))</f>
        <v>TC159</v>
      </c>
      <c r="C2" s="98"/>
      <c r="D2" s="111"/>
      <c r="E2" s="97"/>
    </row>
    <row r="3" spans="1:5" x14ac:dyDescent="0.35">
      <c r="A3" s="104" t="s">
        <v>19</v>
      </c>
      <c r="B3" s="112" t="e">
        <f ca="1">VLOOKUP(B2,Table53[#All],2,FALSE)</f>
        <v>#N/A</v>
      </c>
      <c r="C3" s="98"/>
      <c r="D3" s="111"/>
      <c r="E3" s="97"/>
    </row>
    <row r="4" spans="1:5" ht="29" x14ac:dyDescent="0.35">
      <c r="A4" s="113" t="s">
        <v>20</v>
      </c>
      <c r="B4" s="99" t="e">
        <f ca="1">VLOOKUP(B2,Table53[#All],4,FALSE)</f>
        <v>#N/A</v>
      </c>
      <c r="C4" s="98"/>
      <c r="D4" s="111"/>
      <c r="E4" s="97"/>
    </row>
    <row r="5" spans="1:5" x14ac:dyDescent="0.35">
      <c r="A5" s="104" t="s">
        <v>6</v>
      </c>
      <c r="B5" s="77" t="e">
        <f ca="1">VLOOKUP(B2,Table53[#All],3,FALSE)</f>
        <v>#N/A</v>
      </c>
      <c r="C5" s="98"/>
      <c r="D5" s="111"/>
      <c r="E5" s="97"/>
    </row>
    <row r="6" spans="1:5" x14ac:dyDescent="0.35">
      <c r="A6" s="97"/>
      <c r="B6" s="97"/>
      <c r="C6" s="98"/>
      <c r="D6" s="111"/>
      <c r="E6" s="97"/>
    </row>
    <row r="7" spans="1:5" ht="15.5" x14ac:dyDescent="0.35">
      <c r="A7" s="100" t="s">
        <v>7</v>
      </c>
      <c r="B7" s="101" t="s">
        <v>8</v>
      </c>
      <c r="C7" s="102" t="s">
        <v>9</v>
      </c>
      <c r="D7" s="102" t="s">
        <v>14</v>
      </c>
      <c r="E7" s="103" t="s">
        <v>10</v>
      </c>
    </row>
    <row r="8" spans="1:5" x14ac:dyDescent="0.35">
      <c r="A8" s="118">
        <v>1</v>
      </c>
      <c r="B8" s="114" t="s">
        <v>114</v>
      </c>
      <c r="C8" s="109" t="s">
        <v>125</v>
      </c>
      <c r="D8" s="128"/>
      <c r="E8" s="125" t="s">
        <v>11</v>
      </c>
    </row>
    <row r="9" spans="1:5" x14ac:dyDescent="0.35">
      <c r="A9" s="118">
        <v>2</v>
      </c>
      <c r="B9" s="114" t="s">
        <v>12</v>
      </c>
      <c r="C9" s="109" t="e">
        <f>VLOOKUP(Table257519913140106110151155170178204227[[#This Row],[PEG]],Table1016[#All],2,FALSE)</f>
        <v>#N/A</v>
      </c>
      <c r="D9" s="128"/>
      <c r="E9" s="125" t="e">
        <f>VLOOKUP(Table257519913140106110151155170178204227[[#This Row],[PEG]],Table1016[#All],3,FALSE)</f>
        <v>#N/A</v>
      </c>
    </row>
    <row r="10" spans="1:5" x14ac:dyDescent="0.35">
      <c r="A10" s="118">
        <v>3</v>
      </c>
      <c r="B10" s="114" t="s">
        <v>115</v>
      </c>
      <c r="C10" s="109" t="e">
        <f>VLOOKUP(Table257519913140106110151155170178204227[[#This Row],[PEG]],Table1016[#All],2,FALSE)</f>
        <v>#N/A</v>
      </c>
      <c r="D10" s="128"/>
      <c r="E10" s="125" t="e">
        <f>VLOOKUP(Table257519913140106110151155170178204227[[#This Row],[PEG]],Table1016[#All],3,FALSE)</f>
        <v>#N/A</v>
      </c>
    </row>
    <row r="11" spans="1:5" x14ac:dyDescent="0.35">
      <c r="A11" s="118">
        <v>4</v>
      </c>
      <c r="B11" s="114" t="s">
        <v>115</v>
      </c>
      <c r="C11" s="109" t="e">
        <f>VLOOKUP(Table257519913140106110151155170178204227[[#This Row],[PEG]],Table1016[#All],2,FALSE)</f>
        <v>#N/A</v>
      </c>
      <c r="D11" s="128"/>
      <c r="E11" s="125" t="e">
        <f>VLOOKUP(Table257519913140106110151155170178204227[[#This Row],[PEG]],Table1016[#All],3,FALSE)</f>
        <v>#N/A</v>
      </c>
    </row>
    <row r="12" spans="1:5" x14ac:dyDescent="0.35">
      <c r="A12" s="118">
        <v>5</v>
      </c>
      <c r="B12" s="114" t="s">
        <v>114</v>
      </c>
      <c r="C12" s="109" t="e">
        <f>VLOOKUP(Table257519913140106110151155170178204227[[#This Row],[PEG]],Table1016[#All],2,FALSE)</f>
        <v>#N/A</v>
      </c>
      <c r="D12" s="128"/>
      <c r="E12" s="125" t="e">
        <f>VLOOKUP(Table257519913140106110151155170178204227[[#This Row],[PEG]],Table1016[#All],3,FALSE)</f>
        <v>#N/A</v>
      </c>
    </row>
    <row r="13" spans="1:5" x14ac:dyDescent="0.35">
      <c r="A13" s="118">
        <v>6</v>
      </c>
      <c r="B13" s="114" t="s">
        <v>115</v>
      </c>
      <c r="C13" s="109" t="e">
        <f>VLOOKUP(Table257519913140106110151155170178204227[[#This Row],[PEG]],Table1016[#All],2,FALSE)</f>
        <v>#N/A</v>
      </c>
      <c r="D13" s="128"/>
      <c r="E13" s="125" t="e">
        <f>VLOOKUP(Table257519913140106110151155170178204227[[#This Row],[PEG]],Table1016[#All],3,FALSE)</f>
        <v>#N/A</v>
      </c>
    </row>
    <row r="14" spans="1:5" x14ac:dyDescent="0.35">
      <c r="A14" s="118">
        <v>7</v>
      </c>
      <c r="B14" s="114" t="s">
        <v>114</v>
      </c>
      <c r="C14" s="109" t="e">
        <f>VLOOKUP(Table257519913140106110151155170178204227[[#This Row],[PEG]],Table1016[#All],2,FALSE)</f>
        <v>#N/A</v>
      </c>
      <c r="D14" s="128"/>
      <c r="E14" s="125" t="e">
        <f>VLOOKUP(Table257519913140106110151155170178204227[[#This Row],[PEG]],Table1016[#All],3,FALSE)</f>
        <v>#N/A</v>
      </c>
    </row>
    <row r="15" spans="1:5" x14ac:dyDescent="0.35">
      <c r="A15" s="118">
        <v>8</v>
      </c>
      <c r="B15" s="114" t="s">
        <v>115</v>
      </c>
      <c r="C15" s="109" t="e">
        <f>VLOOKUP(Table257519913140106110151155170178204227[[#This Row],[PEG]],Table1016[#All],2,FALSE)</f>
        <v>#N/A</v>
      </c>
      <c r="D15" s="116"/>
      <c r="E15" s="125" t="e">
        <f>VLOOKUP(Table257519913140106110151155170178204227[[#This Row],[PEG]],Table1016[#All],3,FALSE)</f>
        <v>#N/A</v>
      </c>
    </row>
    <row r="16" spans="1:5" x14ac:dyDescent="0.35">
      <c r="A16" s="118">
        <v>9</v>
      </c>
      <c r="B16" s="114" t="s">
        <v>12</v>
      </c>
      <c r="C16" s="109" t="e">
        <f>VLOOKUP(Table257519913140106110151155170178204227[[#This Row],[PEG]],Table1016[#All],2,FALSE)</f>
        <v>#N/A</v>
      </c>
      <c r="D16" s="116"/>
      <c r="E16" s="125" t="e">
        <f>VLOOKUP(Table257519913140106110151155170178204227[[#This Row],[PEG]],Table1016[#All],3,FALSE)</f>
        <v>#N/A</v>
      </c>
    </row>
    <row r="17" spans="1:5" x14ac:dyDescent="0.35">
      <c r="A17" s="118">
        <v>10</v>
      </c>
      <c r="B17" s="114" t="s">
        <v>12</v>
      </c>
      <c r="C17" s="109" t="e">
        <f>VLOOKUP(Table257519913140106110151155170178204227[[#This Row],[PEG]],Table1016[#All],2,FALSE)</f>
        <v>#N/A</v>
      </c>
      <c r="D17" s="117"/>
      <c r="E17" s="125" t="e">
        <f>VLOOKUP(Table257519913140106110151155170178204227[[#This Row],[PEG]],Table1016[#All],3,FALSE)</f>
        <v>#N/A</v>
      </c>
    </row>
    <row r="18" spans="1:5" x14ac:dyDescent="0.35">
      <c r="A18" s="118">
        <v>11</v>
      </c>
      <c r="B18" s="114" t="s">
        <v>115</v>
      </c>
      <c r="C18" s="109" t="e">
        <f>VLOOKUP(Table257519913140106110151155170178204227[[#This Row],[PEG]],Table1016[#All],2,FALSE)</f>
        <v>#N/A</v>
      </c>
      <c r="D18" s="117"/>
      <c r="E18" s="125" t="e">
        <f>VLOOKUP(Table257519913140106110151155170178204227[[#This Row],[PEG]],Table1016[#All],3,FALSE)</f>
        <v>#N/A</v>
      </c>
    </row>
    <row r="19" spans="1:5" x14ac:dyDescent="0.35">
      <c r="A19" s="118">
        <v>12</v>
      </c>
      <c r="B19" s="114" t="s">
        <v>115</v>
      </c>
      <c r="C19" s="109" t="e">
        <f>VLOOKUP(Table257519913140106110151155170178204227[[#This Row],[PEG]],Table1016[#All],2,FALSE)</f>
        <v>#N/A</v>
      </c>
      <c r="D19" s="117"/>
      <c r="E19" s="125" t="e">
        <f>VLOOKUP(Table257519913140106110151155170178204227[[#This Row],[PEG]],Table1016[#All],3,FALSE)</f>
        <v>#N/A</v>
      </c>
    </row>
    <row r="20" spans="1:5" x14ac:dyDescent="0.35">
      <c r="A20" s="118">
        <v>13</v>
      </c>
      <c r="B20" s="114" t="s">
        <v>114</v>
      </c>
      <c r="C20" s="109" t="e">
        <f>VLOOKUP(Table257519913140106110151155170178204227[[#This Row],[PEG]],Table1016[#All],2,FALSE)</f>
        <v>#N/A</v>
      </c>
      <c r="D20" s="117"/>
      <c r="E20" s="125" t="e">
        <f>VLOOKUP(Table257519913140106110151155170178204227[[#This Row],[PEG]],Table1016[#All],3,FALSE)</f>
        <v>#N/A</v>
      </c>
    </row>
    <row r="21" spans="1:5" x14ac:dyDescent="0.35">
      <c r="A21" s="118">
        <v>14</v>
      </c>
      <c r="B21" s="114" t="s">
        <v>12</v>
      </c>
      <c r="C21" s="109" t="e">
        <f>VLOOKUP(Table257519913140106110151155170178204227[[#This Row],[PEG]],Table1016[#All],2,FALSE)</f>
        <v>#N/A</v>
      </c>
      <c r="D21" s="117"/>
      <c r="E21" s="125" t="e">
        <f>VLOOKUP(Table257519913140106110151155170178204227[[#This Row],[PEG]],Table1016[#All],3,FALSE)</f>
        <v>#N/A</v>
      </c>
    </row>
    <row r="22" spans="1:5" x14ac:dyDescent="0.35">
      <c r="A22" s="118">
        <v>15</v>
      </c>
      <c r="B22" s="114" t="s">
        <v>12</v>
      </c>
      <c r="C22" s="109" t="e">
        <f>VLOOKUP(Table257519913140106110151155170178204227[[#This Row],[PEG]],Table1016[#All],2,FALSE)</f>
        <v>#N/A</v>
      </c>
      <c r="D22" s="117"/>
      <c r="E22" s="125" t="e">
        <f>VLOOKUP(Table257519913140106110151155170178204227[[#This Row],[PEG]],Table1016[#All],3,FALSE)</f>
        <v>#N/A</v>
      </c>
    </row>
    <row r="23" spans="1:5" x14ac:dyDescent="0.35">
      <c r="A23" s="118">
        <v>16</v>
      </c>
      <c r="B23" s="114" t="s">
        <v>115</v>
      </c>
      <c r="C23" s="109" t="e">
        <f>VLOOKUP(Table257519913140106110151155170178204227[[#This Row],[PEG]],Table1016[#All],2,FALSE)</f>
        <v>#N/A</v>
      </c>
      <c r="D23" s="117"/>
      <c r="E23" s="125" t="e">
        <f>VLOOKUP(Table257519913140106110151155170178204227[[#This Row],[PEG]],Table1016[#All],3,FALSE)</f>
        <v>#N/A</v>
      </c>
    </row>
    <row r="24" spans="1:5" x14ac:dyDescent="0.35">
      <c r="A24" s="118">
        <v>17</v>
      </c>
      <c r="B24" s="114" t="s">
        <v>114</v>
      </c>
      <c r="C24" s="109" t="e">
        <f>VLOOKUP(Table257519913140106110151155170178204227[[#This Row],[PEG]],Table1016[#All],2,FALSE)</f>
        <v>#N/A</v>
      </c>
      <c r="D24" s="117"/>
      <c r="E24" s="125" t="e">
        <f>VLOOKUP(Table257519913140106110151155170178204227[[#This Row],[PEG]],Table1016[#All],3,FALSE)</f>
        <v>#N/A</v>
      </c>
    </row>
    <row r="25" spans="1:5" x14ac:dyDescent="0.35">
      <c r="A25" s="118">
        <v>18</v>
      </c>
      <c r="B25" s="114" t="s">
        <v>12</v>
      </c>
      <c r="C25" s="109" t="e">
        <f>VLOOKUP(Table257519913140106110151155170178204227[[#This Row],[PEG]],Table1016[#All],2,FALSE)</f>
        <v>#N/A</v>
      </c>
      <c r="D25" s="117"/>
      <c r="E25" s="125" t="e">
        <f>VLOOKUP(Table257519913140106110151155170178204227[[#This Row],[PEG]],Table1016[#All],3,FALSE)</f>
        <v>#N/A</v>
      </c>
    </row>
    <row r="26" spans="1:5" x14ac:dyDescent="0.35">
      <c r="A26" s="118">
        <v>19</v>
      </c>
      <c r="B26" s="114" t="s">
        <v>12</v>
      </c>
      <c r="C26" s="109" t="e">
        <f>VLOOKUP(Table257519913140106110151155170178204227[[#This Row],[PEG]],Table1016[#All],2,FALSE)</f>
        <v>#N/A</v>
      </c>
      <c r="D26" s="117"/>
      <c r="E26" s="125" t="e">
        <f>VLOOKUP(Table257519913140106110151155170178204227[[#This Row],[PEG]],Table1016[#All],3,FALSE)</f>
        <v>#N/A</v>
      </c>
    </row>
    <row r="27" spans="1:5" x14ac:dyDescent="0.35">
      <c r="A27" s="118">
        <v>20</v>
      </c>
      <c r="B27" s="114" t="s">
        <v>115</v>
      </c>
      <c r="C27" s="109" t="e">
        <f>VLOOKUP(Table257519913140106110151155170178204227[[#This Row],[PEG]],Table1016[#All],2,FALSE)</f>
        <v>#N/A</v>
      </c>
      <c r="D27" s="117"/>
      <c r="E27" s="125" t="e">
        <f>VLOOKUP(Table257519913140106110151155170178204227[[#This Row],[PEG]],Table1016[#All],3,FALSE)</f>
        <v>#N/A</v>
      </c>
    </row>
    <row r="28" spans="1:5" x14ac:dyDescent="0.35">
      <c r="A28" s="118">
        <v>21</v>
      </c>
      <c r="B28" s="114" t="s">
        <v>114</v>
      </c>
      <c r="C28" s="109" t="e">
        <f>VLOOKUP(Table257519913140106110151155170178204227[[#This Row],[PEG]],Table1016[#All],2,FALSE)</f>
        <v>#N/A</v>
      </c>
      <c r="D28" s="117"/>
      <c r="E28" s="125" t="e">
        <f>VLOOKUP(Table257519913140106110151155170178204227[[#This Row],[PEG]],Table1016[#All],3,FALSE)</f>
        <v>#N/A</v>
      </c>
    </row>
    <row r="29" spans="1:5" x14ac:dyDescent="0.35">
      <c r="A29" s="118">
        <v>22</v>
      </c>
      <c r="B29" s="114" t="s">
        <v>12</v>
      </c>
      <c r="C29" s="109" t="e">
        <f>VLOOKUP(Table257519913140106110151155170178204227[[#This Row],[PEG]],Table1016[#All],2,FALSE)</f>
        <v>#N/A</v>
      </c>
      <c r="D29" s="117"/>
      <c r="E29" s="125" t="e">
        <f>VLOOKUP(Table257519913140106110151155170178204227[[#This Row],[PEG]],Table1016[#All],3,FALSE)</f>
        <v>#N/A</v>
      </c>
    </row>
    <row r="30" spans="1:5" x14ac:dyDescent="0.35">
      <c r="A30" s="118">
        <v>23</v>
      </c>
      <c r="B30" s="114" t="s">
        <v>12</v>
      </c>
      <c r="C30" s="109" t="e">
        <f>VLOOKUP(Table257519913140106110151155170178204227[[#This Row],[PEG]],Table1016[#All],2,FALSE)</f>
        <v>#N/A</v>
      </c>
      <c r="D30" s="117"/>
      <c r="E30" s="125" t="e">
        <f>VLOOKUP(Table257519913140106110151155170178204227[[#This Row],[PEG]],Table1016[#All],3,FALSE)</f>
        <v>#N/A</v>
      </c>
    </row>
    <row r="31" spans="1:5" x14ac:dyDescent="0.35">
      <c r="A31" s="118">
        <v>24</v>
      </c>
      <c r="B31" s="114" t="s">
        <v>115</v>
      </c>
      <c r="C31" s="109" t="e">
        <f>VLOOKUP(Table257519913140106110151155170178204227[[#This Row],[PEG]],Table1016[#All],2,FALSE)</f>
        <v>#N/A</v>
      </c>
      <c r="D31" s="117"/>
      <c r="E31" s="125" t="e">
        <f>VLOOKUP(Table257519913140106110151155170178204227[[#This Row],[PEG]],Table1016[#All],3,FALSE)</f>
        <v>#N/A</v>
      </c>
    </row>
    <row r="32" spans="1:5" x14ac:dyDescent="0.35">
      <c r="A32" s="118">
        <v>25</v>
      </c>
      <c r="B32" s="114" t="s">
        <v>115</v>
      </c>
      <c r="C32" s="109" t="e">
        <f>VLOOKUP(Table257519913140106110151155170178204227[[#This Row],[PEG]],Table1016[#All],2,FALSE)</f>
        <v>#N/A</v>
      </c>
      <c r="D32" s="117"/>
      <c r="E32" s="125" t="e">
        <f>VLOOKUP(Table257519913140106110151155170178204227[[#This Row],[PEG]],Table1016[#All],3,FALSE)</f>
        <v>#N/A</v>
      </c>
    </row>
    <row r="33" spans="1:5" x14ac:dyDescent="0.35">
      <c r="A33" s="118">
        <v>26</v>
      </c>
      <c r="B33" s="114" t="s">
        <v>124</v>
      </c>
      <c r="C33" s="109" t="e">
        <f>VLOOKUP(Table257519913140106110151155170178204227[[#This Row],[PEG]],Table1016[#All],2,FALSE)</f>
        <v>#N/A</v>
      </c>
      <c r="D33" s="117"/>
      <c r="E33" s="125" t="e">
        <f>VLOOKUP(Table257519913140106110151155170178204227[[#This Row],[PEG]],Table1016[#All],3,FALSE)</f>
        <v>#N/A</v>
      </c>
    </row>
    <row r="34" spans="1:5" x14ac:dyDescent="0.35">
      <c r="A34" s="118">
        <v>27</v>
      </c>
      <c r="B34" s="114" t="s">
        <v>115</v>
      </c>
      <c r="C34" s="109" t="e">
        <f>VLOOKUP(Table257519913140106110151155170178204227[[#This Row],[PEG]],Table1016[#All],2,FALSE)</f>
        <v>#N/A</v>
      </c>
      <c r="D34" s="117"/>
      <c r="E34" s="125" t="e">
        <f>VLOOKUP(Table257519913140106110151155170178204227[[#This Row],[PEG]],Table1016[#All],3,FALSE)</f>
        <v>#N/A</v>
      </c>
    </row>
    <row r="35" spans="1:5" x14ac:dyDescent="0.35">
      <c r="A35" s="118">
        <v>28</v>
      </c>
      <c r="B35" s="114" t="s">
        <v>124</v>
      </c>
      <c r="C35" s="109" t="e">
        <f>VLOOKUP(Table257519913140106110151155170178204227[[#This Row],[PEG]],Table1016[#All],2,FALSE)</f>
        <v>#N/A</v>
      </c>
      <c r="D35" s="117"/>
      <c r="E35" s="125" t="e">
        <f>VLOOKUP(Table257519913140106110151155170178204227[[#This Row],[PEG]],Table1016[#All],3,FALSE)</f>
        <v>#N/A</v>
      </c>
    </row>
    <row r="36" spans="1:5" x14ac:dyDescent="0.35">
      <c r="A36" s="118">
        <v>29</v>
      </c>
      <c r="B36" s="114" t="s">
        <v>115</v>
      </c>
      <c r="C36" s="109" t="e">
        <f>VLOOKUP(Table257519913140106110151155170178204227[[#This Row],[PEG]],Table1016[#All],2,FALSE)</f>
        <v>#N/A</v>
      </c>
      <c r="D36" s="117"/>
      <c r="E36" s="125" t="e">
        <f>VLOOKUP(Table257519913140106110151155170178204227[[#This Row],[PEG]],Table1016[#All],3,FALSE)</f>
        <v>#N/A</v>
      </c>
    </row>
    <row r="37" spans="1:5" x14ac:dyDescent="0.35">
      <c r="A37" s="118">
        <v>30</v>
      </c>
      <c r="B37" s="114" t="s">
        <v>12</v>
      </c>
      <c r="C37" s="109" t="e">
        <f>VLOOKUP(Table257519913140106110151155170178204227[[#This Row],[PEG]],Table1016[#All],2,FALSE)</f>
        <v>#N/A</v>
      </c>
      <c r="D37" s="117"/>
      <c r="E37" s="125" t="e">
        <f>VLOOKUP(Table257519913140106110151155170178204227[[#This Row],[PEG]],Table1016[#All],3,FALSE)</f>
        <v>#N/A</v>
      </c>
    </row>
    <row r="38" spans="1:5" x14ac:dyDescent="0.35">
      <c r="A38" s="118">
        <v>31</v>
      </c>
      <c r="B38" s="114" t="s">
        <v>12</v>
      </c>
      <c r="C38" s="109" t="e">
        <f>VLOOKUP(Table257519913140106110151155170178204227[[#This Row],[PEG]],Table1016[#All],2,FALSE)</f>
        <v>#N/A</v>
      </c>
      <c r="D38" s="117"/>
      <c r="E38" s="125" t="e">
        <f>VLOOKUP(Table257519913140106110151155170178204227[[#This Row],[PEG]],Table1016[#All],3,FALSE)</f>
        <v>#N/A</v>
      </c>
    </row>
    <row r="39" spans="1:5" x14ac:dyDescent="0.35">
      <c r="A39" s="118">
        <v>32</v>
      </c>
      <c r="B39" s="114" t="s">
        <v>12</v>
      </c>
      <c r="C39" s="109" t="e">
        <f>VLOOKUP(Table257519913140106110151155170178204227[[#This Row],[PEG]],Table1016[#All],2,FALSE)</f>
        <v>#N/A</v>
      </c>
      <c r="D39" s="117"/>
      <c r="E39" s="125" t="e">
        <f>VLOOKUP(Table257519913140106110151155170178204227[[#This Row],[PEG]],Table1016[#All],3,FALSE)</f>
        <v>#N/A</v>
      </c>
    </row>
    <row r="40" spans="1:5" x14ac:dyDescent="0.35">
      <c r="A40" s="118">
        <v>33</v>
      </c>
      <c r="B40" s="114" t="s">
        <v>12</v>
      </c>
      <c r="C40" s="109" t="e">
        <f>VLOOKUP(Table257519913140106110151155170178204227[[#This Row],[PEG]],Table1016[#All],2,FALSE)</f>
        <v>#N/A</v>
      </c>
      <c r="D40" s="117"/>
      <c r="E40" s="125" t="e">
        <f>VLOOKUP(Table257519913140106110151155170178204227[[#This Row],[PEG]],Table1016[#All],3,FALSE)</f>
        <v>#N/A</v>
      </c>
    </row>
    <row r="41" spans="1:5" x14ac:dyDescent="0.35">
      <c r="A41" s="118">
        <v>34</v>
      </c>
      <c r="B41" s="114" t="s">
        <v>115</v>
      </c>
      <c r="C41" s="109" t="e">
        <f>VLOOKUP(Table257519913140106110151155170178204227[[#This Row],[PEG]],Table1016[#All],2,FALSE)</f>
        <v>#N/A</v>
      </c>
      <c r="D41" s="117"/>
      <c r="E41" s="125" t="e">
        <f>VLOOKUP(Table257519913140106110151155170178204227[[#This Row],[PEG]],Table1016[#All],3,FALSE)</f>
        <v>#N/A</v>
      </c>
    </row>
    <row r="42" spans="1:5" x14ac:dyDescent="0.35">
      <c r="A42" s="118">
        <v>35</v>
      </c>
      <c r="B42" s="114" t="s">
        <v>12</v>
      </c>
      <c r="C42" s="109" t="e">
        <f>VLOOKUP(Table257519913140106110151155170178204227[[#This Row],[PEG]],Table1016[#All],2,FALSE)</f>
        <v>#N/A</v>
      </c>
      <c r="D42" s="115"/>
      <c r="E42" s="125" t="e">
        <f>VLOOKUP(Table257519913140106110151155170178204227[[#This Row],[PEG]],Table1016[#All],3,FALSE)</f>
        <v>#N/A</v>
      </c>
    </row>
    <row r="43" spans="1:5" x14ac:dyDescent="0.35">
      <c r="A43" s="118">
        <v>36</v>
      </c>
      <c r="B43" s="114" t="s">
        <v>115</v>
      </c>
      <c r="C43" s="109" t="e">
        <f>VLOOKUP(Table257519913140106110151155170178204227[[#This Row],[PEG]],Table1016[#All],2,FALSE)</f>
        <v>#N/A</v>
      </c>
      <c r="D43" s="115"/>
      <c r="E43" s="125" t="e">
        <f>VLOOKUP(Table257519913140106110151155170178204227[[#This Row],[PEG]],Table1016[#All],3,FALSE)</f>
        <v>#N/A</v>
      </c>
    </row>
    <row r="44" spans="1:5" x14ac:dyDescent="0.35">
      <c r="A44" s="118">
        <v>37</v>
      </c>
      <c r="B44" s="114" t="s">
        <v>13</v>
      </c>
      <c r="C44" s="18" t="s">
        <v>13</v>
      </c>
      <c r="D44" s="115"/>
      <c r="E44" s="32"/>
    </row>
  </sheetData>
  <mergeCells count="1">
    <mergeCell ref="A1:B1"/>
  </mergeCells>
  <conditionalFormatting sqref="B8:B18">
    <cfRule type="containsText" dxfId="705" priority="1" operator="containsText" text="Hear">
      <formula>NOT(ISERROR(SEARCH("Hear",B8)))</formula>
    </cfRule>
  </conditionalFormatting>
  <conditionalFormatting sqref="B30">
    <cfRule type="containsText" dxfId="704" priority="4" operator="containsText" text="Hear">
      <formula>NOT(ISERROR(SEARCH("Hear",B30)))</formula>
    </cfRule>
  </conditionalFormatting>
  <conditionalFormatting sqref="B43:B44">
    <cfRule type="containsText" dxfId="703" priority="8" operator="containsText" text="Hear">
      <formula>NOT(ISERROR(SEARCH("Hear",B43)))</formula>
    </cfRule>
  </conditionalFormatting>
  <conditionalFormatting sqref="E44">
    <cfRule type="containsText" dxfId="702" priority="6" operator="containsText" text="WEB SERVICE">
      <formula>NOT(ISERROR(SEARCH("WEB SERVICE",E44)))</formula>
    </cfRule>
    <cfRule type="containsText" dxfId="701" priority="7" operator="containsText" text="DB">
      <formula>NOT(ISERROR(SEARCH("DB",E44)))</formula>
    </cfRule>
  </conditionalFormatting>
  <conditionalFormatting sqref="C44">
    <cfRule type="expression" dxfId="700" priority="9">
      <formula>$B44="Dial"</formula>
    </cfRule>
  </conditionalFormatting>
  <conditionalFormatting sqref="C44">
    <cfRule type="expression" dxfId="699" priority="3">
      <formula>$B44="Speak"</formula>
    </cfRule>
  </conditionalFormatting>
  <conditionalFormatting sqref="B19:B29 B31:B35 B42">
    <cfRule type="containsText" dxfId="698" priority="5" operator="containsText" text="Hear">
      <formula>NOT(ISERROR(SEARCH("Hear",B19)))</formula>
    </cfRule>
  </conditionalFormatting>
  <hyperlinks>
    <hyperlink ref="A1" location="'Test Case Overview'!A1" display="Return to Test Case Overview" xr:uid="{8E9F2FAF-838C-4E0C-A132-1651E3DB584A}"/>
  </hyperlinks>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expression" priority="2" id="{163CFEF3-A481-4194-9895-17E7521445B2}">
            <xm:f>'TC1'!$B8="HANGUP"</xm:f>
            <x14:dxf>
              <font>
                <b/>
                <i val="0"/>
              </font>
            </x14:dxf>
          </x14:cfRule>
          <xm:sqref>C8</xm:sqref>
        </x14:conditionalFormatting>
        <x14:conditionalFormatting xmlns:xm="http://schemas.microsoft.com/office/excel/2006/main">
          <x14:cfRule type="expression" priority="3282" id="{163CFEF3-A481-4194-9895-17E7521445B2}">
            <xm:f>'TC1'!$B16="HANGUP"</xm:f>
            <x14:dxf>
              <font>
                <b/>
                <i val="0"/>
              </font>
            </x14:dxf>
          </x14:cfRule>
          <xm:sqref>C34:C43</xm:sqref>
        </x14:conditionalFormatting>
        <x14:conditionalFormatting xmlns:xm="http://schemas.microsoft.com/office/excel/2006/main">
          <x14:cfRule type="expression" priority="3283" id="{163CFEF3-A481-4194-9895-17E7521445B2}">
            <xm:f>'TC1'!#REF!="HANGUP"</xm:f>
            <x14:dxf>
              <font>
                <b/>
                <i val="0"/>
              </font>
            </x14:dxf>
          </x14:cfRule>
          <xm:sqref>C17:C33</xm:sqref>
        </x14:conditionalFormatting>
        <x14:conditionalFormatting xmlns:xm="http://schemas.microsoft.com/office/excel/2006/main">
          <x14:cfRule type="expression" priority="5896" id="{163CFEF3-A481-4194-9895-17E7521445B2}">
            <xm:f>'TC1'!$B9="HANGUP"</xm:f>
            <x14:dxf>
              <font>
                <b/>
                <i val="0"/>
              </font>
            </x14:dxf>
          </x14:cfRule>
          <xm:sqref>C12:C15</xm:sqref>
        </x14:conditionalFormatting>
        <x14:conditionalFormatting xmlns:xm="http://schemas.microsoft.com/office/excel/2006/main">
          <x14:cfRule type="expression" priority="5897" id="{163CFEF3-A481-4194-9895-17E7521445B2}">
            <xm:f>'TC1'!#REF!="HANGUP"</xm:f>
            <x14:dxf>
              <font>
                <b/>
                <i val="0"/>
              </font>
            </x14:dxf>
          </x14:cfRule>
          <xm:sqref>C9:C11</xm:sqref>
        </x14:conditionalFormatting>
        <x14:conditionalFormatting xmlns:xm="http://schemas.microsoft.com/office/excel/2006/main">
          <x14:cfRule type="expression" priority="8085" id="{163CFEF3-A481-4194-9895-17E7521445B2}">
            <xm:f>'TC1'!$B15="HANGUP"</xm:f>
            <x14:dxf>
              <font>
                <b/>
                <i val="0"/>
              </font>
            </x14:dxf>
          </x14:cfRule>
          <xm:sqref>C16</xm:sqref>
        </x14:conditionalFormatting>
      </x14:conditionalFormattings>
    </ext>
  </extLst>
</worksheet>
</file>

<file path=xl/worksheets/sheet1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000-000000000000}">
  <sheetPr codeName="Sheet162"/>
  <dimension ref="A1:E44"/>
  <sheetViews>
    <sheetView zoomScaleNormal="100" workbookViewId="0">
      <selection sqref="A1:E44"/>
    </sheetView>
  </sheetViews>
  <sheetFormatPr defaultRowHeight="14.5" x14ac:dyDescent="0.35"/>
  <cols>
    <col min="1" max="1" width="14.453125" bestFit="1" customWidth="1"/>
    <col min="2" max="2" width="42.6328125" customWidth="1"/>
    <col min="3" max="3" width="106.1796875" customWidth="1"/>
    <col min="4" max="4" width="21.81640625" bestFit="1" customWidth="1"/>
    <col min="5" max="5" width="20.6328125" customWidth="1"/>
  </cols>
  <sheetData>
    <row r="1" spans="1:5" ht="18.5" x14ac:dyDescent="0.35">
      <c r="A1" s="192" t="s">
        <v>4</v>
      </c>
      <c r="B1" s="192"/>
      <c r="C1" s="105"/>
      <c r="D1" s="111"/>
      <c r="E1" s="97"/>
    </row>
    <row r="2" spans="1:5" x14ac:dyDescent="0.35">
      <c r="A2" s="106" t="s">
        <v>5</v>
      </c>
      <c r="B2" s="107" t="str">
        <f ca="1">MID(CELL("filename",A1),FIND("]",CELL("filename",A1))+1,LEN(CELL("filename",A1))-FIND("]",CELL("filename",A1)))</f>
        <v>TC160</v>
      </c>
      <c r="C2" s="98"/>
      <c r="D2" s="111"/>
      <c r="E2" s="97"/>
    </row>
    <row r="3" spans="1:5" x14ac:dyDescent="0.35">
      <c r="A3" s="104" t="s">
        <v>19</v>
      </c>
      <c r="B3" s="112" t="e">
        <f ca="1">VLOOKUP(B2,Table53[#All],2,FALSE)</f>
        <v>#N/A</v>
      </c>
      <c r="C3" s="98"/>
      <c r="D3" s="111"/>
      <c r="E3" s="97"/>
    </row>
    <row r="4" spans="1:5" ht="29" x14ac:dyDescent="0.35">
      <c r="A4" s="113" t="s">
        <v>20</v>
      </c>
      <c r="B4" s="99" t="e">
        <f ca="1">VLOOKUP(B2,Table53[#All],4,FALSE)</f>
        <v>#N/A</v>
      </c>
      <c r="C4" s="98"/>
      <c r="D4" s="111"/>
      <c r="E4" s="97"/>
    </row>
    <row r="5" spans="1:5" x14ac:dyDescent="0.35">
      <c r="A5" s="104" t="s">
        <v>6</v>
      </c>
      <c r="B5" s="77" t="e">
        <f ca="1">VLOOKUP(B2,Table53[#All],3,FALSE)</f>
        <v>#N/A</v>
      </c>
      <c r="C5" s="98"/>
      <c r="D5" s="111"/>
      <c r="E5" s="97"/>
    </row>
    <row r="6" spans="1:5" x14ac:dyDescent="0.35">
      <c r="A6" s="97"/>
      <c r="B6" s="97"/>
      <c r="C6" s="98"/>
      <c r="D6" s="111"/>
      <c r="E6" s="97"/>
    </row>
    <row r="7" spans="1:5" ht="15.5" x14ac:dyDescent="0.35">
      <c r="A7" s="100" t="s">
        <v>7</v>
      </c>
      <c r="B7" s="101" t="s">
        <v>8</v>
      </c>
      <c r="C7" s="102" t="s">
        <v>9</v>
      </c>
      <c r="D7" s="102" t="s">
        <v>14</v>
      </c>
      <c r="E7" s="103" t="s">
        <v>10</v>
      </c>
    </row>
    <row r="8" spans="1:5" x14ac:dyDescent="0.35">
      <c r="A8" s="118">
        <v>1</v>
      </c>
      <c r="B8" s="114" t="s">
        <v>114</v>
      </c>
      <c r="C8" s="109" t="s">
        <v>125</v>
      </c>
      <c r="D8" s="128"/>
      <c r="E8" s="125" t="s">
        <v>11</v>
      </c>
    </row>
    <row r="9" spans="1:5" x14ac:dyDescent="0.35">
      <c r="A9" s="118">
        <v>2</v>
      </c>
      <c r="B9" s="114" t="s">
        <v>12</v>
      </c>
      <c r="C9" s="109" t="e">
        <f>VLOOKUP(Table257519913140106110151155170178204229[[#This Row],[PEG]],Table1016[#All],2,FALSE)</f>
        <v>#N/A</v>
      </c>
      <c r="D9" s="128"/>
      <c r="E9" s="125" t="e">
        <f>VLOOKUP(Table257519913140106110151155170178204229[[#This Row],[PEG]],Table1016[#All],3,FALSE)</f>
        <v>#N/A</v>
      </c>
    </row>
    <row r="10" spans="1:5" x14ac:dyDescent="0.35">
      <c r="A10" s="118">
        <v>3</v>
      </c>
      <c r="B10" s="114" t="s">
        <v>115</v>
      </c>
      <c r="C10" s="109" t="e">
        <f>VLOOKUP(Table257519913140106110151155170178204229[[#This Row],[PEG]],Table1016[#All],2,FALSE)</f>
        <v>#N/A</v>
      </c>
      <c r="D10" s="128"/>
      <c r="E10" s="125" t="e">
        <f>VLOOKUP(Table257519913140106110151155170178204229[[#This Row],[PEG]],Table1016[#All],3,FALSE)</f>
        <v>#N/A</v>
      </c>
    </row>
    <row r="11" spans="1:5" x14ac:dyDescent="0.35">
      <c r="A11" s="118">
        <v>4</v>
      </c>
      <c r="B11" s="114" t="s">
        <v>115</v>
      </c>
      <c r="C11" s="109" t="e">
        <f>VLOOKUP(Table257519913140106110151155170178204229[[#This Row],[PEG]],Table1016[#All],2,FALSE)</f>
        <v>#N/A</v>
      </c>
      <c r="D11" s="128"/>
      <c r="E11" s="125" t="e">
        <f>VLOOKUP(Table257519913140106110151155170178204229[[#This Row],[PEG]],Table1016[#All],3,FALSE)</f>
        <v>#N/A</v>
      </c>
    </row>
    <row r="12" spans="1:5" x14ac:dyDescent="0.35">
      <c r="A12" s="118">
        <v>5</v>
      </c>
      <c r="B12" s="114" t="s">
        <v>114</v>
      </c>
      <c r="C12" s="109" t="e">
        <f>VLOOKUP(Table257519913140106110151155170178204229[[#This Row],[PEG]],Table1016[#All],2,FALSE)</f>
        <v>#N/A</v>
      </c>
      <c r="D12" s="128"/>
      <c r="E12" s="125" t="e">
        <f>VLOOKUP(Table257519913140106110151155170178204229[[#This Row],[PEG]],Table1016[#All],3,FALSE)</f>
        <v>#N/A</v>
      </c>
    </row>
    <row r="13" spans="1:5" x14ac:dyDescent="0.35">
      <c r="A13" s="118">
        <v>6</v>
      </c>
      <c r="B13" s="114" t="s">
        <v>115</v>
      </c>
      <c r="C13" s="109" t="e">
        <f>VLOOKUP(Table257519913140106110151155170178204229[[#This Row],[PEG]],Table1016[#All],2,FALSE)</f>
        <v>#N/A</v>
      </c>
      <c r="D13" s="128"/>
      <c r="E13" s="125" t="e">
        <f>VLOOKUP(Table257519913140106110151155170178204229[[#This Row],[PEG]],Table1016[#All],3,FALSE)</f>
        <v>#N/A</v>
      </c>
    </row>
    <row r="14" spans="1:5" x14ac:dyDescent="0.35">
      <c r="A14" s="118">
        <v>7</v>
      </c>
      <c r="B14" s="114" t="s">
        <v>114</v>
      </c>
      <c r="C14" s="109" t="e">
        <f>VLOOKUP(Table257519913140106110151155170178204229[[#This Row],[PEG]],Table1016[#All],2,FALSE)</f>
        <v>#N/A</v>
      </c>
      <c r="D14" s="128"/>
      <c r="E14" s="125" t="e">
        <f>VLOOKUP(Table257519913140106110151155170178204229[[#This Row],[PEG]],Table1016[#All],3,FALSE)</f>
        <v>#N/A</v>
      </c>
    </row>
    <row r="15" spans="1:5" x14ac:dyDescent="0.35">
      <c r="A15" s="118">
        <v>8</v>
      </c>
      <c r="B15" s="114" t="s">
        <v>115</v>
      </c>
      <c r="C15" s="109" t="e">
        <f>VLOOKUP(Table257519913140106110151155170178204229[[#This Row],[PEG]],Table1016[#All],2,FALSE)</f>
        <v>#N/A</v>
      </c>
      <c r="D15" s="116"/>
      <c r="E15" s="125" t="e">
        <f>VLOOKUP(Table257519913140106110151155170178204229[[#This Row],[PEG]],Table1016[#All],3,FALSE)</f>
        <v>#N/A</v>
      </c>
    </row>
    <row r="16" spans="1:5" x14ac:dyDescent="0.35">
      <c r="A16" s="118">
        <v>9</v>
      </c>
      <c r="B16" s="114" t="s">
        <v>12</v>
      </c>
      <c r="C16" s="109" t="e">
        <f>VLOOKUP(Table257519913140106110151155170178204229[[#This Row],[PEG]],Table1016[#All],2,FALSE)</f>
        <v>#N/A</v>
      </c>
      <c r="D16" s="116"/>
      <c r="E16" s="125" t="e">
        <f>VLOOKUP(Table257519913140106110151155170178204229[[#This Row],[PEG]],Table1016[#All],3,FALSE)</f>
        <v>#N/A</v>
      </c>
    </row>
    <row r="17" spans="1:5" x14ac:dyDescent="0.35">
      <c r="A17" s="118">
        <v>10</v>
      </c>
      <c r="B17" s="114" t="s">
        <v>12</v>
      </c>
      <c r="C17" s="109" t="e">
        <f>VLOOKUP(Table257519913140106110151155170178204229[[#This Row],[PEG]],Table1016[#All],2,FALSE)</f>
        <v>#N/A</v>
      </c>
      <c r="D17" s="117"/>
      <c r="E17" s="125" t="e">
        <f>VLOOKUP(Table257519913140106110151155170178204229[[#This Row],[PEG]],Table1016[#All],3,FALSE)</f>
        <v>#N/A</v>
      </c>
    </row>
    <row r="18" spans="1:5" x14ac:dyDescent="0.35">
      <c r="A18" s="118">
        <v>11</v>
      </c>
      <c r="B18" s="114" t="s">
        <v>115</v>
      </c>
      <c r="C18" s="109" t="e">
        <f>VLOOKUP(Table257519913140106110151155170178204229[[#This Row],[PEG]],Table1016[#All],2,FALSE)</f>
        <v>#N/A</v>
      </c>
      <c r="D18" s="117"/>
      <c r="E18" s="125" t="e">
        <f>VLOOKUP(Table257519913140106110151155170178204229[[#This Row],[PEG]],Table1016[#All],3,FALSE)</f>
        <v>#N/A</v>
      </c>
    </row>
    <row r="19" spans="1:5" x14ac:dyDescent="0.35">
      <c r="A19" s="118">
        <v>12</v>
      </c>
      <c r="B19" s="114" t="s">
        <v>115</v>
      </c>
      <c r="C19" s="109" t="e">
        <f>VLOOKUP(Table257519913140106110151155170178204229[[#This Row],[PEG]],Table1016[#All],2,FALSE)</f>
        <v>#N/A</v>
      </c>
      <c r="D19" s="117"/>
      <c r="E19" s="125" t="e">
        <f>VLOOKUP(Table257519913140106110151155170178204229[[#This Row],[PEG]],Table1016[#All],3,FALSE)</f>
        <v>#N/A</v>
      </c>
    </row>
    <row r="20" spans="1:5" x14ac:dyDescent="0.35">
      <c r="A20" s="118">
        <v>13</v>
      </c>
      <c r="B20" s="114" t="s">
        <v>114</v>
      </c>
      <c r="C20" s="109" t="e">
        <f>VLOOKUP(Table257519913140106110151155170178204229[[#This Row],[PEG]],Table1016[#All],2,FALSE)</f>
        <v>#N/A</v>
      </c>
      <c r="D20" s="117"/>
      <c r="E20" s="125" t="e">
        <f>VLOOKUP(Table257519913140106110151155170178204229[[#This Row],[PEG]],Table1016[#All],3,FALSE)</f>
        <v>#N/A</v>
      </c>
    </row>
    <row r="21" spans="1:5" x14ac:dyDescent="0.35">
      <c r="A21" s="118">
        <v>14</v>
      </c>
      <c r="B21" s="114" t="s">
        <v>12</v>
      </c>
      <c r="C21" s="109" t="e">
        <f>VLOOKUP(Table257519913140106110151155170178204229[[#This Row],[PEG]],Table1016[#All],2,FALSE)</f>
        <v>#N/A</v>
      </c>
      <c r="D21" s="117"/>
      <c r="E21" s="125" t="e">
        <f>VLOOKUP(Table257519913140106110151155170178204229[[#This Row],[PEG]],Table1016[#All],3,FALSE)</f>
        <v>#N/A</v>
      </c>
    </row>
    <row r="22" spans="1:5" x14ac:dyDescent="0.35">
      <c r="A22" s="118">
        <v>15</v>
      </c>
      <c r="B22" s="114" t="s">
        <v>12</v>
      </c>
      <c r="C22" s="109" t="e">
        <f>VLOOKUP(Table257519913140106110151155170178204229[[#This Row],[PEG]],Table1016[#All],2,FALSE)</f>
        <v>#N/A</v>
      </c>
      <c r="D22" s="117"/>
      <c r="E22" s="125" t="e">
        <f>VLOOKUP(Table257519913140106110151155170178204229[[#This Row],[PEG]],Table1016[#All],3,FALSE)</f>
        <v>#N/A</v>
      </c>
    </row>
    <row r="23" spans="1:5" x14ac:dyDescent="0.35">
      <c r="A23" s="118">
        <v>16</v>
      </c>
      <c r="B23" s="114" t="s">
        <v>115</v>
      </c>
      <c r="C23" s="109" t="e">
        <f>VLOOKUP(Table257519913140106110151155170178204229[[#This Row],[PEG]],Table1016[#All],2,FALSE)</f>
        <v>#N/A</v>
      </c>
      <c r="D23" s="117"/>
      <c r="E23" s="125" t="e">
        <f>VLOOKUP(Table257519913140106110151155170178204229[[#This Row],[PEG]],Table1016[#All],3,FALSE)</f>
        <v>#N/A</v>
      </c>
    </row>
    <row r="24" spans="1:5" x14ac:dyDescent="0.35">
      <c r="A24" s="118">
        <v>17</v>
      </c>
      <c r="B24" s="114" t="s">
        <v>114</v>
      </c>
      <c r="C24" s="109" t="e">
        <f>VLOOKUP(Table257519913140106110151155170178204229[[#This Row],[PEG]],Table1016[#All],2,FALSE)</f>
        <v>#N/A</v>
      </c>
      <c r="D24" s="117"/>
      <c r="E24" s="125" t="e">
        <f>VLOOKUP(Table257519913140106110151155170178204229[[#This Row],[PEG]],Table1016[#All],3,FALSE)</f>
        <v>#N/A</v>
      </c>
    </row>
    <row r="25" spans="1:5" x14ac:dyDescent="0.35">
      <c r="A25" s="118">
        <v>18</v>
      </c>
      <c r="B25" s="114" t="s">
        <v>12</v>
      </c>
      <c r="C25" s="109" t="e">
        <f>VLOOKUP(Table257519913140106110151155170178204229[[#This Row],[PEG]],Table1016[#All],2,FALSE)</f>
        <v>#N/A</v>
      </c>
      <c r="D25" s="117"/>
      <c r="E25" s="125" t="e">
        <f>VLOOKUP(Table257519913140106110151155170178204229[[#This Row],[PEG]],Table1016[#All],3,FALSE)</f>
        <v>#N/A</v>
      </c>
    </row>
    <row r="26" spans="1:5" x14ac:dyDescent="0.35">
      <c r="A26" s="118">
        <v>19</v>
      </c>
      <c r="B26" s="114" t="s">
        <v>12</v>
      </c>
      <c r="C26" s="109" t="e">
        <f>VLOOKUP(Table257519913140106110151155170178204229[[#This Row],[PEG]],Table1016[#All],2,FALSE)</f>
        <v>#N/A</v>
      </c>
      <c r="D26" s="117"/>
      <c r="E26" s="125" t="e">
        <f>VLOOKUP(Table257519913140106110151155170178204229[[#This Row],[PEG]],Table1016[#All],3,FALSE)</f>
        <v>#N/A</v>
      </c>
    </row>
    <row r="27" spans="1:5" x14ac:dyDescent="0.35">
      <c r="A27" s="118">
        <v>20</v>
      </c>
      <c r="B27" s="114" t="s">
        <v>115</v>
      </c>
      <c r="C27" s="109" t="e">
        <f>VLOOKUP(Table257519913140106110151155170178204229[[#This Row],[PEG]],Table1016[#All],2,FALSE)</f>
        <v>#N/A</v>
      </c>
      <c r="D27" s="117"/>
      <c r="E27" s="125" t="e">
        <f>VLOOKUP(Table257519913140106110151155170178204229[[#This Row],[PEG]],Table1016[#All],3,FALSE)</f>
        <v>#N/A</v>
      </c>
    </row>
    <row r="28" spans="1:5" x14ac:dyDescent="0.35">
      <c r="A28" s="118">
        <v>21</v>
      </c>
      <c r="B28" s="114" t="s">
        <v>114</v>
      </c>
      <c r="C28" s="109" t="e">
        <f>VLOOKUP(Table257519913140106110151155170178204229[[#This Row],[PEG]],Table1016[#All],2,FALSE)</f>
        <v>#N/A</v>
      </c>
      <c r="D28" s="117"/>
      <c r="E28" s="125" t="e">
        <f>VLOOKUP(Table257519913140106110151155170178204229[[#This Row],[PEG]],Table1016[#All],3,FALSE)</f>
        <v>#N/A</v>
      </c>
    </row>
    <row r="29" spans="1:5" x14ac:dyDescent="0.35">
      <c r="A29" s="118">
        <v>22</v>
      </c>
      <c r="B29" s="114" t="s">
        <v>12</v>
      </c>
      <c r="C29" s="109" t="e">
        <f>VLOOKUP(Table257519913140106110151155170178204229[[#This Row],[PEG]],Table1016[#All],2,FALSE)</f>
        <v>#N/A</v>
      </c>
      <c r="D29" s="117"/>
      <c r="E29" s="125" t="e">
        <f>VLOOKUP(Table257519913140106110151155170178204229[[#This Row],[PEG]],Table1016[#All],3,FALSE)</f>
        <v>#N/A</v>
      </c>
    </row>
    <row r="30" spans="1:5" x14ac:dyDescent="0.35">
      <c r="A30" s="118">
        <v>23</v>
      </c>
      <c r="B30" s="114" t="s">
        <v>12</v>
      </c>
      <c r="C30" s="109" t="e">
        <f>VLOOKUP(Table257519913140106110151155170178204229[[#This Row],[PEG]],Table1016[#All],2,FALSE)</f>
        <v>#N/A</v>
      </c>
      <c r="D30" s="117"/>
      <c r="E30" s="125" t="e">
        <f>VLOOKUP(Table257519913140106110151155170178204229[[#This Row],[PEG]],Table1016[#All],3,FALSE)</f>
        <v>#N/A</v>
      </c>
    </row>
    <row r="31" spans="1:5" x14ac:dyDescent="0.35">
      <c r="A31" s="118">
        <v>24</v>
      </c>
      <c r="B31" s="114" t="s">
        <v>115</v>
      </c>
      <c r="C31" s="109" t="e">
        <f>VLOOKUP(Table257519913140106110151155170178204229[[#This Row],[PEG]],Table1016[#All],2,FALSE)</f>
        <v>#N/A</v>
      </c>
      <c r="D31" s="117"/>
      <c r="E31" s="125" t="e">
        <f>VLOOKUP(Table257519913140106110151155170178204229[[#This Row],[PEG]],Table1016[#All],3,FALSE)</f>
        <v>#N/A</v>
      </c>
    </row>
    <row r="32" spans="1:5" x14ac:dyDescent="0.35">
      <c r="A32" s="118">
        <v>25</v>
      </c>
      <c r="B32" s="114" t="s">
        <v>115</v>
      </c>
      <c r="C32" s="109" t="e">
        <f>VLOOKUP(Table257519913140106110151155170178204229[[#This Row],[PEG]],Table1016[#All],2,FALSE)</f>
        <v>#N/A</v>
      </c>
      <c r="D32" s="117"/>
      <c r="E32" s="125" t="e">
        <f>VLOOKUP(Table257519913140106110151155170178204229[[#This Row],[PEG]],Table1016[#All],3,FALSE)</f>
        <v>#N/A</v>
      </c>
    </row>
    <row r="33" spans="1:5" x14ac:dyDescent="0.35">
      <c r="A33" s="118">
        <v>26</v>
      </c>
      <c r="B33" s="114" t="s">
        <v>124</v>
      </c>
      <c r="C33" s="109" t="e">
        <f>VLOOKUP(Table257519913140106110151155170178204229[[#This Row],[PEG]],Table1016[#All],2,FALSE)</f>
        <v>#N/A</v>
      </c>
      <c r="D33" s="117"/>
      <c r="E33" s="125" t="e">
        <f>VLOOKUP(Table257519913140106110151155170178204229[[#This Row],[PEG]],Table1016[#All],3,FALSE)</f>
        <v>#N/A</v>
      </c>
    </row>
    <row r="34" spans="1:5" x14ac:dyDescent="0.35">
      <c r="A34" s="118">
        <v>27</v>
      </c>
      <c r="B34" s="114" t="s">
        <v>115</v>
      </c>
      <c r="C34" s="109" t="e">
        <f>VLOOKUP(Table257519913140106110151155170178204229[[#This Row],[PEG]],Table1016[#All],2,FALSE)</f>
        <v>#N/A</v>
      </c>
      <c r="D34" s="117"/>
      <c r="E34" s="125" t="e">
        <f>VLOOKUP(Table257519913140106110151155170178204229[[#This Row],[PEG]],Table1016[#All],3,FALSE)</f>
        <v>#N/A</v>
      </c>
    </row>
    <row r="35" spans="1:5" x14ac:dyDescent="0.35">
      <c r="A35" s="118">
        <v>28</v>
      </c>
      <c r="B35" s="114" t="s">
        <v>124</v>
      </c>
      <c r="C35" s="109" t="e">
        <f>VLOOKUP(Table257519913140106110151155170178204229[[#This Row],[PEG]],Table1016[#All],2,FALSE)</f>
        <v>#N/A</v>
      </c>
      <c r="D35" s="117"/>
      <c r="E35" s="125" t="e">
        <f>VLOOKUP(Table257519913140106110151155170178204229[[#This Row],[PEG]],Table1016[#All],3,FALSE)</f>
        <v>#N/A</v>
      </c>
    </row>
    <row r="36" spans="1:5" x14ac:dyDescent="0.35">
      <c r="A36" s="118">
        <v>29</v>
      </c>
      <c r="B36" s="114" t="s">
        <v>115</v>
      </c>
      <c r="C36" s="109" t="e">
        <f>VLOOKUP(Table257519913140106110151155170178204229[[#This Row],[PEG]],Table1016[#All],2,FALSE)</f>
        <v>#N/A</v>
      </c>
      <c r="D36" s="117"/>
      <c r="E36" s="125" t="e">
        <f>VLOOKUP(Table257519913140106110151155170178204229[[#This Row],[PEG]],Table1016[#All],3,FALSE)</f>
        <v>#N/A</v>
      </c>
    </row>
    <row r="37" spans="1:5" x14ac:dyDescent="0.35">
      <c r="A37" s="118">
        <v>30</v>
      </c>
      <c r="B37" s="114" t="s">
        <v>12</v>
      </c>
      <c r="C37" s="109" t="e">
        <f>VLOOKUP(Table257519913140106110151155170178204229[[#This Row],[PEG]],Table1016[#All],2,FALSE)</f>
        <v>#N/A</v>
      </c>
      <c r="D37" s="117"/>
      <c r="E37" s="125" t="e">
        <f>VLOOKUP(Table257519913140106110151155170178204229[[#This Row],[PEG]],Table1016[#All],3,FALSE)</f>
        <v>#N/A</v>
      </c>
    </row>
    <row r="38" spans="1:5" x14ac:dyDescent="0.35">
      <c r="A38" s="118">
        <v>31</v>
      </c>
      <c r="B38" s="114" t="s">
        <v>12</v>
      </c>
      <c r="C38" s="109" t="e">
        <f>VLOOKUP(Table257519913140106110151155170178204229[[#This Row],[PEG]],Table1016[#All],2,FALSE)</f>
        <v>#N/A</v>
      </c>
      <c r="D38" s="117"/>
      <c r="E38" s="125" t="e">
        <f>VLOOKUP(Table257519913140106110151155170178204229[[#This Row],[PEG]],Table1016[#All],3,FALSE)</f>
        <v>#N/A</v>
      </c>
    </row>
    <row r="39" spans="1:5" x14ac:dyDescent="0.35">
      <c r="A39" s="118">
        <v>32</v>
      </c>
      <c r="B39" s="114" t="s">
        <v>12</v>
      </c>
      <c r="C39" s="109" t="e">
        <f>VLOOKUP(Table257519913140106110151155170178204229[[#This Row],[PEG]],Table1016[#All],2,FALSE)</f>
        <v>#N/A</v>
      </c>
      <c r="D39" s="117"/>
      <c r="E39" s="125" t="e">
        <f>VLOOKUP(Table257519913140106110151155170178204229[[#This Row],[PEG]],Table1016[#All],3,FALSE)</f>
        <v>#N/A</v>
      </c>
    </row>
    <row r="40" spans="1:5" x14ac:dyDescent="0.35">
      <c r="A40" s="118">
        <v>33</v>
      </c>
      <c r="B40" s="114" t="s">
        <v>12</v>
      </c>
      <c r="C40" s="109" t="e">
        <f>VLOOKUP(Table257519913140106110151155170178204229[[#This Row],[PEG]],Table1016[#All],2,FALSE)</f>
        <v>#N/A</v>
      </c>
      <c r="D40" s="117"/>
      <c r="E40" s="125" t="e">
        <f>VLOOKUP(Table257519913140106110151155170178204229[[#This Row],[PEG]],Table1016[#All],3,FALSE)</f>
        <v>#N/A</v>
      </c>
    </row>
    <row r="41" spans="1:5" x14ac:dyDescent="0.35">
      <c r="A41" s="118">
        <v>34</v>
      </c>
      <c r="B41" s="114" t="s">
        <v>115</v>
      </c>
      <c r="C41" s="109" t="e">
        <f>VLOOKUP(Table257519913140106110151155170178204229[[#This Row],[PEG]],Table1016[#All],2,FALSE)</f>
        <v>#N/A</v>
      </c>
      <c r="D41" s="117"/>
      <c r="E41" s="125" t="e">
        <f>VLOOKUP(Table257519913140106110151155170178204229[[#This Row],[PEG]],Table1016[#All],3,FALSE)</f>
        <v>#N/A</v>
      </c>
    </row>
    <row r="42" spans="1:5" x14ac:dyDescent="0.35">
      <c r="A42" s="118">
        <v>35</v>
      </c>
      <c r="B42" s="114" t="s">
        <v>12</v>
      </c>
      <c r="C42" s="109" t="e">
        <f>VLOOKUP(Table257519913140106110151155170178204229[[#This Row],[PEG]],Table1016[#All],2,FALSE)</f>
        <v>#N/A</v>
      </c>
      <c r="D42" s="115"/>
      <c r="E42" s="125" t="e">
        <f>VLOOKUP(Table257519913140106110151155170178204229[[#This Row],[PEG]],Table1016[#All],3,FALSE)</f>
        <v>#N/A</v>
      </c>
    </row>
    <row r="43" spans="1:5" x14ac:dyDescent="0.35">
      <c r="A43" s="118">
        <v>36</v>
      </c>
      <c r="B43" s="114" t="s">
        <v>115</v>
      </c>
      <c r="C43" s="109" t="e">
        <f>VLOOKUP(Table257519913140106110151155170178204229[[#This Row],[PEG]],Table1016[#All],2,FALSE)</f>
        <v>#N/A</v>
      </c>
      <c r="D43" s="115"/>
      <c r="E43" s="125" t="e">
        <f>VLOOKUP(Table257519913140106110151155170178204229[[#This Row],[PEG]],Table1016[#All],3,FALSE)</f>
        <v>#N/A</v>
      </c>
    </row>
    <row r="44" spans="1:5" x14ac:dyDescent="0.35">
      <c r="A44" s="118">
        <v>37</v>
      </c>
      <c r="B44" s="114" t="s">
        <v>13</v>
      </c>
      <c r="C44" s="18" t="s">
        <v>13</v>
      </c>
      <c r="D44" s="115"/>
      <c r="E44" s="32"/>
    </row>
  </sheetData>
  <mergeCells count="1">
    <mergeCell ref="A1:B1"/>
  </mergeCells>
  <conditionalFormatting sqref="B8:B18">
    <cfRule type="containsText" dxfId="691" priority="1" operator="containsText" text="Hear">
      <formula>NOT(ISERROR(SEARCH("Hear",B8)))</formula>
    </cfRule>
  </conditionalFormatting>
  <conditionalFormatting sqref="B30">
    <cfRule type="containsText" dxfId="690" priority="4" operator="containsText" text="Hear">
      <formula>NOT(ISERROR(SEARCH("Hear",B30)))</formula>
    </cfRule>
  </conditionalFormatting>
  <conditionalFormatting sqref="B43:B44">
    <cfRule type="containsText" dxfId="689" priority="8" operator="containsText" text="Hear">
      <formula>NOT(ISERROR(SEARCH("Hear",B43)))</formula>
    </cfRule>
  </conditionalFormatting>
  <conditionalFormatting sqref="E44">
    <cfRule type="containsText" dxfId="688" priority="6" operator="containsText" text="WEB SERVICE">
      <formula>NOT(ISERROR(SEARCH("WEB SERVICE",E44)))</formula>
    </cfRule>
    <cfRule type="containsText" dxfId="687" priority="7" operator="containsText" text="DB">
      <formula>NOT(ISERROR(SEARCH("DB",E44)))</formula>
    </cfRule>
  </conditionalFormatting>
  <conditionalFormatting sqref="C44">
    <cfRule type="expression" dxfId="686" priority="9">
      <formula>$B44="Dial"</formula>
    </cfRule>
  </conditionalFormatting>
  <conditionalFormatting sqref="C44">
    <cfRule type="expression" dxfId="685" priority="3">
      <formula>$B44="Speak"</formula>
    </cfRule>
  </conditionalFormatting>
  <conditionalFormatting sqref="B19:B29 B31:B35 B42">
    <cfRule type="containsText" dxfId="684" priority="5" operator="containsText" text="Hear">
      <formula>NOT(ISERROR(SEARCH("Hear",B19)))</formula>
    </cfRule>
  </conditionalFormatting>
  <hyperlinks>
    <hyperlink ref="A1" location="'Test Case Overview'!A1" display="Return to Test Case Overview" xr:uid="{8837ED8E-56CE-4EB3-8A9B-CB7B51538843}"/>
  </hyperlinks>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expression" priority="2" id="{2E128157-34CE-46B9-8C92-7D80D385594B}">
            <xm:f>'TC1'!$B8="HANGUP"</xm:f>
            <x14:dxf>
              <font>
                <b/>
                <i val="0"/>
              </font>
            </x14:dxf>
          </x14:cfRule>
          <xm:sqref>C8</xm:sqref>
        </x14:conditionalFormatting>
        <x14:conditionalFormatting xmlns:xm="http://schemas.microsoft.com/office/excel/2006/main">
          <x14:cfRule type="expression" priority="3286" id="{2E128157-34CE-46B9-8C92-7D80D385594B}">
            <xm:f>'TC1'!$B16="HANGUP"</xm:f>
            <x14:dxf>
              <font>
                <b/>
                <i val="0"/>
              </font>
            </x14:dxf>
          </x14:cfRule>
          <xm:sqref>C34:C43</xm:sqref>
        </x14:conditionalFormatting>
        <x14:conditionalFormatting xmlns:xm="http://schemas.microsoft.com/office/excel/2006/main">
          <x14:cfRule type="expression" priority="3287" id="{2E128157-34CE-46B9-8C92-7D80D385594B}">
            <xm:f>'TC1'!#REF!="HANGUP"</xm:f>
            <x14:dxf>
              <font>
                <b/>
                <i val="0"/>
              </font>
            </x14:dxf>
          </x14:cfRule>
          <xm:sqref>C17:C33</xm:sqref>
        </x14:conditionalFormatting>
        <x14:conditionalFormatting xmlns:xm="http://schemas.microsoft.com/office/excel/2006/main">
          <x14:cfRule type="expression" priority="5900" id="{2E128157-34CE-46B9-8C92-7D80D385594B}">
            <xm:f>'TC1'!$B9="HANGUP"</xm:f>
            <x14:dxf>
              <font>
                <b/>
                <i val="0"/>
              </font>
            </x14:dxf>
          </x14:cfRule>
          <xm:sqref>C12:C15</xm:sqref>
        </x14:conditionalFormatting>
        <x14:conditionalFormatting xmlns:xm="http://schemas.microsoft.com/office/excel/2006/main">
          <x14:cfRule type="expression" priority="5901" id="{2E128157-34CE-46B9-8C92-7D80D385594B}">
            <xm:f>'TC1'!#REF!="HANGUP"</xm:f>
            <x14:dxf>
              <font>
                <b/>
                <i val="0"/>
              </font>
            </x14:dxf>
          </x14:cfRule>
          <xm:sqref>C9:C11</xm:sqref>
        </x14:conditionalFormatting>
        <x14:conditionalFormatting xmlns:xm="http://schemas.microsoft.com/office/excel/2006/main">
          <x14:cfRule type="expression" priority="8088" id="{2E128157-34CE-46B9-8C92-7D80D385594B}">
            <xm:f>'TC1'!$B15="HANGUP"</xm:f>
            <x14:dxf>
              <font>
                <b/>
                <i val="0"/>
              </font>
            </x14:dxf>
          </x14:cfRule>
          <xm:sqref>C16</xm:sqref>
        </x14:conditionalFormatting>
      </x14:conditionalFormattings>
    </ext>
  </extLst>
</worksheet>
</file>

<file path=xl/worksheets/sheet1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100-000000000000}">
  <sheetPr codeName="Sheet163"/>
  <dimension ref="A1:E44"/>
  <sheetViews>
    <sheetView zoomScaleNormal="100" workbookViewId="0">
      <selection sqref="A1:E44"/>
    </sheetView>
  </sheetViews>
  <sheetFormatPr defaultRowHeight="14.5" x14ac:dyDescent="0.35"/>
  <cols>
    <col min="1" max="1" width="14.453125" bestFit="1" customWidth="1"/>
    <col min="2" max="2" width="42.6328125" customWidth="1"/>
    <col min="3" max="3" width="106.1796875" customWidth="1"/>
    <col min="4" max="4" width="21.81640625" bestFit="1" customWidth="1"/>
    <col min="5" max="5" width="20.6328125" customWidth="1"/>
  </cols>
  <sheetData>
    <row r="1" spans="1:5" ht="18.5" x14ac:dyDescent="0.35">
      <c r="A1" s="192" t="s">
        <v>4</v>
      </c>
      <c r="B1" s="192"/>
      <c r="C1" s="105"/>
      <c r="D1" s="111"/>
      <c r="E1" s="97"/>
    </row>
    <row r="2" spans="1:5" x14ac:dyDescent="0.35">
      <c r="A2" s="106" t="s">
        <v>5</v>
      </c>
      <c r="B2" s="107" t="str">
        <f ca="1">MID(CELL("filename",A1),FIND("]",CELL("filename",A1))+1,LEN(CELL("filename",A1))-FIND("]",CELL("filename",A1)))</f>
        <v>TC161</v>
      </c>
      <c r="C2" s="98"/>
      <c r="D2" s="111"/>
      <c r="E2" s="97"/>
    </row>
    <row r="3" spans="1:5" x14ac:dyDescent="0.35">
      <c r="A3" s="104" t="s">
        <v>19</v>
      </c>
      <c r="B3" s="112" t="e">
        <f ca="1">VLOOKUP(B2,Table53[#All],2,FALSE)</f>
        <v>#N/A</v>
      </c>
      <c r="C3" s="98"/>
      <c r="D3" s="111"/>
      <c r="E3" s="97"/>
    </row>
    <row r="4" spans="1:5" ht="29" x14ac:dyDescent="0.35">
      <c r="A4" s="113" t="s">
        <v>20</v>
      </c>
      <c r="B4" s="99" t="e">
        <f ca="1">VLOOKUP(B2,Table53[#All],4,FALSE)</f>
        <v>#N/A</v>
      </c>
      <c r="C4" s="98"/>
      <c r="D4" s="111"/>
      <c r="E4" s="97"/>
    </row>
    <row r="5" spans="1:5" x14ac:dyDescent="0.35">
      <c r="A5" s="104" t="s">
        <v>6</v>
      </c>
      <c r="B5" s="77" t="e">
        <f ca="1">VLOOKUP(B2,Table53[#All],3,FALSE)</f>
        <v>#N/A</v>
      </c>
      <c r="C5" s="98"/>
      <c r="D5" s="111"/>
      <c r="E5" s="97"/>
    </row>
    <row r="6" spans="1:5" x14ac:dyDescent="0.35">
      <c r="A6" s="97"/>
      <c r="B6" s="97"/>
      <c r="C6" s="98"/>
      <c r="D6" s="111"/>
      <c r="E6" s="97"/>
    </row>
    <row r="7" spans="1:5" ht="15.5" x14ac:dyDescent="0.35">
      <c r="A7" s="100" t="s">
        <v>7</v>
      </c>
      <c r="B7" s="101" t="s">
        <v>8</v>
      </c>
      <c r="C7" s="102" t="s">
        <v>9</v>
      </c>
      <c r="D7" s="102" t="s">
        <v>14</v>
      </c>
      <c r="E7" s="103" t="s">
        <v>10</v>
      </c>
    </row>
    <row r="8" spans="1:5" x14ac:dyDescent="0.35">
      <c r="A8" s="118">
        <v>1</v>
      </c>
      <c r="B8" s="114" t="s">
        <v>114</v>
      </c>
      <c r="C8" s="109" t="s">
        <v>125</v>
      </c>
      <c r="D8" s="128"/>
      <c r="E8" s="125" t="s">
        <v>11</v>
      </c>
    </row>
    <row r="9" spans="1:5" x14ac:dyDescent="0.35">
      <c r="A9" s="118">
        <v>2</v>
      </c>
      <c r="B9" s="114" t="s">
        <v>12</v>
      </c>
      <c r="C9" s="109" t="e">
        <f>VLOOKUP(Table257519913140106110151155170178204231[[#This Row],[PEG]],Table1016[#All],2,FALSE)</f>
        <v>#N/A</v>
      </c>
      <c r="D9" s="128"/>
      <c r="E9" s="125" t="e">
        <f>VLOOKUP(Table257519913140106110151155170178204231[[#This Row],[PEG]],Table1016[#All],3,FALSE)</f>
        <v>#N/A</v>
      </c>
    </row>
    <row r="10" spans="1:5" x14ac:dyDescent="0.35">
      <c r="A10" s="118">
        <v>3</v>
      </c>
      <c r="B10" s="114" t="s">
        <v>115</v>
      </c>
      <c r="C10" s="109" t="e">
        <f>VLOOKUP(Table257519913140106110151155170178204231[[#This Row],[PEG]],Table1016[#All],2,FALSE)</f>
        <v>#N/A</v>
      </c>
      <c r="D10" s="128"/>
      <c r="E10" s="125" t="e">
        <f>VLOOKUP(Table257519913140106110151155170178204231[[#This Row],[PEG]],Table1016[#All],3,FALSE)</f>
        <v>#N/A</v>
      </c>
    </row>
    <row r="11" spans="1:5" x14ac:dyDescent="0.35">
      <c r="A11" s="118">
        <v>4</v>
      </c>
      <c r="B11" s="114" t="s">
        <v>115</v>
      </c>
      <c r="C11" s="109" t="e">
        <f>VLOOKUP(Table257519913140106110151155170178204231[[#This Row],[PEG]],Table1016[#All],2,FALSE)</f>
        <v>#N/A</v>
      </c>
      <c r="D11" s="128"/>
      <c r="E11" s="125" t="e">
        <f>VLOOKUP(Table257519913140106110151155170178204231[[#This Row],[PEG]],Table1016[#All],3,FALSE)</f>
        <v>#N/A</v>
      </c>
    </row>
    <row r="12" spans="1:5" x14ac:dyDescent="0.35">
      <c r="A12" s="118">
        <v>5</v>
      </c>
      <c r="B12" s="114" t="s">
        <v>114</v>
      </c>
      <c r="C12" s="109" t="e">
        <f>VLOOKUP(Table257519913140106110151155170178204231[[#This Row],[PEG]],Table1016[#All],2,FALSE)</f>
        <v>#N/A</v>
      </c>
      <c r="D12" s="128"/>
      <c r="E12" s="125" t="e">
        <f>VLOOKUP(Table257519913140106110151155170178204231[[#This Row],[PEG]],Table1016[#All],3,FALSE)</f>
        <v>#N/A</v>
      </c>
    </row>
    <row r="13" spans="1:5" x14ac:dyDescent="0.35">
      <c r="A13" s="118">
        <v>6</v>
      </c>
      <c r="B13" s="114" t="s">
        <v>115</v>
      </c>
      <c r="C13" s="109" t="e">
        <f>VLOOKUP(Table257519913140106110151155170178204231[[#This Row],[PEG]],Table1016[#All],2,FALSE)</f>
        <v>#N/A</v>
      </c>
      <c r="D13" s="128"/>
      <c r="E13" s="125" t="e">
        <f>VLOOKUP(Table257519913140106110151155170178204231[[#This Row],[PEG]],Table1016[#All],3,FALSE)</f>
        <v>#N/A</v>
      </c>
    </row>
    <row r="14" spans="1:5" x14ac:dyDescent="0.35">
      <c r="A14" s="118">
        <v>7</v>
      </c>
      <c r="B14" s="114" t="s">
        <v>114</v>
      </c>
      <c r="C14" s="109" t="e">
        <f>VLOOKUP(Table257519913140106110151155170178204231[[#This Row],[PEG]],Table1016[#All],2,FALSE)</f>
        <v>#N/A</v>
      </c>
      <c r="D14" s="128"/>
      <c r="E14" s="125" t="e">
        <f>VLOOKUP(Table257519913140106110151155170178204231[[#This Row],[PEG]],Table1016[#All],3,FALSE)</f>
        <v>#N/A</v>
      </c>
    </row>
    <row r="15" spans="1:5" x14ac:dyDescent="0.35">
      <c r="A15" s="118">
        <v>8</v>
      </c>
      <c r="B15" s="114" t="s">
        <v>115</v>
      </c>
      <c r="C15" s="109" t="e">
        <f>VLOOKUP(Table257519913140106110151155170178204231[[#This Row],[PEG]],Table1016[#All],2,FALSE)</f>
        <v>#N/A</v>
      </c>
      <c r="D15" s="116"/>
      <c r="E15" s="125" t="e">
        <f>VLOOKUP(Table257519913140106110151155170178204231[[#This Row],[PEG]],Table1016[#All],3,FALSE)</f>
        <v>#N/A</v>
      </c>
    </row>
    <row r="16" spans="1:5" x14ac:dyDescent="0.35">
      <c r="A16" s="118">
        <v>9</v>
      </c>
      <c r="B16" s="114" t="s">
        <v>12</v>
      </c>
      <c r="C16" s="109" t="e">
        <f>VLOOKUP(Table257519913140106110151155170178204231[[#This Row],[PEG]],Table1016[#All],2,FALSE)</f>
        <v>#N/A</v>
      </c>
      <c r="D16" s="116"/>
      <c r="E16" s="125" t="e">
        <f>VLOOKUP(Table257519913140106110151155170178204231[[#This Row],[PEG]],Table1016[#All],3,FALSE)</f>
        <v>#N/A</v>
      </c>
    </row>
    <row r="17" spans="1:5" x14ac:dyDescent="0.35">
      <c r="A17" s="118">
        <v>10</v>
      </c>
      <c r="B17" s="114" t="s">
        <v>12</v>
      </c>
      <c r="C17" s="109" t="e">
        <f>VLOOKUP(Table257519913140106110151155170178204231[[#This Row],[PEG]],Table1016[#All],2,FALSE)</f>
        <v>#N/A</v>
      </c>
      <c r="D17" s="117"/>
      <c r="E17" s="125" t="e">
        <f>VLOOKUP(Table257519913140106110151155170178204231[[#This Row],[PEG]],Table1016[#All],3,FALSE)</f>
        <v>#N/A</v>
      </c>
    </row>
    <row r="18" spans="1:5" x14ac:dyDescent="0.35">
      <c r="A18" s="118">
        <v>11</v>
      </c>
      <c r="B18" s="114" t="s">
        <v>115</v>
      </c>
      <c r="C18" s="109" t="e">
        <f>VLOOKUP(Table257519913140106110151155170178204231[[#This Row],[PEG]],Table1016[#All],2,FALSE)</f>
        <v>#N/A</v>
      </c>
      <c r="D18" s="117"/>
      <c r="E18" s="125" t="e">
        <f>VLOOKUP(Table257519913140106110151155170178204231[[#This Row],[PEG]],Table1016[#All],3,FALSE)</f>
        <v>#N/A</v>
      </c>
    </row>
    <row r="19" spans="1:5" x14ac:dyDescent="0.35">
      <c r="A19" s="118">
        <v>12</v>
      </c>
      <c r="B19" s="114" t="s">
        <v>115</v>
      </c>
      <c r="C19" s="109" t="e">
        <f>VLOOKUP(Table257519913140106110151155170178204231[[#This Row],[PEG]],Table1016[#All],2,FALSE)</f>
        <v>#N/A</v>
      </c>
      <c r="D19" s="117"/>
      <c r="E19" s="125" t="e">
        <f>VLOOKUP(Table257519913140106110151155170178204231[[#This Row],[PEG]],Table1016[#All],3,FALSE)</f>
        <v>#N/A</v>
      </c>
    </row>
    <row r="20" spans="1:5" x14ac:dyDescent="0.35">
      <c r="A20" s="118">
        <v>13</v>
      </c>
      <c r="B20" s="114" t="s">
        <v>114</v>
      </c>
      <c r="C20" s="109" t="e">
        <f>VLOOKUP(Table257519913140106110151155170178204231[[#This Row],[PEG]],Table1016[#All],2,FALSE)</f>
        <v>#N/A</v>
      </c>
      <c r="D20" s="117"/>
      <c r="E20" s="125" t="e">
        <f>VLOOKUP(Table257519913140106110151155170178204231[[#This Row],[PEG]],Table1016[#All],3,FALSE)</f>
        <v>#N/A</v>
      </c>
    </row>
    <row r="21" spans="1:5" x14ac:dyDescent="0.35">
      <c r="A21" s="118">
        <v>14</v>
      </c>
      <c r="B21" s="114" t="s">
        <v>12</v>
      </c>
      <c r="C21" s="109" t="e">
        <f>VLOOKUP(Table257519913140106110151155170178204231[[#This Row],[PEG]],Table1016[#All],2,FALSE)</f>
        <v>#N/A</v>
      </c>
      <c r="D21" s="117"/>
      <c r="E21" s="125" t="e">
        <f>VLOOKUP(Table257519913140106110151155170178204231[[#This Row],[PEG]],Table1016[#All],3,FALSE)</f>
        <v>#N/A</v>
      </c>
    </row>
    <row r="22" spans="1:5" x14ac:dyDescent="0.35">
      <c r="A22" s="118">
        <v>15</v>
      </c>
      <c r="B22" s="114" t="s">
        <v>12</v>
      </c>
      <c r="C22" s="109" t="e">
        <f>VLOOKUP(Table257519913140106110151155170178204231[[#This Row],[PEG]],Table1016[#All],2,FALSE)</f>
        <v>#N/A</v>
      </c>
      <c r="D22" s="117"/>
      <c r="E22" s="125" t="e">
        <f>VLOOKUP(Table257519913140106110151155170178204231[[#This Row],[PEG]],Table1016[#All],3,FALSE)</f>
        <v>#N/A</v>
      </c>
    </row>
    <row r="23" spans="1:5" x14ac:dyDescent="0.35">
      <c r="A23" s="118">
        <v>16</v>
      </c>
      <c r="B23" s="114" t="s">
        <v>115</v>
      </c>
      <c r="C23" s="109" t="e">
        <f>VLOOKUP(Table257519913140106110151155170178204231[[#This Row],[PEG]],Table1016[#All],2,FALSE)</f>
        <v>#N/A</v>
      </c>
      <c r="D23" s="117"/>
      <c r="E23" s="125" t="e">
        <f>VLOOKUP(Table257519913140106110151155170178204231[[#This Row],[PEG]],Table1016[#All],3,FALSE)</f>
        <v>#N/A</v>
      </c>
    </row>
    <row r="24" spans="1:5" x14ac:dyDescent="0.35">
      <c r="A24" s="118">
        <v>17</v>
      </c>
      <c r="B24" s="114" t="s">
        <v>114</v>
      </c>
      <c r="C24" s="109" t="e">
        <f>VLOOKUP(Table257519913140106110151155170178204231[[#This Row],[PEG]],Table1016[#All],2,FALSE)</f>
        <v>#N/A</v>
      </c>
      <c r="D24" s="117"/>
      <c r="E24" s="125" t="e">
        <f>VLOOKUP(Table257519913140106110151155170178204231[[#This Row],[PEG]],Table1016[#All],3,FALSE)</f>
        <v>#N/A</v>
      </c>
    </row>
    <row r="25" spans="1:5" x14ac:dyDescent="0.35">
      <c r="A25" s="118">
        <v>18</v>
      </c>
      <c r="B25" s="114" t="s">
        <v>12</v>
      </c>
      <c r="C25" s="109" t="e">
        <f>VLOOKUP(Table257519913140106110151155170178204231[[#This Row],[PEG]],Table1016[#All],2,FALSE)</f>
        <v>#N/A</v>
      </c>
      <c r="D25" s="117"/>
      <c r="E25" s="125" t="e">
        <f>VLOOKUP(Table257519913140106110151155170178204231[[#This Row],[PEG]],Table1016[#All],3,FALSE)</f>
        <v>#N/A</v>
      </c>
    </row>
    <row r="26" spans="1:5" x14ac:dyDescent="0.35">
      <c r="A26" s="118">
        <v>19</v>
      </c>
      <c r="B26" s="114" t="s">
        <v>12</v>
      </c>
      <c r="C26" s="109" t="e">
        <f>VLOOKUP(Table257519913140106110151155170178204231[[#This Row],[PEG]],Table1016[#All],2,FALSE)</f>
        <v>#N/A</v>
      </c>
      <c r="D26" s="117"/>
      <c r="E26" s="125" t="e">
        <f>VLOOKUP(Table257519913140106110151155170178204231[[#This Row],[PEG]],Table1016[#All],3,FALSE)</f>
        <v>#N/A</v>
      </c>
    </row>
    <row r="27" spans="1:5" x14ac:dyDescent="0.35">
      <c r="A27" s="118">
        <v>20</v>
      </c>
      <c r="B27" s="114" t="s">
        <v>115</v>
      </c>
      <c r="C27" s="109" t="e">
        <f>VLOOKUP(Table257519913140106110151155170178204231[[#This Row],[PEG]],Table1016[#All],2,FALSE)</f>
        <v>#N/A</v>
      </c>
      <c r="D27" s="117"/>
      <c r="E27" s="125" t="e">
        <f>VLOOKUP(Table257519913140106110151155170178204231[[#This Row],[PEG]],Table1016[#All],3,FALSE)</f>
        <v>#N/A</v>
      </c>
    </row>
    <row r="28" spans="1:5" x14ac:dyDescent="0.35">
      <c r="A28" s="118">
        <v>21</v>
      </c>
      <c r="B28" s="114" t="s">
        <v>114</v>
      </c>
      <c r="C28" s="109" t="e">
        <f>VLOOKUP(Table257519913140106110151155170178204231[[#This Row],[PEG]],Table1016[#All],2,FALSE)</f>
        <v>#N/A</v>
      </c>
      <c r="D28" s="117"/>
      <c r="E28" s="125" t="e">
        <f>VLOOKUP(Table257519913140106110151155170178204231[[#This Row],[PEG]],Table1016[#All],3,FALSE)</f>
        <v>#N/A</v>
      </c>
    </row>
    <row r="29" spans="1:5" x14ac:dyDescent="0.35">
      <c r="A29" s="118">
        <v>22</v>
      </c>
      <c r="B29" s="114" t="s">
        <v>12</v>
      </c>
      <c r="C29" s="109" t="e">
        <f>VLOOKUP(Table257519913140106110151155170178204231[[#This Row],[PEG]],Table1016[#All],2,FALSE)</f>
        <v>#N/A</v>
      </c>
      <c r="D29" s="117"/>
      <c r="E29" s="125" t="e">
        <f>VLOOKUP(Table257519913140106110151155170178204231[[#This Row],[PEG]],Table1016[#All],3,FALSE)</f>
        <v>#N/A</v>
      </c>
    </row>
    <row r="30" spans="1:5" x14ac:dyDescent="0.35">
      <c r="A30" s="118">
        <v>23</v>
      </c>
      <c r="B30" s="114" t="s">
        <v>12</v>
      </c>
      <c r="C30" s="109" t="e">
        <f>VLOOKUP(Table257519913140106110151155170178204231[[#This Row],[PEG]],Table1016[#All],2,FALSE)</f>
        <v>#N/A</v>
      </c>
      <c r="D30" s="117"/>
      <c r="E30" s="125" t="e">
        <f>VLOOKUP(Table257519913140106110151155170178204231[[#This Row],[PEG]],Table1016[#All],3,FALSE)</f>
        <v>#N/A</v>
      </c>
    </row>
    <row r="31" spans="1:5" x14ac:dyDescent="0.35">
      <c r="A31" s="118">
        <v>24</v>
      </c>
      <c r="B31" s="114" t="s">
        <v>115</v>
      </c>
      <c r="C31" s="109" t="e">
        <f>VLOOKUP(Table257519913140106110151155170178204231[[#This Row],[PEG]],Table1016[#All],2,FALSE)</f>
        <v>#N/A</v>
      </c>
      <c r="D31" s="117"/>
      <c r="E31" s="125" t="e">
        <f>VLOOKUP(Table257519913140106110151155170178204231[[#This Row],[PEG]],Table1016[#All],3,FALSE)</f>
        <v>#N/A</v>
      </c>
    </row>
    <row r="32" spans="1:5" x14ac:dyDescent="0.35">
      <c r="A32" s="118">
        <v>25</v>
      </c>
      <c r="B32" s="114" t="s">
        <v>115</v>
      </c>
      <c r="C32" s="109" t="e">
        <f>VLOOKUP(Table257519913140106110151155170178204231[[#This Row],[PEG]],Table1016[#All],2,FALSE)</f>
        <v>#N/A</v>
      </c>
      <c r="D32" s="117"/>
      <c r="E32" s="125" t="e">
        <f>VLOOKUP(Table257519913140106110151155170178204231[[#This Row],[PEG]],Table1016[#All],3,FALSE)</f>
        <v>#N/A</v>
      </c>
    </row>
    <row r="33" spans="1:5" x14ac:dyDescent="0.35">
      <c r="A33" s="118">
        <v>26</v>
      </c>
      <c r="B33" s="114" t="s">
        <v>124</v>
      </c>
      <c r="C33" s="109" t="e">
        <f>VLOOKUP(Table257519913140106110151155170178204231[[#This Row],[PEG]],Table1016[#All],2,FALSE)</f>
        <v>#N/A</v>
      </c>
      <c r="D33" s="117"/>
      <c r="E33" s="125" t="e">
        <f>VLOOKUP(Table257519913140106110151155170178204231[[#This Row],[PEG]],Table1016[#All],3,FALSE)</f>
        <v>#N/A</v>
      </c>
    </row>
    <row r="34" spans="1:5" x14ac:dyDescent="0.35">
      <c r="A34" s="118">
        <v>27</v>
      </c>
      <c r="B34" s="114" t="s">
        <v>115</v>
      </c>
      <c r="C34" s="109" t="e">
        <f>VLOOKUP(Table257519913140106110151155170178204231[[#This Row],[PEG]],Table1016[#All],2,FALSE)</f>
        <v>#N/A</v>
      </c>
      <c r="D34" s="117"/>
      <c r="E34" s="125" t="e">
        <f>VLOOKUP(Table257519913140106110151155170178204231[[#This Row],[PEG]],Table1016[#All],3,FALSE)</f>
        <v>#N/A</v>
      </c>
    </row>
    <row r="35" spans="1:5" x14ac:dyDescent="0.35">
      <c r="A35" s="118">
        <v>28</v>
      </c>
      <c r="B35" s="114" t="s">
        <v>124</v>
      </c>
      <c r="C35" s="109" t="e">
        <f>VLOOKUP(Table257519913140106110151155170178204231[[#This Row],[PEG]],Table1016[#All],2,FALSE)</f>
        <v>#N/A</v>
      </c>
      <c r="D35" s="117"/>
      <c r="E35" s="125" t="e">
        <f>VLOOKUP(Table257519913140106110151155170178204231[[#This Row],[PEG]],Table1016[#All],3,FALSE)</f>
        <v>#N/A</v>
      </c>
    </row>
    <row r="36" spans="1:5" x14ac:dyDescent="0.35">
      <c r="A36" s="118">
        <v>29</v>
      </c>
      <c r="B36" s="114" t="s">
        <v>115</v>
      </c>
      <c r="C36" s="109" t="e">
        <f>VLOOKUP(Table257519913140106110151155170178204231[[#This Row],[PEG]],Table1016[#All],2,FALSE)</f>
        <v>#N/A</v>
      </c>
      <c r="D36" s="117"/>
      <c r="E36" s="125" t="e">
        <f>VLOOKUP(Table257519913140106110151155170178204231[[#This Row],[PEG]],Table1016[#All],3,FALSE)</f>
        <v>#N/A</v>
      </c>
    </row>
    <row r="37" spans="1:5" x14ac:dyDescent="0.35">
      <c r="A37" s="118">
        <v>30</v>
      </c>
      <c r="B37" s="114" t="s">
        <v>12</v>
      </c>
      <c r="C37" s="109" t="e">
        <f>VLOOKUP(Table257519913140106110151155170178204231[[#This Row],[PEG]],Table1016[#All],2,FALSE)</f>
        <v>#N/A</v>
      </c>
      <c r="D37" s="117"/>
      <c r="E37" s="125" t="e">
        <f>VLOOKUP(Table257519913140106110151155170178204231[[#This Row],[PEG]],Table1016[#All],3,FALSE)</f>
        <v>#N/A</v>
      </c>
    </row>
    <row r="38" spans="1:5" x14ac:dyDescent="0.35">
      <c r="A38" s="118">
        <v>31</v>
      </c>
      <c r="B38" s="114" t="s">
        <v>12</v>
      </c>
      <c r="C38" s="109" t="e">
        <f>VLOOKUP(Table257519913140106110151155170178204231[[#This Row],[PEG]],Table1016[#All],2,FALSE)</f>
        <v>#N/A</v>
      </c>
      <c r="D38" s="117"/>
      <c r="E38" s="125" t="e">
        <f>VLOOKUP(Table257519913140106110151155170178204231[[#This Row],[PEG]],Table1016[#All],3,FALSE)</f>
        <v>#N/A</v>
      </c>
    </row>
    <row r="39" spans="1:5" x14ac:dyDescent="0.35">
      <c r="A39" s="118">
        <v>32</v>
      </c>
      <c r="B39" s="114" t="s">
        <v>12</v>
      </c>
      <c r="C39" s="109" t="e">
        <f>VLOOKUP(Table257519913140106110151155170178204231[[#This Row],[PEG]],Table1016[#All],2,FALSE)</f>
        <v>#N/A</v>
      </c>
      <c r="D39" s="117"/>
      <c r="E39" s="125" t="e">
        <f>VLOOKUP(Table257519913140106110151155170178204231[[#This Row],[PEG]],Table1016[#All],3,FALSE)</f>
        <v>#N/A</v>
      </c>
    </row>
    <row r="40" spans="1:5" x14ac:dyDescent="0.35">
      <c r="A40" s="118">
        <v>33</v>
      </c>
      <c r="B40" s="114" t="s">
        <v>12</v>
      </c>
      <c r="C40" s="109" t="e">
        <f>VLOOKUP(Table257519913140106110151155170178204231[[#This Row],[PEG]],Table1016[#All],2,FALSE)</f>
        <v>#N/A</v>
      </c>
      <c r="D40" s="117"/>
      <c r="E40" s="125" t="e">
        <f>VLOOKUP(Table257519913140106110151155170178204231[[#This Row],[PEG]],Table1016[#All],3,FALSE)</f>
        <v>#N/A</v>
      </c>
    </row>
    <row r="41" spans="1:5" x14ac:dyDescent="0.35">
      <c r="A41" s="118">
        <v>34</v>
      </c>
      <c r="B41" s="114" t="s">
        <v>115</v>
      </c>
      <c r="C41" s="109" t="e">
        <f>VLOOKUP(Table257519913140106110151155170178204231[[#This Row],[PEG]],Table1016[#All],2,FALSE)</f>
        <v>#N/A</v>
      </c>
      <c r="D41" s="117"/>
      <c r="E41" s="125" t="e">
        <f>VLOOKUP(Table257519913140106110151155170178204231[[#This Row],[PEG]],Table1016[#All],3,FALSE)</f>
        <v>#N/A</v>
      </c>
    </row>
    <row r="42" spans="1:5" x14ac:dyDescent="0.35">
      <c r="A42" s="118">
        <v>35</v>
      </c>
      <c r="B42" s="114" t="s">
        <v>12</v>
      </c>
      <c r="C42" s="109" t="e">
        <f>VLOOKUP(Table257519913140106110151155170178204231[[#This Row],[PEG]],Table1016[#All],2,FALSE)</f>
        <v>#N/A</v>
      </c>
      <c r="D42" s="115"/>
      <c r="E42" s="125" t="e">
        <f>VLOOKUP(Table257519913140106110151155170178204231[[#This Row],[PEG]],Table1016[#All],3,FALSE)</f>
        <v>#N/A</v>
      </c>
    </row>
    <row r="43" spans="1:5" x14ac:dyDescent="0.35">
      <c r="A43" s="118">
        <v>36</v>
      </c>
      <c r="B43" s="114" t="s">
        <v>115</v>
      </c>
      <c r="C43" s="109" t="e">
        <f>VLOOKUP(Table257519913140106110151155170178204231[[#This Row],[PEG]],Table1016[#All],2,FALSE)</f>
        <v>#N/A</v>
      </c>
      <c r="D43" s="115"/>
      <c r="E43" s="125" t="e">
        <f>VLOOKUP(Table257519913140106110151155170178204231[[#This Row],[PEG]],Table1016[#All],3,FALSE)</f>
        <v>#N/A</v>
      </c>
    </row>
    <row r="44" spans="1:5" x14ac:dyDescent="0.35">
      <c r="A44" s="118">
        <v>37</v>
      </c>
      <c r="B44" s="114" t="s">
        <v>13</v>
      </c>
      <c r="C44" s="18" t="s">
        <v>13</v>
      </c>
      <c r="D44" s="115"/>
      <c r="E44" s="32"/>
    </row>
  </sheetData>
  <mergeCells count="1">
    <mergeCell ref="A1:B1"/>
  </mergeCells>
  <conditionalFormatting sqref="B8:B18">
    <cfRule type="containsText" dxfId="677" priority="1" operator="containsText" text="Hear">
      <formula>NOT(ISERROR(SEARCH("Hear",B8)))</formula>
    </cfRule>
  </conditionalFormatting>
  <conditionalFormatting sqref="B30">
    <cfRule type="containsText" dxfId="676" priority="4" operator="containsText" text="Hear">
      <formula>NOT(ISERROR(SEARCH("Hear",B30)))</formula>
    </cfRule>
  </conditionalFormatting>
  <conditionalFormatting sqref="B43:B44">
    <cfRule type="containsText" dxfId="675" priority="8" operator="containsText" text="Hear">
      <formula>NOT(ISERROR(SEARCH("Hear",B43)))</formula>
    </cfRule>
  </conditionalFormatting>
  <conditionalFormatting sqref="E44">
    <cfRule type="containsText" dxfId="674" priority="6" operator="containsText" text="WEB SERVICE">
      <formula>NOT(ISERROR(SEARCH("WEB SERVICE",E44)))</formula>
    </cfRule>
    <cfRule type="containsText" dxfId="673" priority="7" operator="containsText" text="DB">
      <formula>NOT(ISERROR(SEARCH("DB",E44)))</formula>
    </cfRule>
  </conditionalFormatting>
  <conditionalFormatting sqref="C44">
    <cfRule type="expression" dxfId="672" priority="9">
      <formula>$B44="Dial"</formula>
    </cfRule>
  </conditionalFormatting>
  <conditionalFormatting sqref="C44">
    <cfRule type="expression" dxfId="671" priority="3">
      <formula>$B44="Speak"</formula>
    </cfRule>
  </conditionalFormatting>
  <conditionalFormatting sqref="B19:B29 B31:B35 B42">
    <cfRule type="containsText" dxfId="670" priority="5" operator="containsText" text="Hear">
      <formula>NOT(ISERROR(SEARCH("Hear",B19)))</formula>
    </cfRule>
  </conditionalFormatting>
  <hyperlinks>
    <hyperlink ref="A1" location="'Test Case Overview'!A1" display="Return to Test Case Overview" xr:uid="{AA4519BB-7F0D-4CF2-BCA7-C10B3EC13035}"/>
  </hyperlinks>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expression" priority="2" id="{D600CBEA-4755-4FF5-9667-9D3417ABA7D8}">
            <xm:f>'TC1'!$B8="HANGUP"</xm:f>
            <x14:dxf>
              <font>
                <b/>
                <i val="0"/>
              </font>
            </x14:dxf>
          </x14:cfRule>
          <xm:sqref>C8</xm:sqref>
        </x14:conditionalFormatting>
        <x14:conditionalFormatting xmlns:xm="http://schemas.microsoft.com/office/excel/2006/main">
          <x14:cfRule type="expression" priority="3290" id="{D600CBEA-4755-4FF5-9667-9D3417ABA7D8}">
            <xm:f>'TC1'!$B16="HANGUP"</xm:f>
            <x14:dxf>
              <font>
                <b/>
                <i val="0"/>
              </font>
            </x14:dxf>
          </x14:cfRule>
          <xm:sqref>C34:C43</xm:sqref>
        </x14:conditionalFormatting>
        <x14:conditionalFormatting xmlns:xm="http://schemas.microsoft.com/office/excel/2006/main">
          <x14:cfRule type="expression" priority="3291" id="{D600CBEA-4755-4FF5-9667-9D3417ABA7D8}">
            <xm:f>'TC1'!#REF!="HANGUP"</xm:f>
            <x14:dxf>
              <font>
                <b/>
                <i val="0"/>
              </font>
            </x14:dxf>
          </x14:cfRule>
          <xm:sqref>C17:C33</xm:sqref>
        </x14:conditionalFormatting>
        <x14:conditionalFormatting xmlns:xm="http://schemas.microsoft.com/office/excel/2006/main">
          <x14:cfRule type="expression" priority="5904" id="{D600CBEA-4755-4FF5-9667-9D3417ABA7D8}">
            <xm:f>'TC1'!$B9="HANGUP"</xm:f>
            <x14:dxf>
              <font>
                <b/>
                <i val="0"/>
              </font>
            </x14:dxf>
          </x14:cfRule>
          <xm:sqref>C12:C15</xm:sqref>
        </x14:conditionalFormatting>
        <x14:conditionalFormatting xmlns:xm="http://schemas.microsoft.com/office/excel/2006/main">
          <x14:cfRule type="expression" priority="5905" id="{D600CBEA-4755-4FF5-9667-9D3417ABA7D8}">
            <xm:f>'TC1'!#REF!="HANGUP"</xm:f>
            <x14:dxf>
              <font>
                <b/>
                <i val="0"/>
              </font>
            </x14:dxf>
          </x14:cfRule>
          <xm:sqref>C9:C11</xm:sqref>
        </x14:conditionalFormatting>
        <x14:conditionalFormatting xmlns:xm="http://schemas.microsoft.com/office/excel/2006/main">
          <x14:cfRule type="expression" priority="8091" id="{D600CBEA-4755-4FF5-9667-9D3417ABA7D8}">
            <xm:f>'TC1'!$B15="HANGUP"</xm:f>
            <x14:dxf>
              <font>
                <b/>
                <i val="0"/>
              </font>
            </x14:dxf>
          </x14:cfRule>
          <xm:sqref>C16</xm:sqref>
        </x14:conditionalFormatting>
      </x14:conditionalFormattings>
    </ext>
  </extLst>
</worksheet>
</file>

<file path=xl/worksheets/sheet1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200-000000000000}">
  <sheetPr codeName="Sheet164"/>
  <dimension ref="A1:E44"/>
  <sheetViews>
    <sheetView zoomScaleNormal="100" workbookViewId="0">
      <selection sqref="A1:E44"/>
    </sheetView>
  </sheetViews>
  <sheetFormatPr defaultRowHeight="14.5" x14ac:dyDescent="0.35"/>
  <cols>
    <col min="1" max="1" width="14.453125" bestFit="1" customWidth="1"/>
    <col min="2" max="2" width="42.6328125" customWidth="1"/>
    <col min="3" max="3" width="106.1796875" customWidth="1"/>
    <col min="4" max="4" width="21.81640625" bestFit="1" customWidth="1"/>
    <col min="5" max="5" width="20.6328125" customWidth="1"/>
  </cols>
  <sheetData>
    <row r="1" spans="1:5" ht="18.5" x14ac:dyDescent="0.35">
      <c r="A1" s="192" t="s">
        <v>4</v>
      </c>
      <c r="B1" s="192"/>
      <c r="C1" s="105"/>
      <c r="D1" s="111"/>
      <c r="E1" s="97"/>
    </row>
    <row r="2" spans="1:5" x14ac:dyDescent="0.35">
      <c r="A2" s="106" t="s">
        <v>5</v>
      </c>
      <c r="B2" s="107" t="str">
        <f ca="1">MID(CELL("filename",A1),FIND("]",CELL("filename",A1))+1,LEN(CELL("filename",A1))-FIND("]",CELL("filename",A1)))</f>
        <v>TC162</v>
      </c>
      <c r="C2" s="98"/>
      <c r="D2" s="111"/>
      <c r="E2" s="97"/>
    </row>
    <row r="3" spans="1:5" x14ac:dyDescent="0.35">
      <c r="A3" s="104" t="s">
        <v>19</v>
      </c>
      <c r="B3" s="112" t="e">
        <f ca="1">VLOOKUP(B2,Table53[#All],2,FALSE)</f>
        <v>#N/A</v>
      </c>
      <c r="C3" s="98"/>
      <c r="D3" s="111"/>
      <c r="E3" s="97"/>
    </row>
    <row r="4" spans="1:5" ht="29" x14ac:dyDescent="0.35">
      <c r="A4" s="113" t="s">
        <v>20</v>
      </c>
      <c r="B4" s="99" t="e">
        <f ca="1">VLOOKUP(B2,Table53[#All],4,FALSE)</f>
        <v>#N/A</v>
      </c>
      <c r="C4" s="98"/>
      <c r="D4" s="111"/>
      <c r="E4" s="97"/>
    </row>
    <row r="5" spans="1:5" x14ac:dyDescent="0.35">
      <c r="A5" s="104" t="s">
        <v>6</v>
      </c>
      <c r="B5" s="77" t="e">
        <f ca="1">VLOOKUP(B2,Table53[#All],3,FALSE)</f>
        <v>#N/A</v>
      </c>
      <c r="C5" s="98"/>
      <c r="D5" s="111"/>
      <c r="E5" s="97"/>
    </row>
    <row r="6" spans="1:5" x14ac:dyDescent="0.35">
      <c r="A6" s="97"/>
      <c r="B6" s="97"/>
      <c r="C6" s="98"/>
      <c r="D6" s="111"/>
      <c r="E6" s="97"/>
    </row>
    <row r="7" spans="1:5" ht="15.5" x14ac:dyDescent="0.35">
      <c r="A7" s="100" t="s">
        <v>7</v>
      </c>
      <c r="B7" s="101" t="s">
        <v>8</v>
      </c>
      <c r="C7" s="102" t="s">
        <v>9</v>
      </c>
      <c r="D7" s="102" t="s">
        <v>14</v>
      </c>
      <c r="E7" s="103" t="s">
        <v>10</v>
      </c>
    </row>
    <row r="8" spans="1:5" x14ac:dyDescent="0.35">
      <c r="A8" s="118">
        <v>1</v>
      </c>
      <c r="B8" s="114" t="s">
        <v>114</v>
      </c>
      <c r="C8" s="109" t="s">
        <v>125</v>
      </c>
      <c r="D8" s="128"/>
      <c r="E8" s="125" t="s">
        <v>11</v>
      </c>
    </row>
    <row r="9" spans="1:5" x14ac:dyDescent="0.35">
      <c r="A9" s="118">
        <v>2</v>
      </c>
      <c r="B9" s="114" t="s">
        <v>12</v>
      </c>
      <c r="C9" s="109" t="e">
        <f>VLOOKUP(Table257519913140106110151155170178204233[[#This Row],[PEG]],Table1016[#All],2,FALSE)</f>
        <v>#N/A</v>
      </c>
      <c r="D9" s="128"/>
      <c r="E9" s="125" t="e">
        <f>VLOOKUP(Table257519913140106110151155170178204233[[#This Row],[PEG]],Table1016[#All],3,FALSE)</f>
        <v>#N/A</v>
      </c>
    </row>
    <row r="10" spans="1:5" x14ac:dyDescent="0.35">
      <c r="A10" s="118">
        <v>3</v>
      </c>
      <c r="B10" s="114" t="s">
        <v>115</v>
      </c>
      <c r="C10" s="109" t="e">
        <f>VLOOKUP(Table257519913140106110151155170178204233[[#This Row],[PEG]],Table1016[#All],2,FALSE)</f>
        <v>#N/A</v>
      </c>
      <c r="D10" s="128"/>
      <c r="E10" s="125" t="e">
        <f>VLOOKUP(Table257519913140106110151155170178204233[[#This Row],[PEG]],Table1016[#All],3,FALSE)</f>
        <v>#N/A</v>
      </c>
    </row>
    <row r="11" spans="1:5" x14ac:dyDescent="0.35">
      <c r="A11" s="118">
        <v>4</v>
      </c>
      <c r="B11" s="114" t="s">
        <v>115</v>
      </c>
      <c r="C11" s="109" t="e">
        <f>VLOOKUP(Table257519913140106110151155170178204233[[#This Row],[PEG]],Table1016[#All],2,FALSE)</f>
        <v>#N/A</v>
      </c>
      <c r="D11" s="128"/>
      <c r="E11" s="125" t="e">
        <f>VLOOKUP(Table257519913140106110151155170178204233[[#This Row],[PEG]],Table1016[#All],3,FALSE)</f>
        <v>#N/A</v>
      </c>
    </row>
    <row r="12" spans="1:5" x14ac:dyDescent="0.35">
      <c r="A12" s="118">
        <v>5</v>
      </c>
      <c r="B12" s="114" t="s">
        <v>114</v>
      </c>
      <c r="C12" s="109" t="e">
        <f>VLOOKUP(Table257519913140106110151155170178204233[[#This Row],[PEG]],Table1016[#All],2,FALSE)</f>
        <v>#N/A</v>
      </c>
      <c r="D12" s="128"/>
      <c r="E12" s="125" t="e">
        <f>VLOOKUP(Table257519913140106110151155170178204233[[#This Row],[PEG]],Table1016[#All],3,FALSE)</f>
        <v>#N/A</v>
      </c>
    </row>
    <row r="13" spans="1:5" x14ac:dyDescent="0.35">
      <c r="A13" s="118">
        <v>6</v>
      </c>
      <c r="B13" s="114" t="s">
        <v>115</v>
      </c>
      <c r="C13" s="109" t="e">
        <f>VLOOKUP(Table257519913140106110151155170178204233[[#This Row],[PEG]],Table1016[#All],2,FALSE)</f>
        <v>#N/A</v>
      </c>
      <c r="D13" s="128"/>
      <c r="E13" s="125" t="e">
        <f>VLOOKUP(Table257519913140106110151155170178204233[[#This Row],[PEG]],Table1016[#All],3,FALSE)</f>
        <v>#N/A</v>
      </c>
    </row>
    <row r="14" spans="1:5" x14ac:dyDescent="0.35">
      <c r="A14" s="118">
        <v>7</v>
      </c>
      <c r="B14" s="114" t="s">
        <v>114</v>
      </c>
      <c r="C14" s="109" t="e">
        <f>VLOOKUP(Table257519913140106110151155170178204233[[#This Row],[PEG]],Table1016[#All],2,FALSE)</f>
        <v>#N/A</v>
      </c>
      <c r="D14" s="128"/>
      <c r="E14" s="125" t="e">
        <f>VLOOKUP(Table257519913140106110151155170178204233[[#This Row],[PEG]],Table1016[#All],3,FALSE)</f>
        <v>#N/A</v>
      </c>
    </row>
    <row r="15" spans="1:5" x14ac:dyDescent="0.35">
      <c r="A15" s="118">
        <v>8</v>
      </c>
      <c r="B15" s="114" t="s">
        <v>115</v>
      </c>
      <c r="C15" s="109" t="e">
        <f>VLOOKUP(Table257519913140106110151155170178204233[[#This Row],[PEG]],Table1016[#All],2,FALSE)</f>
        <v>#N/A</v>
      </c>
      <c r="D15" s="116"/>
      <c r="E15" s="125" t="e">
        <f>VLOOKUP(Table257519913140106110151155170178204233[[#This Row],[PEG]],Table1016[#All],3,FALSE)</f>
        <v>#N/A</v>
      </c>
    </row>
    <row r="16" spans="1:5" x14ac:dyDescent="0.35">
      <c r="A16" s="118">
        <v>9</v>
      </c>
      <c r="B16" s="114" t="s">
        <v>12</v>
      </c>
      <c r="C16" s="109" t="e">
        <f>VLOOKUP(Table257519913140106110151155170178204233[[#This Row],[PEG]],Table1016[#All],2,FALSE)</f>
        <v>#N/A</v>
      </c>
      <c r="D16" s="116"/>
      <c r="E16" s="125" t="e">
        <f>VLOOKUP(Table257519913140106110151155170178204233[[#This Row],[PEG]],Table1016[#All],3,FALSE)</f>
        <v>#N/A</v>
      </c>
    </row>
    <row r="17" spans="1:5" x14ac:dyDescent="0.35">
      <c r="A17" s="118">
        <v>10</v>
      </c>
      <c r="B17" s="114" t="s">
        <v>12</v>
      </c>
      <c r="C17" s="109" t="e">
        <f>VLOOKUP(Table257519913140106110151155170178204233[[#This Row],[PEG]],Table1016[#All],2,FALSE)</f>
        <v>#N/A</v>
      </c>
      <c r="D17" s="117"/>
      <c r="E17" s="125" t="e">
        <f>VLOOKUP(Table257519913140106110151155170178204233[[#This Row],[PEG]],Table1016[#All],3,FALSE)</f>
        <v>#N/A</v>
      </c>
    </row>
    <row r="18" spans="1:5" x14ac:dyDescent="0.35">
      <c r="A18" s="118">
        <v>11</v>
      </c>
      <c r="B18" s="114" t="s">
        <v>115</v>
      </c>
      <c r="C18" s="109" t="e">
        <f>VLOOKUP(Table257519913140106110151155170178204233[[#This Row],[PEG]],Table1016[#All],2,FALSE)</f>
        <v>#N/A</v>
      </c>
      <c r="D18" s="117"/>
      <c r="E18" s="125" t="e">
        <f>VLOOKUP(Table257519913140106110151155170178204233[[#This Row],[PEG]],Table1016[#All],3,FALSE)</f>
        <v>#N/A</v>
      </c>
    </row>
    <row r="19" spans="1:5" x14ac:dyDescent="0.35">
      <c r="A19" s="118">
        <v>12</v>
      </c>
      <c r="B19" s="114" t="s">
        <v>115</v>
      </c>
      <c r="C19" s="109" t="e">
        <f>VLOOKUP(Table257519913140106110151155170178204233[[#This Row],[PEG]],Table1016[#All],2,FALSE)</f>
        <v>#N/A</v>
      </c>
      <c r="D19" s="117"/>
      <c r="E19" s="125" t="e">
        <f>VLOOKUP(Table257519913140106110151155170178204233[[#This Row],[PEG]],Table1016[#All],3,FALSE)</f>
        <v>#N/A</v>
      </c>
    </row>
    <row r="20" spans="1:5" x14ac:dyDescent="0.35">
      <c r="A20" s="118">
        <v>13</v>
      </c>
      <c r="B20" s="114" t="s">
        <v>114</v>
      </c>
      <c r="C20" s="109" t="e">
        <f>VLOOKUP(Table257519913140106110151155170178204233[[#This Row],[PEG]],Table1016[#All],2,FALSE)</f>
        <v>#N/A</v>
      </c>
      <c r="D20" s="117"/>
      <c r="E20" s="125" t="e">
        <f>VLOOKUP(Table257519913140106110151155170178204233[[#This Row],[PEG]],Table1016[#All],3,FALSE)</f>
        <v>#N/A</v>
      </c>
    </row>
    <row r="21" spans="1:5" x14ac:dyDescent="0.35">
      <c r="A21" s="118">
        <v>14</v>
      </c>
      <c r="B21" s="114" t="s">
        <v>12</v>
      </c>
      <c r="C21" s="109" t="e">
        <f>VLOOKUP(Table257519913140106110151155170178204233[[#This Row],[PEG]],Table1016[#All],2,FALSE)</f>
        <v>#N/A</v>
      </c>
      <c r="D21" s="117"/>
      <c r="E21" s="125" t="e">
        <f>VLOOKUP(Table257519913140106110151155170178204233[[#This Row],[PEG]],Table1016[#All],3,FALSE)</f>
        <v>#N/A</v>
      </c>
    </row>
    <row r="22" spans="1:5" x14ac:dyDescent="0.35">
      <c r="A22" s="118">
        <v>15</v>
      </c>
      <c r="B22" s="114" t="s">
        <v>12</v>
      </c>
      <c r="C22" s="109" t="e">
        <f>VLOOKUP(Table257519913140106110151155170178204233[[#This Row],[PEG]],Table1016[#All],2,FALSE)</f>
        <v>#N/A</v>
      </c>
      <c r="D22" s="117"/>
      <c r="E22" s="125" t="e">
        <f>VLOOKUP(Table257519913140106110151155170178204233[[#This Row],[PEG]],Table1016[#All],3,FALSE)</f>
        <v>#N/A</v>
      </c>
    </row>
    <row r="23" spans="1:5" x14ac:dyDescent="0.35">
      <c r="A23" s="118">
        <v>16</v>
      </c>
      <c r="B23" s="114" t="s">
        <v>115</v>
      </c>
      <c r="C23" s="109" t="e">
        <f>VLOOKUP(Table257519913140106110151155170178204233[[#This Row],[PEG]],Table1016[#All],2,FALSE)</f>
        <v>#N/A</v>
      </c>
      <c r="D23" s="117"/>
      <c r="E23" s="125" t="e">
        <f>VLOOKUP(Table257519913140106110151155170178204233[[#This Row],[PEG]],Table1016[#All],3,FALSE)</f>
        <v>#N/A</v>
      </c>
    </row>
    <row r="24" spans="1:5" x14ac:dyDescent="0.35">
      <c r="A24" s="118">
        <v>17</v>
      </c>
      <c r="B24" s="114" t="s">
        <v>114</v>
      </c>
      <c r="C24" s="109" t="e">
        <f>VLOOKUP(Table257519913140106110151155170178204233[[#This Row],[PEG]],Table1016[#All],2,FALSE)</f>
        <v>#N/A</v>
      </c>
      <c r="D24" s="117"/>
      <c r="E24" s="125" t="e">
        <f>VLOOKUP(Table257519913140106110151155170178204233[[#This Row],[PEG]],Table1016[#All],3,FALSE)</f>
        <v>#N/A</v>
      </c>
    </row>
    <row r="25" spans="1:5" x14ac:dyDescent="0.35">
      <c r="A25" s="118">
        <v>18</v>
      </c>
      <c r="B25" s="114" t="s">
        <v>12</v>
      </c>
      <c r="C25" s="109" t="e">
        <f>VLOOKUP(Table257519913140106110151155170178204233[[#This Row],[PEG]],Table1016[#All],2,FALSE)</f>
        <v>#N/A</v>
      </c>
      <c r="D25" s="117"/>
      <c r="E25" s="125" t="e">
        <f>VLOOKUP(Table257519913140106110151155170178204233[[#This Row],[PEG]],Table1016[#All],3,FALSE)</f>
        <v>#N/A</v>
      </c>
    </row>
    <row r="26" spans="1:5" x14ac:dyDescent="0.35">
      <c r="A26" s="118">
        <v>19</v>
      </c>
      <c r="B26" s="114" t="s">
        <v>12</v>
      </c>
      <c r="C26" s="109" t="e">
        <f>VLOOKUP(Table257519913140106110151155170178204233[[#This Row],[PEG]],Table1016[#All],2,FALSE)</f>
        <v>#N/A</v>
      </c>
      <c r="D26" s="117"/>
      <c r="E26" s="125" t="e">
        <f>VLOOKUP(Table257519913140106110151155170178204233[[#This Row],[PEG]],Table1016[#All],3,FALSE)</f>
        <v>#N/A</v>
      </c>
    </row>
    <row r="27" spans="1:5" x14ac:dyDescent="0.35">
      <c r="A27" s="118">
        <v>20</v>
      </c>
      <c r="B27" s="114" t="s">
        <v>115</v>
      </c>
      <c r="C27" s="109" t="e">
        <f>VLOOKUP(Table257519913140106110151155170178204233[[#This Row],[PEG]],Table1016[#All],2,FALSE)</f>
        <v>#N/A</v>
      </c>
      <c r="D27" s="117"/>
      <c r="E27" s="125" t="e">
        <f>VLOOKUP(Table257519913140106110151155170178204233[[#This Row],[PEG]],Table1016[#All],3,FALSE)</f>
        <v>#N/A</v>
      </c>
    </row>
    <row r="28" spans="1:5" x14ac:dyDescent="0.35">
      <c r="A28" s="118">
        <v>21</v>
      </c>
      <c r="B28" s="114" t="s">
        <v>114</v>
      </c>
      <c r="C28" s="109" t="e">
        <f>VLOOKUP(Table257519913140106110151155170178204233[[#This Row],[PEG]],Table1016[#All],2,FALSE)</f>
        <v>#N/A</v>
      </c>
      <c r="D28" s="117"/>
      <c r="E28" s="125" t="e">
        <f>VLOOKUP(Table257519913140106110151155170178204233[[#This Row],[PEG]],Table1016[#All],3,FALSE)</f>
        <v>#N/A</v>
      </c>
    </row>
    <row r="29" spans="1:5" x14ac:dyDescent="0.35">
      <c r="A29" s="118">
        <v>22</v>
      </c>
      <c r="B29" s="114" t="s">
        <v>12</v>
      </c>
      <c r="C29" s="109" t="e">
        <f>VLOOKUP(Table257519913140106110151155170178204233[[#This Row],[PEG]],Table1016[#All],2,FALSE)</f>
        <v>#N/A</v>
      </c>
      <c r="D29" s="117"/>
      <c r="E29" s="125" t="e">
        <f>VLOOKUP(Table257519913140106110151155170178204233[[#This Row],[PEG]],Table1016[#All],3,FALSE)</f>
        <v>#N/A</v>
      </c>
    </row>
    <row r="30" spans="1:5" x14ac:dyDescent="0.35">
      <c r="A30" s="118">
        <v>23</v>
      </c>
      <c r="B30" s="114" t="s">
        <v>12</v>
      </c>
      <c r="C30" s="109" t="e">
        <f>VLOOKUP(Table257519913140106110151155170178204233[[#This Row],[PEG]],Table1016[#All],2,FALSE)</f>
        <v>#N/A</v>
      </c>
      <c r="D30" s="117"/>
      <c r="E30" s="125" t="e">
        <f>VLOOKUP(Table257519913140106110151155170178204233[[#This Row],[PEG]],Table1016[#All],3,FALSE)</f>
        <v>#N/A</v>
      </c>
    </row>
    <row r="31" spans="1:5" x14ac:dyDescent="0.35">
      <c r="A31" s="118">
        <v>24</v>
      </c>
      <c r="B31" s="114" t="s">
        <v>115</v>
      </c>
      <c r="C31" s="109" t="e">
        <f>VLOOKUP(Table257519913140106110151155170178204233[[#This Row],[PEG]],Table1016[#All],2,FALSE)</f>
        <v>#N/A</v>
      </c>
      <c r="D31" s="117"/>
      <c r="E31" s="125" t="e">
        <f>VLOOKUP(Table257519913140106110151155170178204233[[#This Row],[PEG]],Table1016[#All],3,FALSE)</f>
        <v>#N/A</v>
      </c>
    </row>
    <row r="32" spans="1:5" x14ac:dyDescent="0.35">
      <c r="A32" s="118">
        <v>25</v>
      </c>
      <c r="B32" s="114" t="s">
        <v>115</v>
      </c>
      <c r="C32" s="109" t="e">
        <f>VLOOKUP(Table257519913140106110151155170178204233[[#This Row],[PEG]],Table1016[#All],2,FALSE)</f>
        <v>#N/A</v>
      </c>
      <c r="D32" s="117"/>
      <c r="E32" s="125" t="e">
        <f>VLOOKUP(Table257519913140106110151155170178204233[[#This Row],[PEG]],Table1016[#All],3,FALSE)</f>
        <v>#N/A</v>
      </c>
    </row>
    <row r="33" spans="1:5" x14ac:dyDescent="0.35">
      <c r="A33" s="118">
        <v>26</v>
      </c>
      <c r="B33" s="114" t="s">
        <v>124</v>
      </c>
      <c r="C33" s="109" t="e">
        <f>VLOOKUP(Table257519913140106110151155170178204233[[#This Row],[PEG]],Table1016[#All],2,FALSE)</f>
        <v>#N/A</v>
      </c>
      <c r="D33" s="117"/>
      <c r="E33" s="125" t="e">
        <f>VLOOKUP(Table257519913140106110151155170178204233[[#This Row],[PEG]],Table1016[#All],3,FALSE)</f>
        <v>#N/A</v>
      </c>
    </row>
    <row r="34" spans="1:5" x14ac:dyDescent="0.35">
      <c r="A34" s="118">
        <v>27</v>
      </c>
      <c r="B34" s="114" t="s">
        <v>115</v>
      </c>
      <c r="C34" s="109" t="e">
        <f>VLOOKUP(Table257519913140106110151155170178204233[[#This Row],[PEG]],Table1016[#All],2,FALSE)</f>
        <v>#N/A</v>
      </c>
      <c r="D34" s="117"/>
      <c r="E34" s="125" t="e">
        <f>VLOOKUP(Table257519913140106110151155170178204233[[#This Row],[PEG]],Table1016[#All],3,FALSE)</f>
        <v>#N/A</v>
      </c>
    </row>
    <row r="35" spans="1:5" x14ac:dyDescent="0.35">
      <c r="A35" s="118">
        <v>28</v>
      </c>
      <c r="B35" s="114" t="s">
        <v>124</v>
      </c>
      <c r="C35" s="109" t="e">
        <f>VLOOKUP(Table257519913140106110151155170178204233[[#This Row],[PEG]],Table1016[#All],2,FALSE)</f>
        <v>#N/A</v>
      </c>
      <c r="D35" s="117"/>
      <c r="E35" s="125" t="e">
        <f>VLOOKUP(Table257519913140106110151155170178204233[[#This Row],[PEG]],Table1016[#All],3,FALSE)</f>
        <v>#N/A</v>
      </c>
    </row>
    <row r="36" spans="1:5" x14ac:dyDescent="0.35">
      <c r="A36" s="118">
        <v>29</v>
      </c>
      <c r="B36" s="114" t="s">
        <v>115</v>
      </c>
      <c r="C36" s="109" t="e">
        <f>VLOOKUP(Table257519913140106110151155170178204233[[#This Row],[PEG]],Table1016[#All],2,FALSE)</f>
        <v>#N/A</v>
      </c>
      <c r="D36" s="117"/>
      <c r="E36" s="125" t="e">
        <f>VLOOKUP(Table257519913140106110151155170178204233[[#This Row],[PEG]],Table1016[#All],3,FALSE)</f>
        <v>#N/A</v>
      </c>
    </row>
    <row r="37" spans="1:5" x14ac:dyDescent="0.35">
      <c r="A37" s="118">
        <v>30</v>
      </c>
      <c r="B37" s="114" t="s">
        <v>12</v>
      </c>
      <c r="C37" s="109" t="e">
        <f>VLOOKUP(Table257519913140106110151155170178204233[[#This Row],[PEG]],Table1016[#All],2,FALSE)</f>
        <v>#N/A</v>
      </c>
      <c r="D37" s="117"/>
      <c r="E37" s="125" t="e">
        <f>VLOOKUP(Table257519913140106110151155170178204233[[#This Row],[PEG]],Table1016[#All],3,FALSE)</f>
        <v>#N/A</v>
      </c>
    </row>
    <row r="38" spans="1:5" x14ac:dyDescent="0.35">
      <c r="A38" s="118">
        <v>31</v>
      </c>
      <c r="B38" s="114" t="s">
        <v>12</v>
      </c>
      <c r="C38" s="109" t="e">
        <f>VLOOKUP(Table257519913140106110151155170178204233[[#This Row],[PEG]],Table1016[#All],2,FALSE)</f>
        <v>#N/A</v>
      </c>
      <c r="D38" s="117"/>
      <c r="E38" s="125" t="e">
        <f>VLOOKUP(Table257519913140106110151155170178204233[[#This Row],[PEG]],Table1016[#All],3,FALSE)</f>
        <v>#N/A</v>
      </c>
    </row>
    <row r="39" spans="1:5" x14ac:dyDescent="0.35">
      <c r="A39" s="118">
        <v>32</v>
      </c>
      <c r="B39" s="114" t="s">
        <v>12</v>
      </c>
      <c r="C39" s="109" t="e">
        <f>VLOOKUP(Table257519913140106110151155170178204233[[#This Row],[PEG]],Table1016[#All],2,FALSE)</f>
        <v>#N/A</v>
      </c>
      <c r="D39" s="117"/>
      <c r="E39" s="125" t="e">
        <f>VLOOKUP(Table257519913140106110151155170178204233[[#This Row],[PEG]],Table1016[#All],3,FALSE)</f>
        <v>#N/A</v>
      </c>
    </row>
    <row r="40" spans="1:5" x14ac:dyDescent="0.35">
      <c r="A40" s="118">
        <v>33</v>
      </c>
      <c r="B40" s="114" t="s">
        <v>12</v>
      </c>
      <c r="C40" s="109" t="e">
        <f>VLOOKUP(Table257519913140106110151155170178204233[[#This Row],[PEG]],Table1016[#All],2,FALSE)</f>
        <v>#N/A</v>
      </c>
      <c r="D40" s="117"/>
      <c r="E40" s="125" t="e">
        <f>VLOOKUP(Table257519913140106110151155170178204233[[#This Row],[PEG]],Table1016[#All],3,FALSE)</f>
        <v>#N/A</v>
      </c>
    </row>
    <row r="41" spans="1:5" x14ac:dyDescent="0.35">
      <c r="A41" s="118">
        <v>34</v>
      </c>
      <c r="B41" s="114" t="s">
        <v>115</v>
      </c>
      <c r="C41" s="109" t="e">
        <f>VLOOKUP(Table257519913140106110151155170178204233[[#This Row],[PEG]],Table1016[#All],2,FALSE)</f>
        <v>#N/A</v>
      </c>
      <c r="D41" s="117"/>
      <c r="E41" s="125" t="e">
        <f>VLOOKUP(Table257519913140106110151155170178204233[[#This Row],[PEG]],Table1016[#All],3,FALSE)</f>
        <v>#N/A</v>
      </c>
    </row>
    <row r="42" spans="1:5" x14ac:dyDescent="0.35">
      <c r="A42" s="118">
        <v>35</v>
      </c>
      <c r="B42" s="114" t="s">
        <v>12</v>
      </c>
      <c r="C42" s="109" t="e">
        <f>VLOOKUP(Table257519913140106110151155170178204233[[#This Row],[PEG]],Table1016[#All],2,FALSE)</f>
        <v>#N/A</v>
      </c>
      <c r="D42" s="115"/>
      <c r="E42" s="125" t="e">
        <f>VLOOKUP(Table257519913140106110151155170178204233[[#This Row],[PEG]],Table1016[#All],3,FALSE)</f>
        <v>#N/A</v>
      </c>
    </row>
    <row r="43" spans="1:5" x14ac:dyDescent="0.35">
      <c r="A43" s="118">
        <v>36</v>
      </c>
      <c r="B43" s="114" t="s">
        <v>115</v>
      </c>
      <c r="C43" s="109" t="e">
        <f>VLOOKUP(Table257519913140106110151155170178204233[[#This Row],[PEG]],Table1016[#All],2,FALSE)</f>
        <v>#N/A</v>
      </c>
      <c r="D43" s="115"/>
      <c r="E43" s="125" t="e">
        <f>VLOOKUP(Table257519913140106110151155170178204233[[#This Row],[PEG]],Table1016[#All],3,FALSE)</f>
        <v>#N/A</v>
      </c>
    </row>
    <row r="44" spans="1:5" x14ac:dyDescent="0.35">
      <c r="A44" s="118">
        <v>37</v>
      </c>
      <c r="B44" s="114" t="s">
        <v>13</v>
      </c>
      <c r="C44" s="18" t="s">
        <v>13</v>
      </c>
      <c r="D44" s="115"/>
      <c r="E44" s="32"/>
    </row>
  </sheetData>
  <mergeCells count="1">
    <mergeCell ref="A1:B1"/>
  </mergeCells>
  <conditionalFormatting sqref="B8:B18">
    <cfRule type="containsText" dxfId="663" priority="1" operator="containsText" text="Hear">
      <formula>NOT(ISERROR(SEARCH("Hear",B8)))</formula>
    </cfRule>
  </conditionalFormatting>
  <conditionalFormatting sqref="B30">
    <cfRule type="containsText" dxfId="662" priority="4" operator="containsText" text="Hear">
      <formula>NOT(ISERROR(SEARCH("Hear",B30)))</formula>
    </cfRule>
  </conditionalFormatting>
  <conditionalFormatting sqref="B43:B44">
    <cfRule type="containsText" dxfId="661" priority="8" operator="containsText" text="Hear">
      <formula>NOT(ISERROR(SEARCH("Hear",B43)))</formula>
    </cfRule>
  </conditionalFormatting>
  <conditionalFormatting sqref="E44">
    <cfRule type="containsText" dxfId="660" priority="6" operator="containsText" text="WEB SERVICE">
      <formula>NOT(ISERROR(SEARCH("WEB SERVICE",E44)))</formula>
    </cfRule>
    <cfRule type="containsText" dxfId="659" priority="7" operator="containsText" text="DB">
      <formula>NOT(ISERROR(SEARCH("DB",E44)))</formula>
    </cfRule>
  </conditionalFormatting>
  <conditionalFormatting sqref="C44">
    <cfRule type="expression" dxfId="658" priority="9">
      <formula>$B44="Dial"</formula>
    </cfRule>
  </conditionalFormatting>
  <conditionalFormatting sqref="C44">
    <cfRule type="expression" dxfId="657" priority="3">
      <formula>$B44="Speak"</formula>
    </cfRule>
  </conditionalFormatting>
  <conditionalFormatting sqref="B19:B29 B31:B35 B42">
    <cfRule type="containsText" dxfId="656" priority="5" operator="containsText" text="Hear">
      <formula>NOT(ISERROR(SEARCH("Hear",B19)))</formula>
    </cfRule>
  </conditionalFormatting>
  <hyperlinks>
    <hyperlink ref="A1" location="'Test Case Overview'!A1" display="Return to Test Case Overview" xr:uid="{59B980BC-5553-4AE4-B680-321B1D5BB591}"/>
  </hyperlinks>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expression" priority="2" id="{81E5FDD9-1089-4B52-8841-108843515EBE}">
            <xm:f>'TC1'!$B8="HANGUP"</xm:f>
            <x14:dxf>
              <font>
                <b/>
                <i val="0"/>
              </font>
            </x14:dxf>
          </x14:cfRule>
          <xm:sqref>C8</xm:sqref>
        </x14:conditionalFormatting>
        <x14:conditionalFormatting xmlns:xm="http://schemas.microsoft.com/office/excel/2006/main">
          <x14:cfRule type="expression" priority="3294" id="{81E5FDD9-1089-4B52-8841-108843515EBE}">
            <xm:f>'TC1'!$B16="HANGUP"</xm:f>
            <x14:dxf>
              <font>
                <b/>
                <i val="0"/>
              </font>
            </x14:dxf>
          </x14:cfRule>
          <xm:sqref>C34:C43</xm:sqref>
        </x14:conditionalFormatting>
        <x14:conditionalFormatting xmlns:xm="http://schemas.microsoft.com/office/excel/2006/main">
          <x14:cfRule type="expression" priority="3295" id="{81E5FDD9-1089-4B52-8841-108843515EBE}">
            <xm:f>'TC1'!#REF!="HANGUP"</xm:f>
            <x14:dxf>
              <font>
                <b/>
                <i val="0"/>
              </font>
            </x14:dxf>
          </x14:cfRule>
          <xm:sqref>C17:C33</xm:sqref>
        </x14:conditionalFormatting>
        <x14:conditionalFormatting xmlns:xm="http://schemas.microsoft.com/office/excel/2006/main">
          <x14:cfRule type="expression" priority="5908" id="{81E5FDD9-1089-4B52-8841-108843515EBE}">
            <xm:f>'TC1'!$B9="HANGUP"</xm:f>
            <x14:dxf>
              <font>
                <b/>
                <i val="0"/>
              </font>
            </x14:dxf>
          </x14:cfRule>
          <xm:sqref>C12:C15</xm:sqref>
        </x14:conditionalFormatting>
        <x14:conditionalFormatting xmlns:xm="http://schemas.microsoft.com/office/excel/2006/main">
          <x14:cfRule type="expression" priority="5909" id="{81E5FDD9-1089-4B52-8841-108843515EBE}">
            <xm:f>'TC1'!#REF!="HANGUP"</xm:f>
            <x14:dxf>
              <font>
                <b/>
                <i val="0"/>
              </font>
            </x14:dxf>
          </x14:cfRule>
          <xm:sqref>C9:C11</xm:sqref>
        </x14:conditionalFormatting>
        <x14:conditionalFormatting xmlns:xm="http://schemas.microsoft.com/office/excel/2006/main">
          <x14:cfRule type="expression" priority="8094" id="{81E5FDD9-1089-4B52-8841-108843515EBE}">
            <xm:f>'TC1'!$B15="HANGUP"</xm:f>
            <x14:dxf>
              <font>
                <b/>
                <i val="0"/>
              </font>
            </x14:dxf>
          </x14:cfRule>
          <xm:sqref>C16</xm:sqref>
        </x14:conditionalFormatting>
      </x14:conditionalFormattings>
    </ext>
  </extLst>
</worksheet>
</file>

<file path=xl/worksheets/sheet1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300-000000000000}">
  <sheetPr codeName="Sheet165"/>
  <dimension ref="A1:E44"/>
  <sheetViews>
    <sheetView zoomScaleNormal="100" workbookViewId="0">
      <selection sqref="A1:E44"/>
    </sheetView>
  </sheetViews>
  <sheetFormatPr defaultRowHeight="14.5" x14ac:dyDescent="0.35"/>
  <cols>
    <col min="1" max="1" width="14.453125" bestFit="1" customWidth="1"/>
    <col min="2" max="2" width="42.6328125" customWidth="1"/>
    <col min="3" max="3" width="106.1796875" customWidth="1"/>
    <col min="4" max="4" width="21.81640625" bestFit="1" customWidth="1"/>
    <col min="5" max="5" width="20.6328125" customWidth="1"/>
  </cols>
  <sheetData>
    <row r="1" spans="1:5" ht="18.5" x14ac:dyDescent="0.35">
      <c r="A1" s="192" t="s">
        <v>4</v>
      </c>
      <c r="B1" s="192"/>
      <c r="C1" s="105"/>
      <c r="D1" s="111"/>
      <c r="E1" s="97"/>
    </row>
    <row r="2" spans="1:5" x14ac:dyDescent="0.35">
      <c r="A2" s="106" t="s">
        <v>5</v>
      </c>
      <c r="B2" s="107" t="str">
        <f ca="1">MID(CELL("filename",A1),FIND("]",CELL("filename",A1))+1,LEN(CELL("filename",A1))-FIND("]",CELL("filename",A1)))</f>
        <v>TC163</v>
      </c>
      <c r="C2" s="98"/>
      <c r="D2" s="111"/>
      <c r="E2" s="97"/>
    </row>
    <row r="3" spans="1:5" x14ac:dyDescent="0.35">
      <c r="A3" s="104" t="s">
        <v>19</v>
      </c>
      <c r="B3" s="112" t="e">
        <f ca="1">VLOOKUP(B2,Table53[#All],2,FALSE)</f>
        <v>#N/A</v>
      </c>
      <c r="C3" s="98"/>
      <c r="D3" s="111"/>
      <c r="E3" s="97"/>
    </row>
    <row r="4" spans="1:5" ht="29" x14ac:dyDescent="0.35">
      <c r="A4" s="113" t="s">
        <v>20</v>
      </c>
      <c r="B4" s="99" t="e">
        <f ca="1">VLOOKUP(B2,Table53[#All],4,FALSE)</f>
        <v>#N/A</v>
      </c>
      <c r="C4" s="98"/>
      <c r="D4" s="111"/>
      <c r="E4" s="97"/>
    </row>
    <row r="5" spans="1:5" x14ac:dyDescent="0.35">
      <c r="A5" s="104" t="s">
        <v>6</v>
      </c>
      <c r="B5" s="77" t="e">
        <f ca="1">VLOOKUP(B2,Table53[#All],3,FALSE)</f>
        <v>#N/A</v>
      </c>
      <c r="C5" s="98"/>
      <c r="D5" s="111"/>
      <c r="E5" s="97"/>
    </row>
    <row r="6" spans="1:5" x14ac:dyDescent="0.35">
      <c r="A6" s="97"/>
      <c r="B6" s="97"/>
      <c r="C6" s="98"/>
      <c r="D6" s="111"/>
      <c r="E6" s="97"/>
    </row>
    <row r="7" spans="1:5" ht="15.5" x14ac:dyDescent="0.35">
      <c r="A7" s="100" t="s">
        <v>7</v>
      </c>
      <c r="B7" s="101" t="s">
        <v>8</v>
      </c>
      <c r="C7" s="102" t="s">
        <v>9</v>
      </c>
      <c r="D7" s="102" t="s">
        <v>14</v>
      </c>
      <c r="E7" s="103" t="s">
        <v>10</v>
      </c>
    </row>
    <row r="8" spans="1:5" x14ac:dyDescent="0.35">
      <c r="A8" s="118">
        <v>1</v>
      </c>
      <c r="B8" s="114" t="s">
        <v>114</v>
      </c>
      <c r="C8" s="109" t="s">
        <v>125</v>
      </c>
      <c r="D8" s="128"/>
      <c r="E8" s="125" t="s">
        <v>11</v>
      </c>
    </row>
    <row r="9" spans="1:5" x14ac:dyDescent="0.35">
      <c r="A9" s="118">
        <v>2</v>
      </c>
      <c r="B9" s="114" t="s">
        <v>12</v>
      </c>
      <c r="C9" s="109" t="e">
        <f>VLOOKUP(Table257519913140106110151155170178204235[[#This Row],[PEG]],Table1016[#All],2,FALSE)</f>
        <v>#N/A</v>
      </c>
      <c r="D9" s="128"/>
      <c r="E9" s="125" t="e">
        <f>VLOOKUP(Table257519913140106110151155170178204235[[#This Row],[PEG]],Table1016[#All],3,FALSE)</f>
        <v>#N/A</v>
      </c>
    </row>
    <row r="10" spans="1:5" x14ac:dyDescent="0.35">
      <c r="A10" s="118">
        <v>3</v>
      </c>
      <c r="B10" s="114" t="s">
        <v>115</v>
      </c>
      <c r="C10" s="109" t="e">
        <f>VLOOKUP(Table257519913140106110151155170178204235[[#This Row],[PEG]],Table1016[#All],2,FALSE)</f>
        <v>#N/A</v>
      </c>
      <c r="D10" s="128"/>
      <c r="E10" s="125" t="e">
        <f>VLOOKUP(Table257519913140106110151155170178204235[[#This Row],[PEG]],Table1016[#All],3,FALSE)</f>
        <v>#N/A</v>
      </c>
    </row>
    <row r="11" spans="1:5" x14ac:dyDescent="0.35">
      <c r="A11" s="118">
        <v>4</v>
      </c>
      <c r="B11" s="114" t="s">
        <v>115</v>
      </c>
      <c r="C11" s="109" t="e">
        <f>VLOOKUP(Table257519913140106110151155170178204235[[#This Row],[PEG]],Table1016[#All],2,FALSE)</f>
        <v>#N/A</v>
      </c>
      <c r="D11" s="128"/>
      <c r="E11" s="125" t="e">
        <f>VLOOKUP(Table257519913140106110151155170178204235[[#This Row],[PEG]],Table1016[#All],3,FALSE)</f>
        <v>#N/A</v>
      </c>
    </row>
    <row r="12" spans="1:5" x14ac:dyDescent="0.35">
      <c r="A12" s="118">
        <v>5</v>
      </c>
      <c r="B12" s="114" t="s">
        <v>114</v>
      </c>
      <c r="C12" s="109" t="e">
        <f>VLOOKUP(Table257519913140106110151155170178204235[[#This Row],[PEG]],Table1016[#All],2,FALSE)</f>
        <v>#N/A</v>
      </c>
      <c r="D12" s="128"/>
      <c r="E12" s="125" t="e">
        <f>VLOOKUP(Table257519913140106110151155170178204235[[#This Row],[PEG]],Table1016[#All],3,FALSE)</f>
        <v>#N/A</v>
      </c>
    </row>
    <row r="13" spans="1:5" x14ac:dyDescent="0.35">
      <c r="A13" s="118">
        <v>6</v>
      </c>
      <c r="B13" s="114" t="s">
        <v>115</v>
      </c>
      <c r="C13" s="109" t="e">
        <f>VLOOKUP(Table257519913140106110151155170178204235[[#This Row],[PEG]],Table1016[#All],2,FALSE)</f>
        <v>#N/A</v>
      </c>
      <c r="D13" s="128"/>
      <c r="E13" s="125" t="e">
        <f>VLOOKUP(Table257519913140106110151155170178204235[[#This Row],[PEG]],Table1016[#All],3,FALSE)</f>
        <v>#N/A</v>
      </c>
    </row>
    <row r="14" spans="1:5" x14ac:dyDescent="0.35">
      <c r="A14" s="118">
        <v>7</v>
      </c>
      <c r="B14" s="114" t="s">
        <v>114</v>
      </c>
      <c r="C14" s="109" t="e">
        <f>VLOOKUP(Table257519913140106110151155170178204235[[#This Row],[PEG]],Table1016[#All],2,FALSE)</f>
        <v>#N/A</v>
      </c>
      <c r="D14" s="128"/>
      <c r="E14" s="125" t="e">
        <f>VLOOKUP(Table257519913140106110151155170178204235[[#This Row],[PEG]],Table1016[#All],3,FALSE)</f>
        <v>#N/A</v>
      </c>
    </row>
    <row r="15" spans="1:5" x14ac:dyDescent="0.35">
      <c r="A15" s="118">
        <v>8</v>
      </c>
      <c r="B15" s="114" t="s">
        <v>115</v>
      </c>
      <c r="C15" s="109" t="e">
        <f>VLOOKUP(Table257519913140106110151155170178204235[[#This Row],[PEG]],Table1016[#All],2,FALSE)</f>
        <v>#N/A</v>
      </c>
      <c r="D15" s="116"/>
      <c r="E15" s="125" t="e">
        <f>VLOOKUP(Table257519913140106110151155170178204235[[#This Row],[PEG]],Table1016[#All],3,FALSE)</f>
        <v>#N/A</v>
      </c>
    </row>
    <row r="16" spans="1:5" x14ac:dyDescent="0.35">
      <c r="A16" s="118">
        <v>9</v>
      </c>
      <c r="B16" s="114" t="s">
        <v>12</v>
      </c>
      <c r="C16" s="109" t="e">
        <f>VLOOKUP(Table257519913140106110151155170178204235[[#This Row],[PEG]],Table1016[#All],2,FALSE)</f>
        <v>#N/A</v>
      </c>
      <c r="D16" s="116"/>
      <c r="E16" s="125" t="e">
        <f>VLOOKUP(Table257519913140106110151155170178204235[[#This Row],[PEG]],Table1016[#All],3,FALSE)</f>
        <v>#N/A</v>
      </c>
    </row>
    <row r="17" spans="1:5" x14ac:dyDescent="0.35">
      <c r="A17" s="118">
        <v>10</v>
      </c>
      <c r="B17" s="114" t="s">
        <v>12</v>
      </c>
      <c r="C17" s="109" t="e">
        <f>VLOOKUP(Table257519913140106110151155170178204235[[#This Row],[PEG]],Table1016[#All],2,FALSE)</f>
        <v>#N/A</v>
      </c>
      <c r="D17" s="117"/>
      <c r="E17" s="125" t="e">
        <f>VLOOKUP(Table257519913140106110151155170178204235[[#This Row],[PEG]],Table1016[#All],3,FALSE)</f>
        <v>#N/A</v>
      </c>
    </row>
    <row r="18" spans="1:5" x14ac:dyDescent="0.35">
      <c r="A18" s="118">
        <v>11</v>
      </c>
      <c r="B18" s="114" t="s">
        <v>115</v>
      </c>
      <c r="C18" s="109" t="e">
        <f>VLOOKUP(Table257519913140106110151155170178204235[[#This Row],[PEG]],Table1016[#All],2,FALSE)</f>
        <v>#N/A</v>
      </c>
      <c r="D18" s="117"/>
      <c r="E18" s="125" t="e">
        <f>VLOOKUP(Table257519913140106110151155170178204235[[#This Row],[PEG]],Table1016[#All],3,FALSE)</f>
        <v>#N/A</v>
      </c>
    </row>
    <row r="19" spans="1:5" x14ac:dyDescent="0.35">
      <c r="A19" s="118">
        <v>12</v>
      </c>
      <c r="B19" s="114" t="s">
        <v>115</v>
      </c>
      <c r="C19" s="109" t="e">
        <f>VLOOKUP(Table257519913140106110151155170178204235[[#This Row],[PEG]],Table1016[#All],2,FALSE)</f>
        <v>#N/A</v>
      </c>
      <c r="D19" s="117"/>
      <c r="E19" s="125" t="e">
        <f>VLOOKUP(Table257519913140106110151155170178204235[[#This Row],[PEG]],Table1016[#All],3,FALSE)</f>
        <v>#N/A</v>
      </c>
    </row>
    <row r="20" spans="1:5" x14ac:dyDescent="0.35">
      <c r="A20" s="118">
        <v>13</v>
      </c>
      <c r="B20" s="114" t="s">
        <v>114</v>
      </c>
      <c r="C20" s="109" t="e">
        <f>VLOOKUP(Table257519913140106110151155170178204235[[#This Row],[PEG]],Table1016[#All],2,FALSE)</f>
        <v>#N/A</v>
      </c>
      <c r="D20" s="117"/>
      <c r="E20" s="125" t="e">
        <f>VLOOKUP(Table257519913140106110151155170178204235[[#This Row],[PEG]],Table1016[#All],3,FALSE)</f>
        <v>#N/A</v>
      </c>
    </row>
    <row r="21" spans="1:5" x14ac:dyDescent="0.35">
      <c r="A21" s="118">
        <v>14</v>
      </c>
      <c r="B21" s="114" t="s">
        <v>12</v>
      </c>
      <c r="C21" s="109" t="e">
        <f>VLOOKUP(Table257519913140106110151155170178204235[[#This Row],[PEG]],Table1016[#All],2,FALSE)</f>
        <v>#N/A</v>
      </c>
      <c r="D21" s="117"/>
      <c r="E21" s="125" t="e">
        <f>VLOOKUP(Table257519913140106110151155170178204235[[#This Row],[PEG]],Table1016[#All],3,FALSE)</f>
        <v>#N/A</v>
      </c>
    </row>
    <row r="22" spans="1:5" x14ac:dyDescent="0.35">
      <c r="A22" s="118">
        <v>15</v>
      </c>
      <c r="B22" s="114" t="s">
        <v>12</v>
      </c>
      <c r="C22" s="109" t="e">
        <f>VLOOKUP(Table257519913140106110151155170178204235[[#This Row],[PEG]],Table1016[#All],2,FALSE)</f>
        <v>#N/A</v>
      </c>
      <c r="D22" s="117"/>
      <c r="E22" s="125" t="e">
        <f>VLOOKUP(Table257519913140106110151155170178204235[[#This Row],[PEG]],Table1016[#All],3,FALSE)</f>
        <v>#N/A</v>
      </c>
    </row>
    <row r="23" spans="1:5" x14ac:dyDescent="0.35">
      <c r="A23" s="118">
        <v>16</v>
      </c>
      <c r="B23" s="114" t="s">
        <v>115</v>
      </c>
      <c r="C23" s="109" t="e">
        <f>VLOOKUP(Table257519913140106110151155170178204235[[#This Row],[PEG]],Table1016[#All],2,FALSE)</f>
        <v>#N/A</v>
      </c>
      <c r="D23" s="117"/>
      <c r="E23" s="125" t="e">
        <f>VLOOKUP(Table257519913140106110151155170178204235[[#This Row],[PEG]],Table1016[#All],3,FALSE)</f>
        <v>#N/A</v>
      </c>
    </row>
    <row r="24" spans="1:5" x14ac:dyDescent="0.35">
      <c r="A24" s="118">
        <v>17</v>
      </c>
      <c r="B24" s="114" t="s">
        <v>114</v>
      </c>
      <c r="C24" s="109" t="e">
        <f>VLOOKUP(Table257519913140106110151155170178204235[[#This Row],[PEG]],Table1016[#All],2,FALSE)</f>
        <v>#N/A</v>
      </c>
      <c r="D24" s="117"/>
      <c r="E24" s="125" t="e">
        <f>VLOOKUP(Table257519913140106110151155170178204235[[#This Row],[PEG]],Table1016[#All],3,FALSE)</f>
        <v>#N/A</v>
      </c>
    </row>
    <row r="25" spans="1:5" x14ac:dyDescent="0.35">
      <c r="A25" s="118">
        <v>18</v>
      </c>
      <c r="B25" s="114" t="s">
        <v>12</v>
      </c>
      <c r="C25" s="109" t="e">
        <f>VLOOKUP(Table257519913140106110151155170178204235[[#This Row],[PEG]],Table1016[#All],2,FALSE)</f>
        <v>#N/A</v>
      </c>
      <c r="D25" s="117"/>
      <c r="E25" s="125" t="e">
        <f>VLOOKUP(Table257519913140106110151155170178204235[[#This Row],[PEG]],Table1016[#All],3,FALSE)</f>
        <v>#N/A</v>
      </c>
    </row>
    <row r="26" spans="1:5" x14ac:dyDescent="0.35">
      <c r="A26" s="118">
        <v>19</v>
      </c>
      <c r="B26" s="114" t="s">
        <v>12</v>
      </c>
      <c r="C26" s="109" t="e">
        <f>VLOOKUP(Table257519913140106110151155170178204235[[#This Row],[PEG]],Table1016[#All],2,FALSE)</f>
        <v>#N/A</v>
      </c>
      <c r="D26" s="117"/>
      <c r="E26" s="125" t="e">
        <f>VLOOKUP(Table257519913140106110151155170178204235[[#This Row],[PEG]],Table1016[#All],3,FALSE)</f>
        <v>#N/A</v>
      </c>
    </row>
    <row r="27" spans="1:5" x14ac:dyDescent="0.35">
      <c r="A27" s="118">
        <v>20</v>
      </c>
      <c r="B27" s="114" t="s">
        <v>115</v>
      </c>
      <c r="C27" s="109" t="e">
        <f>VLOOKUP(Table257519913140106110151155170178204235[[#This Row],[PEG]],Table1016[#All],2,FALSE)</f>
        <v>#N/A</v>
      </c>
      <c r="D27" s="117"/>
      <c r="E27" s="125" t="e">
        <f>VLOOKUP(Table257519913140106110151155170178204235[[#This Row],[PEG]],Table1016[#All],3,FALSE)</f>
        <v>#N/A</v>
      </c>
    </row>
    <row r="28" spans="1:5" x14ac:dyDescent="0.35">
      <c r="A28" s="118">
        <v>21</v>
      </c>
      <c r="B28" s="114" t="s">
        <v>114</v>
      </c>
      <c r="C28" s="109" t="e">
        <f>VLOOKUP(Table257519913140106110151155170178204235[[#This Row],[PEG]],Table1016[#All],2,FALSE)</f>
        <v>#N/A</v>
      </c>
      <c r="D28" s="117"/>
      <c r="E28" s="125" t="e">
        <f>VLOOKUP(Table257519913140106110151155170178204235[[#This Row],[PEG]],Table1016[#All],3,FALSE)</f>
        <v>#N/A</v>
      </c>
    </row>
    <row r="29" spans="1:5" x14ac:dyDescent="0.35">
      <c r="A29" s="118">
        <v>22</v>
      </c>
      <c r="B29" s="114" t="s">
        <v>12</v>
      </c>
      <c r="C29" s="109" t="e">
        <f>VLOOKUP(Table257519913140106110151155170178204235[[#This Row],[PEG]],Table1016[#All],2,FALSE)</f>
        <v>#N/A</v>
      </c>
      <c r="D29" s="117"/>
      <c r="E29" s="125" t="e">
        <f>VLOOKUP(Table257519913140106110151155170178204235[[#This Row],[PEG]],Table1016[#All],3,FALSE)</f>
        <v>#N/A</v>
      </c>
    </row>
    <row r="30" spans="1:5" x14ac:dyDescent="0.35">
      <c r="A30" s="118">
        <v>23</v>
      </c>
      <c r="B30" s="114" t="s">
        <v>12</v>
      </c>
      <c r="C30" s="109" t="e">
        <f>VLOOKUP(Table257519913140106110151155170178204235[[#This Row],[PEG]],Table1016[#All],2,FALSE)</f>
        <v>#N/A</v>
      </c>
      <c r="D30" s="117"/>
      <c r="E30" s="125" t="e">
        <f>VLOOKUP(Table257519913140106110151155170178204235[[#This Row],[PEG]],Table1016[#All],3,FALSE)</f>
        <v>#N/A</v>
      </c>
    </row>
    <row r="31" spans="1:5" x14ac:dyDescent="0.35">
      <c r="A31" s="118">
        <v>24</v>
      </c>
      <c r="B31" s="114" t="s">
        <v>115</v>
      </c>
      <c r="C31" s="109" t="e">
        <f>VLOOKUP(Table257519913140106110151155170178204235[[#This Row],[PEG]],Table1016[#All],2,FALSE)</f>
        <v>#N/A</v>
      </c>
      <c r="D31" s="117"/>
      <c r="E31" s="125" t="e">
        <f>VLOOKUP(Table257519913140106110151155170178204235[[#This Row],[PEG]],Table1016[#All],3,FALSE)</f>
        <v>#N/A</v>
      </c>
    </row>
    <row r="32" spans="1:5" x14ac:dyDescent="0.35">
      <c r="A32" s="118">
        <v>25</v>
      </c>
      <c r="B32" s="114" t="s">
        <v>115</v>
      </c>
      <c r="C32" s="109" t="e">
        <f>VLOOKUP(Table257519913140106110151155170178204235[[#This Row],[PEG]],Table1016[#All],2,FALSE)</f>
        <v>#N/A</v>
      </c>
      <c r="D32" s="117"/>
      <c r="E32" s="125" t="e">
        <f>VLOOKUP(Table257519913140106110151155170178204235[[#This Row],[PEG]],Table1016[#All],3,FALSE)</f>
        <v>#N/A</v>
      </c>
    </row>
    <row r="33" spans="1:5" x14ac:dyDescent="0.35">
      <c r="A33" s="118">
        <v>26</v>
      </c>
      <c r="B33" s="114" t="s">
        <v>124</v>
      </c>
      <c r="C33" s="109" t="e">
        <f>VLOOKUP(Table257519913140106110151155170178204235[[#This Row],[PEG]],Table1016[#All],2,FALSE)</f>
        <v>#N/A</v>
      </c>
      <c r="D33" s="117"/>
      <c r="E33" s="125" t="e">
        <f>VLOOKUP(Table257519913140106110151155170178204235[[#This Row],[PEG]],Table1016[#All],3,FALSE)</f>
        <v>#N/A</v>
      </c>
    </row>
    <row r="34" spans="1:5" x14ac:dyDescent="0.35">
      <c r="A34" s="118">
        <v>27</v>
      </c>
      <c r="B34" s="114" t="s">
        <v>115</v>
      </c>
      <c r="C34" s="109" t="e">
        <f>VLOOKUP(Table257519913140106110151155170178204235[[#This Row],[PEG]],Table1016[#All],2,FALSE)</f>
        <v>#N/A</v>
      </c>
      <c r="D34" s="117"/>
      <c r="E34" s="125" t="e">
        <f>VLOOKUP(Table257519913140106110151155170178204235[[#This Row],[PEG]],Table1016[#All],3,FALSE)</f>
        <v>#N/A</v>
      </c>
    </row>
    <row r="35" spans="1:5" x14ac:dyDescent="0.35">
      <c r="A35" s="118">
        <v>28</v>
      </c>
      <c r="B35" s="114" t="s">
        <v>124</v>
      </c>
      <c r="C35" s="109" t="e">
        <f>VLOOKUP(Table257519913140106110151155170178204235[[#This Row],[PEG]],Table1016[#All],2,FALSE)</f>
        <v>#N/A</v>
      </c>
      <c r="D35" s="117"/>
      <c r="E35" s="125" t="e">
        <f>VLOOKUP(Table257519913140106110151155170178204235[[#This Row],[PEG]],Table1016[#All],3,FALSE)</f>
        <v>#N/A</v>
      </c>
    </row>
    <row r="36" spans="1:5" x14ac:dyDescent="0.35">
      <c r="A36" s="118">
        <v>29</v>
      </c>
      <c r="B36" s="114" t="s">
        <v>115</v>
      </c>
      <c r="C36" s="109" t="e">
        <f>VLOOKUP(Table257519913140106110151155170178204235[[#This Row],[PEG]],Table1016[#All],2,FALSE)</f>
        <v>#N/A</v>
      </c>
      <c r="D36" s="117"/>
      <c r="E36" s="125" t="e">
        <f>VLOOKUP(Table257519913140106110151155170178204235[[#This Row],[PEG]],Table1016[#All],3,FALSE)</f>
        <v>#N/A</v>
      </c>
    </row>
    <row r="37" spans="1:5" x14ac:dyDescent="0.35">
      <c r="A37" s="118">
        <v>30</v>
      </c>
      <c r="B37" s="114" t="s">
        <v>12</v>
      </c>
      <c r="C37" s="109" t="e">
        <f>VLOOKUP(Table257519913140106110151155170178204235[[#This Row],[PEG]],Table1016[#All],2,FALSE)</f>
        <v>#N/A</v>
      </c>
      <c r="D37" s="117"/>
      <c r="E37" s="125" t="e">
        <f>VLOOKUP(Table257519913140106110151155170178204235[[#This Row],[PEG]],Table1016[#All],3,FALSE)</f>
        <v>#N/A</v>
      </c>
    </row>
    <row r="38" spans="1:5" x14ac:dyDescent="0.35">
      <c r="A38" s="118">
        <v>31</v>
      </c>
      <c r="B38" s="114" t="s">
        <v>12</v>
      </c>
      <c r="C38" s="109" t="e">
        <f>VLOOKUP(Table257519913140106110151155170178204235[[#This Row],[PEG]],Table1016[#All],2,FALSE)</f>
        <v>#N/A</v>
      </c>
      <c r="D38" s="117"/>
      <c r="E38" s="125" t="e">
        <f>VLOOKUP(Table257519913140106110151155170178204235[[#This Row],[PEG]],Table1016[#All],3,FALSE)</f>
        <v>#N/A</v>
      </c>
    </row>
    <row r="39" spans="1:5" x14ac:dyDescent="0.35">
      <c r="A39" s="118">
        <v>32</v>
      </c>
      <c r="B39" s="114" t="s">
        <v>12</v>
      </c>
      <c r="C39" s="109" t="e">
        <f>VLOOKUP(Table257519913140106110151155170178204235[[#This Row],[PEG]],Table1016[#All],2,FALSE)</f>
        <v>#N/A</v>
      </c>
      <c r="D39" s="117"/>
      <c r="E39" s="125" t="e">
        <f>VLOOKUP(Table257519913140106110151155170178204235[[#This Row],[PEG]],Table1016[#All],3,FALSE)</f>
        <v>#N/A</v>
      </c>
    </row>
    <row r="40" spans="1:5" x14ac:dyDescent="0.35">
      <c r="A40" s="118">
        <v>33</v>
      </c>
      <c r="B40" s="114" t="s">
        <v>12</v>
      </c>
      <c r="C40" s="109" t="e">
        <f>VLOOKUP(Table257519913140106110151155170178204235[[#This Row],[PEG]],Table1016[#All],2,FALSE)</f>
        <v>#N/A</v>
      </c>
      <c r="D40" s="117"/>
      <c r="E40" s="125" t="e">
        <f>VLOOKUP(Table257519913140106110151155170178204235[[#This Row],[PEG]],Table1016[#All],3,FALSE)</f>
        <v>#N/A</v>
      </c>
    </row>
    <row r="41" spans="1:5" x14ac:dyDescent="0.35">
      <c r="A41" s="118">
        <v>34</v>
      </c>
      <c r="B41" s="114" t="s">
        <v>115</v>
      </c>
      <c r="C41" s="109" t="e">
        <f>VLOOKUP(Table257519913140106110151155170178204235[[#This Row],[PEG]],Table1016[#All],2,FALSE)</f>
        <v>#N/A</v>
      </c>
      <c r="D41" s="117"/>
      <c r="E41" s="125" t="e">
        <f>VLOOKUP(Table257519913140106110151155170178204235[[#This Row],[PEG]],Table1016[#All],3,FALSE)</f>
        <v>#N/A</v>
      </c>
    </row>
    <row r="42" spans="1:5" x14ac:dyDescent="0.35">
      <c r="A42" s="118">
        <v>35</v>
      </c>
      <c r="B42" s="114" t="s">
        <v>12</v>
      </c>
      <c r="C42" s="109" t="e">
        <f>VLOOKUP(Table257519913140106110151155170178204235[[#This Row],[PEG]],Table1016[#All],2,FALSE)</f>
        <v>#N/A</v>
      </c>
      <c r="D42" s="115"/>
      <c r="E42" s="125" t="e">
        <f>VLOOKUP(Table257519913140106110151155170178204235[[#This Row],[PEG]],Table1016[#All],3,FALSE)</f>
        <v>#N/A</v>
      </c>
    </row>
    <row r="43" spans="1:5" x14ac:dyDescent="0.35">
      <c r="A43" s="118">
        <v>36</v>
      </c>
      <c r="B43" s="114" t="s">
        <v>115</v>
      </c>
      <c r="C43" s="109" t="e">
        <f>VLOOKUP(Table257519913140106110151155170178204235[[#This Row],[PEG]],Table1016[#All],2,FALSE)</f>
        <v>#N/A</v>
      </c>
      <c r="D43" s="115"/>
      <c r="E43" s="125" t="e">
        <f>VLOOKUP(Table257519913140106110151155170178204235[[#This Row],[PEG]],Table1016[#All],3,FALSE)</f>
        <v>#N/A</v>
      </c>
    </row>
    <row r="44" spans="1:5" x14ac:dyDescent="0.35">
      <c r="A44" s="118">
        <v>37</v>
      </c>
      <c r="B44" s="114" t="s">
        <v>13</v>
      </c>
      <c r="C44" s="18" t="s">
        <v>13</v>
      </c>
      <c r="D44" s="115"/>
      <c r="E44" s="32"/>
    </row>
  </sheetData>
  <mergeCells count="1">
    <mergeCell ref="A1:B1"/>
  </mergeCells>
  <conditionalFormatting sqref="B8:B18">
    <cfRule type="containsText" dxfId="649" priority="1" operator="containsText" text="Hear">
      <formula>NOT(ISERROR(SEARCH("Hear",B8)))</formula>
    </cfRule>
  </conditionalFormatting>
  <conditionalFormatting sqref="B30">
    <cfRule type="containsText" dxfId="648" priority="4" operator="containsText" text="Hear">
      <formula>NOT(ISERROR(SEARCH("Hear",B30)))</formula>
    </cfRule>
  </conditionalFormatting>
  <conditionalFormatting sqref="B43:B44">
    <cfRule type="containsText" dxfId="647" priority="8" operator="containsText" text="Hear">
      <formula>NOT(ISERROR(SEARCH("Hear",B43)))</formula>
    </cfRule>
  </conditionalFormatting>
  <conditionalFormatting sqref="E44">
    <cfRule type="containsText" dxfId="646" priority="6" operator="containsText" text="WEB SERVICE">
      <formula>NOT(ISERROR(SEARCH("WEB SERVICE",E44)))</formula>
    </cfRule>
    <cfRule type="containsText" dxfId="645" priority="7" operator="containsText" text="DB">
      <formula>NOT(ISERROR(SEARCH("DB",E44)))</formula>
    </cfRule>
  </conditionalFormatting>
  <conditionalFormatting sqref="C44">
    <cfRule type="expression" dxfId="644" priority="9">
      <formula>$B44="Dial"</formula>
    </cfRule>
  </conditionalFormatting>
  <conditionalFormatting sqref="C44">
    <cfRule type="expression" dxfId="643" priority="3">
      <formula>$B44="Speak"</formula>
    </cfRule>
  </conditionalFormatting>
  <conditionalFormatting sqref="B19:B29 B31:B35 B42">
    <cfRule type="containsText" dxfId="642" priority="5" operator="containsText" text="Hear">
      <formula>NOT(ISERROR(SEARCH("Hear",B19)))</formula>
    </cfRule>
  </conditionalFormatting>
  <hyperlinks>
    <hyperlink ref="A1" location="'Test Case Overview'!A1" display="Return to Test Case Overview" xr:uid="{B4680431-F107-4244-9B4F-154D27206496}"/>
  </hyperlinks>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expression" priority="2" id="{1CE7D0B1-E141-47EE-9DA1-9214CCAA4880}">
            <xm:f>'TC1'!$B8="HANGUP"</xm:f>
            <x14:dxf>
              <font>
                <b/>
                <i val="0"/>
              </font>
            </x14:dxf>
          </x14:cfRule>
          <xm:sqref>C8</xm:sqref>
        </x14:conditionalFormatting>
        <x14:conditionalFormatting xmlns:xm="http://schemas.microsoft.com/office/excel/2006/main">
          <x14:cfRule type="expression" priority="3298" id="{1CE7D0B1-E141-47EE-9DA1-9214CCAA4880}">
            <xm:f>'TC1'!$B16="HANGUP"</xm:f>
            <x14:dxf>
              <font>
                <b/>
                <i val="0"/>
              </font>
            </x14:dxf>
          </x14:cfRule>
          <xm:sqref>C34:C43</xm:sqref>
        </x14:conditionalFormatting>
        <x14:conditionalFormatting xmlns:xm="http://schemas.microsoft.com/office/excel/2006/main">
          <x14:cfRule type="expression" priority="3299" id="{1CE7D0B1-E141-47EE-9DA1-9214CCAA4880}">
            <xm:f>'TC1'!#REF!="HANGUP"</xm:f>
            <x14:dxf>
              <font>
                <b/>
                <i val="0"/>
              </font>
            </x14:dxf>
          </x14:cfRule>
          <xm:sqref>C17:C33</xm:sqref>
        </x14:conditionalFormatting>
        <x14:conditionalFormatting xmlns:xm="http://schemas.microsoft.com/office/excel/2006/main">
          <x14:cfRule type="expression" priority="5912" id="{1CE7D0B1-E141-47EE-9DA1-9214CCAA4880}">
            <xm:f>'TC1'!$B9="HANGUP"</xm:f>
            <x14:dxf>
              <font>
                <b/>
                <i val="0"/>
              </font>
            </x14:dxf>
          </x14:cfRule>
          <xm:sqref>C12:C15</xm:sqref>
        </x14:conditionalFormatting>
        <x14:conditionalFormatting xmlns:xm="http://schemas.microsoft.com/office/excel/2006/main">
          <x14:cfRule type="expression" priority="5913" id="{1CE7D0B1-E141-47EE-9DA1-9214CCAA4880}">
            <xm:f>'TC1'!#REF!="HANGUP"</xm:f>
            <x14:dxf>
              <font>
                <b/>
                <i val="0"/>
              </font>
            </x14:dxf>
          </x14:cfRule>
          <xm:sqref>C9:C11</xm:sqref>
        </x14:conditionalFormatting>
        <x14:conditionalFormatting xmlns:xm="http://schemas.microsoft.com/office/excel/2006/main">
          <x14:cfRule type="expression" priority="8097" id="{1CE7D0B1-E141-47EE-9DA1-9214CCAA4880}">
            <xm:f>'TC1'!$B15="HANGUP"</xm:f>
            <x14:dxf>
              <font>
                <b/>
                <i val="0"/>
              </font>
            </x14:dxf>
          </x14:cfRule>
          <xm:sqref>C16</xm:sqref>
        </x14:conditionalFormatting>
      </x14:conditionalFormattings>
    </ext>
  </extLst>
</worksheet>
</file>

<file path=xl/worksheets/sheet1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400-000000000000}">
  <sheetPr codeName="Sheet166"/>
  <dimension ref="A1:E44"/>
  <sheetViews>
    <sheetView zoomScaleNormal="100" workbookViewId="0">
      <selection sqref="A1:E44"/>
    </sheetView>
  </sheetViews>
  <sheetFormatPr defaultRowHeight="14.5" x14ac:dyDescent="0.35"/>
  <cols>
    <col min="1" max="1" width="14.453125" bestFit="1" customWidth="1"/>
    <col min="2" max="2" width="42.6328125" customWidth="1"/>
    <col min="3" max="3" width="106.1796875" customWidth="1"/>
    <col min="4" max="4" width="21.81640625" bestFit="1" customWidth="1"/>
    <col min="5" max="5" width="20.6328125" customWidth="1"/>
  </cols>
  <sheetData>
    <row r="1" spans="1:5" ht="18.5" x14ac:dyDescent="0.35">
      <c r="A1" s="192" t="s">
        <v>4</v>
      </c>
      <c r="B1" s="192"/>
      <c r="C1" s="105"/>
      <c r="D1" s="111"/>
      <c r="E1" s="97"/>
    </row>
    <row r="2" spans="1:5" x14ac:dyDescent="0.35">
      <c r="A2" s="106" t="s">
        <v>5</v>
      </c>
      <c r="B2" s="107" t="str">
        <f ca="1">MID(CELL("filename",A1),FIND("]",CELL("filename",A1))+1,LEN(CELL("filename",A1))-FIND("]",CELL("filename",A1)))</f>
        <v>TC164</v>
      </c>
      <c r="C2" s="98"/>
      <c r="D2" s="111"/>
      <c r="E2" s="97"/>
    </row>
    <row r="3" spans="1:5" x14ac:dyDescent="0.35">
      <c r="A3" s="104" t="s">
        <v>19</v>
      </c>
      <c r="B3" s="112" t="e">
        <f ca="1">VLOOKUP(B2,Table53[#All],2,FALSE)</f>
        <v>#N/A</v>
      </c>
      <c r="C3" s="98"/>
      <c r="D3" s="111"/>
      <c r="E3" s="97"/>
    </row>
    <row r="4" spans="1:5" ht="29" x14ac:dyDescent="0.35">
      <c r="A4" s="113" t="s">
        <v>20</v>
      </c>
      <c r="B4" s="99" t="e">
        <f ca="1">VLOOKUP(B2,Table53[#All],4,FALSE)</f>
        <v>#N/A</v>
      </c>
      <c r="C4" s="98"/>
      <c r="D4" s="111"/>
      <c r="E4" s="97"/>
    </row>
    <row r="5" spans="1:5" x14ac:dyDescent="0.35">
      <c r="A5" s="104" t="s">
        <v>6</v>
      </c>
      <c r="B5" s="77" t="e">
        <f ca="1">VLOOKUP(B2,Table53[#All],3,FALSE)</f>
        <v>#N/A</v>
      </c>
      <c r="C5" s="98"/>
      <c r="D5" s="111"/>
      <c r="E5" s="97"/>
    </row>
    <row r="6" spans="1:5" x14ac:dyDescent="0.35">
      <c r="A6" s="97"/>
      <c r="B6" s="97"/>
      <c r="C6" s="98"/>
      <c r="D6" s="111"/>
      <c r="E6" s="97"/>
    </row>
    <row r="7" spans="1:5" ht="15.5" x14ac:dyDescent="0.35">
      <c r="A7" s="100" t="s">
        <v>7</v>
      </c>
      <c r="B7" s="101" t="s">
        <v>8</v>
      </c>
      <c r="C7" s="102" t="s">
        <v>9</v>
      </c>
      <c r="D7" s="102" t="s">
        <v>14</v>
      </c>
      <c r="E7" s="103" t="s">
        <v>10</v>
      </c>
    </row>
    <row r="8" spans="1:5" x14ac:dyDescent="0.35">
      <c r="A8" s="118">
        <v>1</v>
      </c>
      <c r="B8" s="114" t="s">
        <v>114</v>
      </c>
      <c r="C8" s="109" t="s">
        <v>125</v>
      </c>
      <c r="D8" s="128"/>
      <c r="E8" s="125" t="s">
        <v>11</v>
      </c>
    </row>
    <row r="9" spans="1:5" x14ac:dyDescent="0.35">
      <c r="A9" s="118">
        <v>2</v>
      </c>
      <c r="B9" s="114" t="s">
        <v>12</v>
      </c>
      <c r="C9" s="109" t="e">
        <f>VLOOKUP(Table257519913140106110151155170178204237[[#This Row],[PEG]],Table1016[#All],2,FALSE)</f>
        <v>#N/A</v>
      </c>
      <c r="D9" s="128"/>
      <c r="E9" s="125" t="e">
        <f>VLOOKUP(Table257519913140106110151155170178204237[[#This Row],[PEG]],Table1016[#All],3,FALSE)</f>
        <v>#N/A</v>
      </c>
    </row>
    <row r="10" spans="1:5" x14ac:dyDescent="0.35">
      <c r="A10" s="118">
        <v>3</v>
      </c>
      <c r="B10" s="114" t="s">
        <v>115</v>
      </c>
      <c r="C10" s="109" t="e">
        <f>VLOOKUP(Table257519913140106110151155170178204237[[#This Row],[PEG]],Table1016[#All],2,FALSE)</f>
        <v>#N/A</v>
      </c>
      <c r="D10" s="128"/>
      <c r="E10" s="125" t="e">
        <f>VLOOKUP(Table257519913140106110151155170178204237[[#This Row],[PEG]],Table1016[#All],3,FALSE)</f>
        <v>#N/A</v>
      </c>
    </row>
    <row r="11" spans="1:5" x14ac:dyDescent="0.35">
      <c r="A11" s="118">
        <v>4</v>
      </c>
      <c r="B11" s="114" t="s">
        <v>115</v>
      </c>
      <c r="C11" s="109" t="e">
        <f>VLOOKUP(Table257519913140106110151155170178204237[[#This Row],[PEG]],Table1016[#All],2,FALSE)</f>
        <v>#N/A</v>
      </c>
      <c r="D11" s="128"/>
      <c r="E11" s="125" t="e">
        <f>VLOOKUP(Table257519913140106110151155170178204237[[#This Row],[PEG]],Table1016[#All],3,FALSE)</f>
        <v>#N/A</v>
      </c>
    </row>
    <row r="12" spans="1:5" x14ac:dyDescent="0.35">
      <c r="A12" s="118">
        <v>5</v>
      </c>
      <c r="B12" s="114" t="s">
        <v>114</v>
      </c>
      <c r="C12" s="109" t="e">
        <f>VLOOKUP(Table257519913140106110151155170178204237[[#This Row],[PEG]],Table1016[#All],2,FALSE)</f>
        <v>#N/A</v>
      </c>
      <c r="D12" s="128"/>
      <c r="E12" s="125" t="e">
        <f>VLOOKUP(Table257519913140106110151155170178204237[[#This Row],[PEG]],Table1016[#All],3,FALSE)</f>
        <v>#N/A</v>
      </c>
    </row>
    <row r="13" spans="1:5" x14ac:dyDescent="0.35">
      <c r="A13" s="118">
        <v>6</v>
      </c>
      <c r="B13" s="114" t="s">
        <v>115</v>
      </c>
      <c r="C13" s="109" t="e">
        <f>VLOOKUP(Table257519913140106110151155170178204237[[#This Row],[PEG]],Table1016[#All],2,FALSE)</f>
        <v>#N/A</v>
      </c>
      <c r="D13" s="128"/>
      <c r="E13" s="125" t="e">
        <f>VLOOKUP(Table257519913140106110151155170178204237[[#This Row],[PEG]],Table1016[#All],3,FALSE)</f>
        <v>#N/A</v>
      </c>
    </row>
    <row r="14" spans="1:5" x14ac:dyDescent="0.35">
      <c r="A14" s="118">
        <v>7</v>
      </c>
      <c r="B14" s="114" t="s">
        <v>114</v>
      </c>
      <c r="C14" s="109" t="e">
        <f>VLOOKUP(Table257519913140106110151155170178204237[[#This Row],[PEG]],Table1016[#All],2,FALSE)</f>
        <v>#N/A</v>
      </c>
      <c r="D14" s="128"/>
      <c r="E14" s="125" t="e">
        <f>VLOOKUP(Table257519913140106110151155170178204237[[#This Row],[PEG]],Table1016[#All],3,FALSE)</f>
        <v>#N/A</v>
      </c>
    </row>
    <row r="15" spans="1:5" x14ac:dyDescent="0.35">
      <c r="A15" s="118">
        <v>8</v>
      </c>
      <c r="B15" s="114" t="s">
        <v>115</v>
      </c>
      <c r="C15" s="109" t="e">
        <f>VLOOKUP(Table257519913140106110151155170178204237[[#This Row],[PEG]],Table1016[#All],2,FALSE)</f>
        <v>#N/A</v>
      </c>
      <c r="D15" s="116"/>
      <c r="E15" s="125" t="e">
        <f>VLOOKUP(Table257519913140106110151155170178204237[[#This Row],[PEG]],Table1016[#All],3,FALSE)</f>
        <v>#N/A</v>
      </c>
    </row>
    <row r="16" spans="1:5" x14ac:dyDescent="0.35">
      <c r="A16" s="118">
        <v>9</v>
      </c>
      <c r="B16" s="114" t="s">
        <v>12</v>
      </c>
      <c r="C16" s="109" t="e">
        <f>VLOOKUP(Table257519913140106110151155170178204237[[#This Row],[PEG]],Table1016[#All],2,FALSE)</f>
        <v>#N/A</v>
      </c>
      <c r="D16" s="116"/>
      <c r="E16" s="125" t="e">
        <f>VLOOKUP(Table257519913140106110151155170178204237[[#This Row],[PEG]],Table1016[#All],3,FALSE)</f>
        <v>#N/A</v>
      </c>
    </row>
    <row r="17" spans="1:5" x14ac:dyDescent="0.35">
      <c r="A17" s="118">
        <v>10</v>
      </c>
      <c r="B17" s="114" t="s">
        <v>12</v>
      </c>
      <c r="C17" s="109" t="e">
        <f>VLOOKUP(Table257519913140106110151155170178204237[[#This Row],[PEG]],Table1016[#All],2,FALSE)</f>
        <v>#N/A</v>
      </c>
      <c r="D17" s="117"/>
      <c r="E17" s="125" t="e">
        <f>VLOOKUP(Table257519913140106110151155170178204237[[#This Row],[PEG]],Table1016[#All],3,FALSE)</f>
        <v>#N/A</v>
      </c>
    </row>
    <row r="18" spans="1:5" x14ac:dyDescent="0.35">
      <c r="A18" s="118">
        <v>11</v>
      </c>
      <c r="B18" s="114" t="s">
        <v>115</v>
      </c>
      <c r="C18" s="109" t="e">
        <f>VLOOKUP(Table257519913140106110151155170178204237[[#This Row],[PEG]],Table1016[#All],2,FALSE)</f>
        <v>#N/A</v>
      </c>
      <c r="D18" s="117"/>
      <c r="E18" s="125" t="e">
        <f>VLOOKUP(Table257519913140106110151155170178204237[[#This Row],[PEG]],Table1016[#All],3,FALSE)</f>
        <v>#N/A</v>
      </c>
    </row>
    <row r="19" spans="1:5" x14ac:dyDescent="0.35">
      <c r="A19" s="118">
        <v>12</v>
      </c>
      <c r="B19" s="114" t="s">
        <v>115</v>
      </c>
      <c r="C19" s="109" t="e">
        <f>VLOOKUP(Table257519913140106110151155170178204237[[#This Row],[PEG]],Table1016[#All],2,FALSE)</f>
        <v>#N/A</v>
      </c>
      <c r="D19" s="117"/>
      <c r="E19" s="125" t="e">
        <f>VLOOKUP(Table257519913140106110151155170178204237[[#This Row],[PEG]],Table1016[#All],3,FALSE)</f>
        <v>#N/A</v>
      </c>
    </row>
    <row r="20" spans="1:5" x14ac:dyDescent="0.35">
      <c r="A20" s="118">
        <v>13</v>
      </c>
      <c r="B20" s="114" t="s">
        <v>114</v>
      </c>
      <c r="C20" s="109" t="e">
        <f>VLOOKUP(Table257519913140106110151155170178204237[[#This Row],[PEG]],Table1016[#All],2,FALSE)</f>
        <v>#N/A</v>
      </c>
      <c r="D20" s="117"/>
      <c r="E20" s="125" t="e">
        <f>VLOOKUP(Table257519913140106110151155170178204237[[#This Row],[PEG]],Table1016[#All],3,FALSE)</f>
        <v>#N/A</v>
      </c>
    </row>
    <row r="21" spans="1:5" x14ac:dyDescent="0.35">
      <c r="A21" s="118">
        <v>14</v>
      </c>
      <c r="B21" s="114" t="s">
        <v>12</v>
      </c>
      <c r="C21" s="109" t="e">
        <f>VLOOKUP(Table257519913140106110151155170178204237[[#This Row],[PEG]],Table1016[#All],2,FALSE)</f>
        <v>#N/A</v>
      </c>
      <c r="D21" s="117"/>
      <c r="E21" s="125" t="e">
        <f>VLOOKUP(Table257519913140106110151155170178204237[[#This Row],[PEG]],Table1016[#All],3,FALSE)</f>
        <v>#N/A</v>
      </c>
    </row>
    <row r="22" spans="1:5" x14ac:dyDescent="0.35">
      <c r="A22" s="118">
        <v>15</v>
      </c>
      <c r="B22" s="114" t="s">
        <v>12</v>
      </c>
      <c r="C22" s="109" t="e">
        <f>VLOOKUP(Table257519913140106110151155170178204237[[#This Row],[PEG]],Table1016[#All],2,FALSE)</f>
        <v>#N/A</v>
      </c>
      <c r="D22" s="117"/>
      <c r="E22" s="125" t="e">
        <f>VLOOKUP(Table257519913140106110151155170178204237[[#This Row],[PEG]],Table1016[#All],3,FALSE)</f>
        <v>#N/A</v>
      </c>
    </row>
    <row r="23" spans="1:5" x14ac:dyDescent="0.35">
      <c r="A23" s="118">
        <v>16</v>
      </c>
      <c r="B23" s="114" t="s">
        <v>115</v>
      </c>
      <c r="C23" s="109" t="e">
        <f>VLOOKUP(Table257519913140106110151155170178204237[[#This Row],[PEG]],Table1016[#All],2,FALSE)</f>
        <v>#N/A</v>
      </c>
      <c r="D23" s="117"/>
      <c r="E23" s="125" t="e">
        <f>VLOOKUP(Table257519913140106110151155170178204237[[#This Row],[PEG]],Table1016[#All],3,FALSE)</f>
        <v>#N/A</v>
      </c>
    </row>
    <row r="24" spans="1:5" x14ac:dyDescent="0.35">
      <c r="A24" s="118">
        <v>17</v>
      </c>
      <c r="B24" s="114" t="s">
        <v>114</v>
      </c>
      <c r="C24" s="109" t="e">
        <f>VLOOKUP(Table257519913140106110151155170178204237[[#This Row],[PEG]],Table1016[#All],2,FALSE)</f>
        <v>#N/A</v>
      </c>
      <c r="D24" s="117"/>
      <c r="E24" s="125" t="e">
        <f>VLOOKUP(Table257519913140106110151155170178204237[[#This Row],[PEG]],Table1016[#All],3,FALSE)</f>
        <v>#N/A</v>
      </c>
    </row>
    <row r="25" spans="1:5" x14ac:dyDescent="0.35">
      <c r="A25" s="118">
        <v>18</v>
      </c>
      <c r="B25" s="114" t="s">
        <v>12</v>
      </c>
      <c r="C25" s="109" t="e">
        <f>VLOOKUP(Table257519913140106110151155170178204237[[#This Row],[PEG]],Table1016[#All],2,FALSE)</f>
        <v>#N/A</v>
      </c>
      <c r="D25" s="117"/>
      <c r="E25" s="125" t="e">
        <f>VLOOKUP(Table257519913140106110151155170178204237[[#This Row],[PEG]],Table1016[#All],3,FALSE)</f>
        <v>#N/A</v>
      </c>
    </row>
    <row r="26" spans="1:5" x14ac:dyDescent="0.35">
      <c r="A26" s="118">
        <v>19</v>
      </c>
      <c r="B26" s="114" t="s">
        <v>12</v>
      </c>
      <c r="C26" s="109" t="e">
        <f>VLOOKUP(Table257519913140106110151155170178204237[[#This Row],[PEG]],Table1016[#All],2,FALSE)</f>
        <v>#N/A</v>
      </c>
      <c r="D26" s="117"/>
      <c r="E26" s="125" t="e">
        <f>VLOOKUP(Table257519913140106110151155170178204237[[#This Row],[PEG]],Table1016[#All],3,FALSE)</f>
        <v>#N/A</v>
      </c>
    </row>
    <row r="27" spans="1:5" x14ac:dyDescent="0.35">
      <c r="A27" s="118">
        <v>20</v>
      </c>
      <c r="B27" s="114" t="s">
        <v>115</v>
      </c>
      <c r="C27" s="109" t="e">
        <f>VLOOKUP(Table257519913140106110151155170178204237[[#This Row],[PEG]],Table1016[#All],2,FALSE)</f>
        <v>#N/A</v>
      </c>
      <c r="D27" s="117"/>
      <c r="E27" s="125" t="e">
        <f>VLOOKUP(Table257519913140106110151155170178204237[[#This Row],[PEG]],Table1016[#All],3,FALSE)</f>
        <v>#N/A</v>
      </c>
    </row>
    <row r="28" spans="1:5" x14ac:dyDescent="0.35">
      <c r="A28" s="118">
        <v>21</v>
      </c>
      <c r="B28" s="114" t="s">
        <v>114</v>
      </c>
      <c r="C28" s="109" t="e">
        <f>VLOOKUP(Table257519913140106110151155170178204237[[#This Row],[PEG]],Table1016[#All],2,FALSE)</f>
        <v>#N/A</v>
      </c>
      <c r="D28" s="117"/>
      <c r="E28" s="125" t="e">
        <f>VLOOKUP(Table257519913140106110151155170178204237[[#This Row],[PEG]],Table1016[#All],3,FALSE)</f>
        <v>#N/A</v>
      </c>
    </row>
    <row r="29" spans="1:5" x14ac:dyDescent="0.35">
      <c r="A29" s="118">
        <v>22</v>
      </c>
      <c r="B29" s="114" t="s">
        <v>12</v>
      </c>
      <c r="C29" s="109" t="e">
        <f>VLOOKUP(Table257519913140106110151155170178204237[[#This Row],[PEG]],Table1016[#All],2,FALSE)</f>
        <v>#N/A</v>
      </c>
      <c r="D29" s="117"/>
      <c r="E29" s="125" t="e">
        <f>VLOOKUP(Table257519913140106110151155170178204237[[#This Row],[PEG]],Table1016[#All],3,FALSE)</f>
        <v>#N/A</v>
      </c>
    </row>
    <row r="30" spans="1:5" x14ac:dyDescent="0.35">
      <c r="A30" s="118">
        <v>23</v>
      </c>
      <c r="B30" s="114" t="s">
        <v>12</v>
      </c>
      <c r="C30" s="109" t="e">
        <f>VLOOKUP(Table257519913140106110151155170178204237[[#This Row],[PEG]],Table1016[#All],2,FALSE)</f>
        <v>#N/A</v>
      </c>
      <c r="D30" s="117"/>
      <c r="E30" s="125" t="e">
        <f>VLOOKUP(Table257519913140106110151155170178204237[[#This Row],[PEG]],Table1016[#All],3,FALSE)</f>
        <v>#N/A</v>
      </c>
    </row>
    <row r="31" spans="1:5" x14ac:dyDescent="0.35">
      <c r="A31" s="118">
        <v>24</v>
      </c>
      <c r="B31" s="114" t="s">
        <v>115</v>
      </c>
      <c r="C31" s="109" t="e">
        <f>VLOOKUP(Table257519913140106110151155170178204237[[#This Row],[PEG]],Table1016[#All],2,FALSE)</f>
        <v>#N/A</v>
      </c>
      <c r="D31" s="117"/>
      <c r="E31" s="125" t="e">
        <f>VLOOKUP(Table257519913140106110151155170178204237[[#This Row],[PEG]],Table1016[#All],3,FALSE)</f>
        <v>#N/A</v>
      </c>
    </row>
    <row r="32" spans="1:5" x14ac:dyDescent="0.35">
      <c r="A32" s="118">
        <v>25</v>
      </c>
      <c r="B32" s="114" t="s">
        <v>115</v>
      </c>
      <c r="C32" s="109" t="e">
        <f>VLOOKUP(Table257519913140106110151155170178204237[[#This Row],[PEG]],Table1016[#All],2,FALSE)</f>
        <v>#N/A</v>
      </c>
      <c r="D32" s="117"/>
      <c r="E32" s="125" t="e">
        <f>VLOOKUP(Table257519913140106110151155170178204237[[#This Row],[PEG]],Table1016[#All],3,FALSE)</f>
        <v>#N/A</v>
      </c>
    </row>
    <row r="33" spans="1:5" x14ac:dyDescent="0.35">
      <c r="A33" s="118">
        <v>26</v>
      </c>
      <c r="B33" s="114" t="s">
        <v>124</v>
      </c>
      <c r="C33" s="109" t="e">
        <f>VLOOKUP(Table257519913140106110151155170178204237[[#This Row],[PEG]],Table1016[#All],2,FALSE)</f>
        <v>#N/A</v>
      </c>
      <c r="D33" s="117"/>
      <c r="E33" s="125" t="e">
        <f>VLOOKUP(Table257519913140106110151155170178204237[[#This Row],[PEG]],Table1016[#All],3,FALSE)</f>
        <v>#N/A</v>
      </c>
    </row>
    <row r="34" spans="1:5" x14ac:dyDescent="0.35">
      <c r="A34" s="118">
        <v>27</v>
      </c>
      <c r="B34" s="114" t="s">
        <v>115</v>
      </c>
      <c r="C34" s="109" t="e">
        <f>VLOOKUP(Table257519913140106110151155170178204237[[#This Row],[PEG]],Table1016[#All],2,FALSE)</f>
        <v>#N/A</v>
      </c>
      <c r="D34" s="117"/>
      <c r="E34" s="125" t="e">
        <f>VLOOKUP(Table257519913140106110151155170178204237[[#This Row],[PEG]],Table1016[#All],3,FALSE)</f>
        <v>#N/A</v>
      </c>
    </row>
    <row r="35" spans="1:5" x14ac:dyDescent="0.35">
      <c r="A35" s="118">
        <v>28</v>
      </c>
      <c r="B35" s="114" t="s">
        <v>124</v>
      </c>
      <c r="C35" s="109" t="e">
        <f>VLOOKUP(Table257519913140106110151155170178204237[[#This Row],[PEG]],Table1016[#All],2,FALSE)</f>
        <v>#N/A</v>
      </c>
      <c r="D35" s="117"/>
      <c r="E35" s="125" t="e">
        <f>VLOOKUP(Table257519913140106110151155170178204237[[#This Row],[PEG]],Table1016[#All],3,FALSE)</f>
        <v>#N/A</v>
      </c>
    </row>
    <row r="36" spans="1:5" x14ac:dyDescent="0.35">
      <c r="A36" s="118">
        <v>29</v>
      </c>
      <c r="B36" s="114" t="s">
        <v>115</v>
      </c>
      <c r="C36" s="109" t="e">
        <f>VLOOKUP(Table257519913140106110151155170178204237[[#This Row],[PEG]],Table1016[#All],2,FALSE)</f>
        <v>#N/A</v>
      </c>
      <c r="D36" s="117"/>
      <c r="E36" s="125" t="e">
        <f>VLOOKUP(Table257519913140106110151155170178204237[[#This Row],[PEG]],Table1016[#All],3,FALSE)</f>
        <v>#N/A</v>
      </c>
    </row>
    <row r="37" spans="1:5" x14ac:dyDescent="0.35">
      <c r="A37" s="118">
        <v>30</v>
      </c>
      <c r="B37" s="114" t="s">
        <v>12</v>
      </c>
      <c r="C37" s="109" t="e">
        <f>VLOOKUP(Table257519913140106110151155170178204237[[#This Row],[PEG]],Table1016[#All],2,FALSE)</f>
        <v>#N/A</v>
      </c>
      <c r="D37" s="117"/>
      <c r="E37" s="125" t="e">
        <f>VLOOKUP(Table257519913140106110151155170178204237[[#This Row],[PEG]],Table1016[#All],3,FALSE)</f>
        <v>#N/A</v>
      </c>
    </row>
    <row r="38" spans="1:5" x14ac:dyDescent="0.35">
      <c r="A38" s="118">
        <v>31</v>
      </c>
      <c r="B38" s="114" t="s">
        <v>12</v>
      </c>
      <c r="C38" s="109" t="e">
        <f>VLOOKUP(Table257519913140106110151155170178204237[[#This Row],[PEG]],Table1016[#All],2,FALSE)</f>
        <v>#N/A</v>
      </c>
      <c r="D38" s="117"/>
      <c r="E38" s="125" t="e">
        <f>VLOOKUP(Table257519913140106110151155170178204237[[#This Row],[PEG]],Table1016[#All],3,FALSE)</f>
        <v>#N/A</v>
      </c>
    </row>
    <row r="39" spans="1:5" x14ac:dyDescent="0.35">
      <c r="A39" s="118">
        <v>32</v>
      </c>
      <c r="B39" s="114" t="s">
        <v>12</v>
      </c>
      <c r="C39" s="109" t="e">
        <f>VLOOKUP(Table257519913140106110151155170178204237[[#This Row],[PEG]],Table1016[#All],2,FALSE)</f>
        <v>#N/A</v>
      </c>
      <c r="D39" s="117"/>
      <c r="E39" s="125" t="e">
        <f>VLOOKUP(Table257519913140106110151155170178204237[[#This Row],[PEG]],Table1016[#All],3,FALSE)</f>
        <v>#N/A</v>
      </c>
    </row>
    <row r="40" spans="1:5" x14ac:dyDescent="0.35">
      <c r="A40" s="118">
        <v>33</v>
      </c>
      <c r="B40" s="114" t="s">
        <v>12</v>
      </c>
      <c r="C40" s="109" t="e">
        <f>VLOOKUP(Table257519913140106110151155170178204237[[#This Row],[PEG]],Table1016[#All],2,FALSE)</f>
        <v>#N/A</v>
      </c>
      <c r="D40" s="117"/>
      <c r="E40" s="125" t="e">
        <f>VLOOKUP(Table257519913140106110151155170178204237[[#This Row],[PEG]],Table1016[#All],3,FALSE)</f>
        <v>#N/A</v>
      </c>
    </row>
    <row r="41" spans="1:5" x14ac:dyDescent="0.35">
      <c r="A41" s="118">
        <v>34</v>
      </c>
      <c r="B41" s="114" t="s">
        <v>115</v>
      </c>
      <c r="C41" s="109" t="e">
        <f>VLOOKUP(Table257519913140106110151155170178204237[[#This Row],[PEG]],Table1016[#All],2,FALSE)</f>
        <v>#N/A</v>
      </c>
      <c r="D41" s="117"/>
      <c r="E41" s="125" t="e">
        <f>VLOOKUP(Table257519913140106110151155170178204237[[#This Row],[PEG]],Table1016[#All],3,FALSE)</f>
        <v>#N/A</v>
      </c>
    </row>
    <row r="42" spans="1:5" x14ac:dyDescent="0.35">
      <c r="A42" s="118">
        <v>35</v>
      </c>
      <c r="B42" s="114" t="s">
        <v>12</v>
      </c>
      <c r="C42" s="109" t="e">
        <f>VLOOKUP(Table257519913140106110151155170178204237[[#This Row],[PEG]],Table1016[#All],2,FALSE)</f>
        <v>#N/A</v>
      </c>
      <c r="D42" s="115"/>
      <c r="E42" s="125" t="e">
        <f>VLOOKUP(Table257519913140106110151155170178204237[[#This Row],[PEG]],Table1016[#All],3,FALSE)</f>
        <v>#N/A</v>
      </c>
    </row>
    <row r="43" spans="1:5" x14ac:dyDescent="0.35">
      <c r="A43" s="118">
        <v>36</v>
      </c>
      <c r="B43" s="114" t="s">
        <v>115</v>
      </c>
      <c r="C43" s="109" t="e">
        <f>VLOOKUP(Table257519913140106110151155170178204237[[#This Row],[PEG]],Table1016[#All],2,FALSE)</f>
        <v>#N/A</v>
      </c>
      <c r="D43" s="115"/>
      <c r="E43" s="125" t="e">
        <f>VLOOKUP(Table257519913140106110151155170178204237[[#This Row],[PEG]],Table1016[#All],3,FALSE)</f>
        <v>#N/A</v>
      </c>
    </row>
    <row r="44" spans="1:5" x14ac:dyDescent="0.35">
      <c r="A44" s="118">
        <v>37</v>
      </c>
      <c r="B44" s="114" t="s">
        <v>13</v>
      </c>
      <c r="C44" s="18" t="s">
        <v>13</v>
      </c>
      <c r="D44" s="115"/>
      <c r="E44" s="32"/>
    </row>
  </sheetData>
  <mergeCells count="1">
    <mergeCell ref="A1:B1"/>
  </mergeCells>
  <conditionalFormatting sqref="B8:B18">
    <cfRule type="containsText" dxfId="635" priority="1" operator="containsText" text="Hear">
      <formula>NOT(ISERROR(SEARCH("Hear",B8)))</formula>
    </cfRule>
  </conditionalFormatting>
  <conditionalFormatting sqref="B30">
    <cfRule type="containsText" dxfId="634" priority="4" operator="containsText" text="Hear">
      <formula>NOT(ISERROR(SEARCH("Hear",B30)))</formula>
    </cfRule>
  </conditionalFormatting>
  <conditionalFormatting sqref="B43:B44">
    <cfRule type="containsText" dxfId="633" priority="8" operator="containsText" text="Hear">
      <formula>NOT(ISERROR(SEARCH("Hear",B43)))</formula>
    </cfRule>
  </conditionalFormatting>
  <conditionalFormatting sqref="E44">
    <cfRule type="containsText" dxfId="632" priority="6" operator="containsText" text="WEB SERVICE">
      <formula>NOT(ISERROR(SEARCH("WEB SERVICE",E44)))</formula>
    </cfRule>
    <cfRule type="containsText" dxfId="631" priority="7" operator="containsText" text="DB">
      <formula>NOT(ISERROR(SEARCH("DB",E44)))</formula>
    </cfRule>
  </conditionalFormatting>
  <conditionalFormatting sqref="C44">
    <cfRule type="expression" dxfId="630" priority="9">
      <formula>$B44="Dial"</formula>
    </cfRule>
  </conditionalFormatting>
  <conditionalFormatting sqref="C44">
    <cfRule type="expression" dxfId="629" priority="3">
      <formula>$B44="Speak"</formula>
    </cfRule>
  </conditionalFormatting>
  <conditionalFormatting sqref="B19:B29 B31:B35 B42">
    <cfRule type="containsText" dxfId="628" priority="5" operator="containsText" text="Hear">
      <formula>NOT(ISERROR(SEARCH("Hear",B19)))</formula>
    </cfRule>
  </conditionalFormatting>
  <hyperlinks>
    <hyperlink ref="A1" location="'Test Case Overview'!A1" display="Return to Test Case Overview" xr:uid="{1D4C01DE-25B9-4AEF-ABE3-27E6C9906941}"/>
  </hyperlinks>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expression" priority="2" id="{5253F2A1-C1FA-4FF6-8E8A-B72CC01A48E6}">
            <xm:f>'TC1'!$B8="HANGUP"</xm:f>
            <x14:dxf>
              <font>
                <b/>
                <i val="0"/>
              </font>
            </x14:dxf>
          </x14:cfRule>
          <xm:sqref>C8</xm:sqref>
        </x14:conditionalFormatting>
        <x14:conditionalFormatting xmlns:xm="http://schemas.microsoft.com/office/excel/2006/main">
          <x14:cfRule type="expression" priority="3302" id="{5253F2A1-C1FA-4FF6-8E8A-B72CC01A48E6}">
            <xm:f>'TC1'!$B16="HANGUP"</xm:f>
            <x14:dxf>
              <font>
                <b/>
                <i val="0"/>
              </font>
            </x14:dxf>
          </x14:cfRule>
          <xm:sqref>C34:C43</xm:sqref>
        </x14:conditionalFormatting>
        <x14:conditionalFormatting xmlns:xm="http://schemas.microsoft.com/office/excel/2006/main">
          <x14:cfRule type="expression" priority="3303" id="{5253F2A1-C1FA-4FF6-8E8A-B72CC01A48E6}">
            <xm:f>'TC1'!#REF!="HANGUP"</xm:f>
            <x14:dxf>
              <font>
                <b/>
                <i val="0"/>
              </font>
            </x14:dxf>
          </x14:cfRule>
          <xm:sqref>C17:C33</xm:sqref>
        </x14:conditionalFormatting>
        <x14:conditionalFormatting xmlns:xm="http://schemas.microsoft.com/office/excel/2006/main">
          <x14:cfRule type="expression" priority="5916" id="{5253F2A1-C1FA-4FF6-8E8A-B72CC01A48E6}">
            <xm:f>'TC1'!$B9="HANGUP"</xm:f>
            <x14:dxf>
              <font>
                <b/>
                <i val="0"/>
              </font>
            </x14:dxf>
          </x14:cfRule>
          <xm:sqref>C12:C15</xm:sqref>
        </x14:conditionalFormatting>
        <x14:conditionalFormatting xmlns:xm="http://schemas.microsoft.com/office/excel/2006/main">
          <x14:cfRule type="expression" priority="5917" id="{5253F2A1-C1FA-4FF6-8E8A-B72CC01A48E6}">
            <xm:f>'TC1'!#REF!="HANGUP"</xm:f>
            <x14:dxf>
              <font>
                <b/>
                <i val="0"/>
              </font>
            </x14:dxf>
          </x14:cfRule>
          <xm:sqref>C9:C11</xm:sqref>
        </x14:conditionalFormatting>
        <x14:conditionalFormatting xmlns:xm="http://schemas.microsoft.com/office/excel/2006/main">
          <x14:cfRule type="expression" priority="8100" id="{5253F2A1-C1FA-4FF6-8E8A-B72CC01A48E6}">
            <xm:f>'TC1'!$B15="HANGUP"</xm:f>
            <x14:dxf>
              <font>
                <b/>
                <i val="0"/>
              </font>
            </x14:dxf>
          </x14:cfRule>
          <xm:sqref>C16</xm:sqref>
        </x14:conditionalFormatting>
      </x14:conditionalFormattings>
    </ext>
  </extLst>
</worksheet>
</file>

<file path=xl/worksheets/sheet1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500-000000000000}">
  <sheetPr codeName="Sheet167"/>
  <dimension ref="A1:E44"/>
  <sheetViews>
    <sheetView zoomScaleNormal="100" workbookViewId="0">
      <selection sqref="A1:E44"/>
    </sheetView>
  </sheetViews>
  <sheetFormatPr defaultRowHeight="14.5" x14ac:dyDescent="0.35"/>
  <cols>
    <col min="1" max="1" width="14.453125" bestFit="1" customWidth="1"/>
    <col min="2" max="2" width="42.6328125" customWidth="1"/>
    <col min="3" max="3" width="106.1796875" customWidth="1"/>
    <col min="4" max="4" width="21.81640625" bestFit="1" customWidth="1"/>
    <col min="5" max="5" width="20.6328125" customWidth="1"/>
  </cols>
  <sheetData>
    <row r="1" spans="1:5" ht="18.5" x14ac:dyDescent="0.35">
      <c r="A1" s="192" t="s">
        <v>4</v>
      </c>
      <c r="B1" s="192"/>
      <c r="C1" s="105"/>
      <c r="D1" s="111"/>
      <c r="E1" s="97"/>
    </row>
    <row r="2" spans="1:5" x14ac:dyDescent="0.35">
      <c r="A2" s="106" t="s">
        <v>5</v>
      </c>
      <c r="B2" s="107" t="str">
        <f ca="1">MID(CELL("filename",A1),FIND("]",CELL("filename",A1))+1,LEN(CELL("filename",A1))-FIND("]",CELL("filename",A1)))</f>
        <v>TC165</v>
      </c>
      <c r="C2" s="98"/>
      <c r="D2" s="111"/>
      <c r="E2" s="97"/>
    </row>
    <row r="3" spans="1:5" x14ac:dyDescent="0.35">
      <c r="A3" s="104" t="s">
        <v>19</v>
      </c>
      <c r="B3" s="112" t="e">
        <f ca="1">VLOOKUP(B2,Table53[#All],2,FALSE)</f>
        <v>#N/A</v>
      </c>
      <c r="C3" s="98"/>
      <c r="D3" s="111"/>
      <c r="E3" s="97"/>
    </row>
    <row r="4" spans="1:5" ht="29" x14ac:dyDescent="0.35">
      <c r="A4" s="113" t="s">
        <v>20</v>
      </c>
      <c r="B4" s="99" t="e">
        <f ca="1">VLOOKUP(B2,Table53[#All],4,FALSE)</f>
        <v>#N/A</v>
      </c>
      <c r="C4" s="98"/>
      <c r="D4" s="111"/>
      <c r="E4" s="97"/>
    </row>
    <row r="5" spans="1:5" x14ac:dyDescent="0.35">
      <c r="A5" s="104" t="s">
        <v>6</v>
      </c>
      <c r="B5" s="77" t="e">
        <f ca="1">VLOOKUP(B2,Table53[#All],3,FALSE)</f>
        <v>#N/A</v>
      </c>
      <c r="C5" s="98"/>
      <c r="D5" s="111"/>
      <c r="E5" s="97"/>
    </row>
    <row r="6" spans="1:5" x14ac:dyDescent="0.35">
      <c r="A6" s="97"/>
      <c r="B6" s="97"/>
      <c r="C6" s="98"/>
      <c r="D6" s="111"/>
      <c r="E6" s="97"/>
    </row>
    <row r="7" spans="1:5" ht="15.5" x14ac:dyDescent="0.35">
      <c r="A7" s="100" t="s">
        <v>7</v>
      </c>
      <c r="B7" s="101" t="s">
        <v>8</v>
      </c>
      <c r="C7" s="102" t="s">
        <v>9</v>
      </c>
      <c r="D7" s="102" t="s">
        <v>14</v>
      </c>
      <c r="E7" s="103" t="s">
        <v>10</v>
      </c>
    </row>
    <row r="8" spans="1:5" x14ac:dyDescent="0.35">
      <c r="A8" s="118">
        <v>1</v>
      </c>
      <c r="B8" s="114" t="s">
        <v>114</v>
      </c>
      <c r="C8" s="109" t="s">
        <v>125</v>
      </c>
      <c r="D8" s="128"/>
      <c r="E8" s="125" t="s">
        <v>11</v>
      </c>
    </row>
    <row r="9" spans="1:5" x14ac:dyDescent="0.35">
      <c r="A9" s="118">
        <v>2</v>
      </c>
      <c r="B9" s="114" t="s">
        <v>12</v>
      </c>
      <c r="C9" s="109" t="e">
        <f>VLOOKUP(Table257519913140106110151155170178204239[[#This Row],[PEG]],Table1016[#All],2,FALSE)</f>
        <v>#N/A</v>
      </c>
      <c r="D9" s="128"/>
      <c r="E9" s="125" t="e">
        <f>VLOOKUP(Table257519913140106110151155170178204239[[#This Row],[PEG]],Table1016[#All],3,FALSE)</f>
        <v>#N/A</v>
      </c>
    </row>
    <row r="10" spans="1:5" x14ac:dyDescent="0.35">
      <c r="A10" s="118">
        <v>3</v>
      </c>
      <c r="B10" s="114" t="s">
        <v>115</v>
      </c>
      <c r="C10" s="109" t="e">
        <f>VLOOKUP(Table257519913140106110151155170178204239[[#This Row],[PEG]],Table1016[#All],2,FALSE)</f>
        <v>#N/A</v>
      </c>
      <c r="D10" s="128"/>
      <c r="E10" s="125" t="e">
        <f>VLOOKUP(Table257519913140106110151155170178204239[[#This Row],[PEG]],Table1016[#All],3,FALSE)</f>
        <v>#N/A</v>
      </c>
    </row>
    <row r="11" spans="1:5" x14ac:dyDescent="0.35">
      <c r="A11" s="118">
        <v>4</v>
      </c>
      <c r="B11" s="114" t="s">
        <v>115</v>
      </c>
      <c r="C11" s="109" t="e">
        <f>VLOOKUP(Table257519913140106110151155170178204239[[#This Row],[PEG]],Table1016[#All],2,FALSE)</f>
        <v>#N/A</v>
      </c>
      <c r="D11" s="128"/>
      <c r="E11" s="125" t="e">
        <f>VLOOKUP(Table257519913140106110151155170178204239[[#This Row],[PEG]],Table1016[#All],3,FALSE)</f>
        <v>#N/A</v>
      </c>
    </row>
    <row r="12" spans="1:5" x14ac:dyDescent="0.35">
      <c r="A12" s="118">
        <v>5</v>
      </c>
      <c r="B12" s="114" t="s">
        <v>114</v>
      </c>
      <c r="C12" s="109" t="e">
        <f>VLOOKUP(Table257519913140106110151155170178204239[[#This Row],[PEG]],Table1016[#All],2,FALSE)</f>
        <v>#N/A</v>
      </c>
      <c r="D12" s="128"/>
      <c r="E12" s="125" t="e">
        <f>VLOOKUP(Table257519913140106110151155170178204239[[#This Row],[PEG]],Table1016[#All],3,FALSE)</f>
        <v>#N/A</v>
      </c>
    </row>
    <row r="13" spans="1:5" x14ac:dyDescent="0.35">
      <c r="A13" s="118">
        <v>6</v>
      </c>
      <c r="B13" s="114" t="s">
        <v>115</v>
      </c>
      <c r="C13" s="109" t="e">
        <f>VLOOKUP(Table257519913140106110151155170178204239[[#This Row],[PEG]],Table1016[#All],2,FALSE)</f>
        <v>#N/A</v>
      </c>
      <c r="D13" s="128"/>
      <c r="E13" s="125" t="e">
        <f>VLOOKUP(Table257519913140106110151155170178204239[[#This Row],[PEG]],Table1016[#All],3,FALSE)</f>
        <v>#N/A</v>
      </c>
    </row>
    <row r="14" spans="1:5" x14ac:dyDescent="0.35">
      <c r="A14" s="118">
        <v>7</v>
      </c>
      <c r="B14" s="114" t="s">
        <v>114</v>
      </c>
      <c r="C14" s="109" t="e">
        <f>VLOOKUP(Table257519913140106110151155170178204239[[#This Row],[PEG]],Table1016[#All],2,FALSE)</f>
        <v>#N/A</v>
      </c>
      <c r="D14" s="128"/>
      <c r="E14" s="125" t="e">
        <f>VLOOKUP(Table257519913140106110151155170178204239[[#This Row],[PEG]],Table1016[#All],3,FALSE)</f>
        <v>#N/A</v>
      </c>
    </row>
    <row r="15" spans="1:5" x14ac:dyDescent="0.35">
      <c r="A15" s="118">
        <v>8</v>
      </c>
      <c r="B15" s="114" t="s">
        <v>115</v>
      </c>
      <c r="C15" s="109" t="e">
        <f>VLOOKUP(Table257519913140106110151155170178204239[[#This Row],[PEG]],Table1016[#All],2,FALSE)</f>
        <v>#N/A</v>
      </c>
      <c r="D15" s="116"/>
      <c r="E15" s="125" t="e">
        <f>VLOOKUP(Table257519913140106110151155170178204239[[#This Row],[PEG]],Table1016[#All],3,FALSE)</f>
        <v>#N/A</v>
      </c>
    </row>
    <row r="16" spans="1:5" x14ac:dyDescent="0.35">
      <c r="A16" s="118">
        <v>9</v>
      </c>
      <c r="B16" s="114" t="s">
        <v>12</v>
      </c>
      <c r="C16" s="109" t="e">
        <f>VLOOKUP(Table257519913140106110151155170178204239[[#This Row],[PEG]],Table1016[#All],2,FALSE)</f>
        <v>#N/A</v>
      </c>
      <c r="D16" s="116"/>
      <c r="E16" s="125" t="e">
        <f>VLOOKUP(Table257519913140106110151155170178204239[[#This Row],[PEG]],Table1016[#All],3,FALSE)</f>
        <v>#N/A</v>
      </c>
    </row>
    <row r="17" spans="1:5" x14ac:dyDescent="0.35">
      <c r="A17" s="118">
        <v>10</v>
      </c>
      <c r="B17" s="114" t="s">
        <v>12</v>
      </c>
      <c r="C17" s="109" t="e">
        <f>VLOOKUP(Table257519913140106110151155170178204239[[#This Row],[PEG]],Table1016[#All],2,FALSE)</f>
        <v>#N/A</v>
      </c>
      <c r="D17" s="117"/>
      <c r="E17" s="125" t="e">
        <f>VLOOKUP(Table257519913140106110151155170178204239[[#This Row],[PEG]],Table1016[#All],3,FALSE)</f>
        <v>#N/A</v>
      </c>
    </row>
    <row r="18" spans="1:5" x14ac:dyDescent="0.35">
      <c r="A18" s="118">
        <v>11</v>
      </c>
      <c r="B18" s="114" t="s">
        <v>115</v>
      </c>
      <c r="C18" s="109" t="e">
        <f>VLOOKUP(Table257519913140106110151155170178204239[[#This Row],[PEG]],Table1016[#All],2,FALSE)</f>
        <v>#N/A</v>
      </c>
      <c r="D18" s="117"/>
      <c r="E18" s="125" t="e">
        <f>VLOOKUP(Table257519913140106110151155170178204239[[#This Row],[PEG]],Table1016[#All],3,FALSE)</f>
        <v>#N/A</v>
      </c>
    </row>
    <row r="19" spans="1:5" x14ac:dyDescent="0.35">
      <c r="A19" s="118">
        <v>12</v>
      </c>
      <c r="B19" s="114" t="s">
        <v>115</v>
      </c>
      <c r="C19" s="109" t="e">
        <f>VLOOKUP(Table257519913140106110151155170178204239[[#This Row],[PEG]],Table1016[#All],2,FALSE)</f>
        <v>#N/A</v>
      </c>
      <c r="D19" s="117"/>
      <c r="E19" s="125" t="e">
        <f>VLOOKUP(Table257519913140106110151155170178204239[[#This Row],[PEG]],Table1016[#All],3,FALSE)</f>
        <v>#N/A</v>
      </c>
    </row>
    <row r="20" spans="1:5" x14ac:dyDescent="0.35">
      <c r="A20" s="118">
        <v>13</v>
      </c>
      <c r="B20" s="114" t="s">
        <v>114</v>
      </c>
      <c r="C20" s="109" t="e">
        <f>VLOOKUP(Table257519913140106110151155170178204239[[#This Row],[PEG]],Table1016[#All],2,FALSE)</f>
        <v>#N/A</v>
      </c>
      <c r="D20" s="117"/>
      <c r="E20" s="125" t="e">
        <f>VLOOKUP(Table257519913140106110151155170178204239[[#This Row],[PEG]],Table1016[#All],3,FALSE)</f>
        <v>#N/A</v>
      </c>
    </row>
    <row r="21" spans="1:5" x14ac:dyDescent="0.35">
      <c r="A21" s="118">
        <v>14</v>
      </c>
      <c r="B21" s="114" t="s">
        <v>12</v>
      </c>
      <c r="C21" s="109" t="e">
        <f>VLOOKUP(Table257519913140106110151155170178204239[[#This Row],[PEG]],Table1016[#All],2,FALSE)</f>
        <v>#N/A</v>
      </c>
      <c r="D21" s="117"/>
      <c r="E21" s="125" t="e">
        <f>VLOOKUP(Table257519913140106110151155170178204239[[#This Row],[PEG]],Table1016[#All],3,FALSE)</f>
        <v>#N/A</v>
      </c>
    </row>
    <row r="22" spans="1:5" x14ac:dyDescent="0.35">
      <c r="A22" s="118">
        <v>15</v>
      </c>
      <c r="B22" s="114" t="s">
        <v>12</v>
      </c>
      <c r="C22" s="109" t="e">
        <f>VLOOKUP(Table257519913140106110151155170178204239[[#This Row],[PEG]],Table1016[#All],2,FALSE)</f>
        <v>#N/A</v>
      </c>
      <c r="D22" s="117"/>
      <c r="E22" s="125" t="e">
        <f>VLOOKUP(Table257519913140106110151155170178204239[[#This Row],[PEG]],Table1016[#All],3,FALSE)</f>
        <v>#N/A</v>
      </c>
    </row>
    <row r="23" spans="1:5" x14ac:dyDescent="0.35">
      <c r="A23" s="118">
        <v>16</v>
      </c>
      <c r="B23" s="114" t="s">
        <v>115</v>
      </c>
      <c r="C23" s="109" t="e">
        <f>VLOOKUP(Table257519913140106110151155170178204239[[#This Row],[PEG]],Table1016[#All],2,FALSE)</f>
        <v>#N/A</v>
      </c>
      <c r="D23" s="117"/>
      <c r="E23" s="125" t="e">
        <f>VLOOKUP(Table257519913140106110151155170178204239[[#This Row],[PEG]],Table1016[#All],3,FALSE)</f>
        <v>#N/A</v>
      </c>
    </row>
    <row r="24" spans="1:5" x14ac:dyDescent="0.35">
      <c r="A24" s="118">
        <v>17</v>
      </c>
      <c r="B24" s="114" t="s">
        <v>114</v>
      </c>
      <c r="C24" s="109" t="e">
        <f>VLOOKUP(Table257519913140106110151155170178204239[[#This Row],[PEG]],Table1016[#All],2,FALSE)</f>
        <v>#N/A</v>
      </c>
      <c r="D24" s="117"/>
      <c r="E24" s="125" t="e">
        <f>VLOOKUP(Table257519913140106110151155170178204239[[#This Row],[PEG]],Table1016[#All],3,FALSE)</f>
        <v>#N/A</v>
      </c>
    </row>
    <row r="25" spans="1:5" x14ac:dyDescent="0.35">
      <c r="A25" s="118">
        <v>18</v>
      </c>
      <c r="B25" s="114" t="s">
        <v>12</v>
      </c>
      <c r="C25" s="109" t="e">
        <f>VLOOKUP(Table257519913140106110151155170178204239[[#This Row],[PEG]],Table1016[#All],2,FALSE)</f>
        <v>#N/A</v>
      </c>
      <c r="D25" s="117"/>
      <c r="E25" s="125" t="e">
        <f>VLOOKUP(Table257519913140106110151155170178204239[[#This Row],[PEG]],Table1016[#All],3,FALSE)</f>
        <v>#N/A</v>
      </c>
    </row>
    <row r="26" spans="1:5" x14ac:dyDescent="0.35">
      <c r="A26" s="118">
        <v>19</v>
      </c>
      <c r="B26" s="114" t="s">
        <v>12</v>
      </c>
      <c r="C26" s="109" t="e">
        <f>VLOOKUP(Table257519913140106110151155170178204239[[#This Row],[PEG]],Table1016[#All],2,FALSE)</f>
        <v>#N/A</v>
      </c>
      <c r="D26" s="117"/>
      <c r="E26" s="125" t="e">
        <f>VLOOKUP(Table257519913140106110151155170178204239[[#This Row],[PEG]],Table1016[#All],3,FALSE)</f>
        <v>#N/A</v>
      </c>
    </row>
    <row r="27" spans="1:5" x14ac:dyDescent="0.35">
      <c r="A27" s="118">
        <v>20</v>
      </c>
      <c r="B27" s="114" t="s">
        <v>115</v>
      </c>
      <c r="C27" s="109" t="e">
        <f>VLOOKUP(Table257519913140106110151155170178204239[[#This Row],[PEG]],Table1016[#All],2,FALSE)</f>
        <v>#N/A</v>
      </c>
      <c r="D27" s="117"/>
      <c r="E27" s="125" t="e">
        <f>VLOOKUP(Table257519913140106110151155170178204239[[#This Row],[PEG]],Table1016[#All],3,FALSE)</f>
        <v>#N/A</v>
      </c>
    </row>
    <row r="28" spans="1:5" x14ac:dyDescent="0.35">
      <c r="A28" s="118">
        <v>21</v>
      </c>
      <c r="B28" s="114" t="s">
        <v>114</v>
      </c>
      <c r="C28" s="109" t="e">
        <f>VLOOKUP(Table257519913140106110151155170178204239[[#This Row],[PEG]],Table1016[#All],2,FALSE)</f>
        <v>#N/A</v>
      </c>
      <c r="D28" s="117"/>
      <c r="E28" s="125" t="e">
        <f>VLOOKUP(Table257519913140106110151155170178204239[[#This Row],[PEG]],Table1016[#All],3,FALSE)</f>
        <v>#N/A</v>
      </c>
    </row>
    <row r="29" spans="1:5" x14ac:dyDescent="0.35">
      <c r="A29" s="118">
        <v>22</v>
      </c>
      <c r="B29" s="114" t="s">
        <v>12</v>
      </c>
      <c r="C29" s="109" t="e">
        <f>VLOOKUP(Table257519913140106110151155170178204239[[#This Row],[PEG]],Table1016[#All],2,FALSE)</f>
        <v>#N/A</v>
      </c>
      <c r="D29" s="117"/>
      <c r="E29" s="125" t="e">
        <f>VLOOKUP(Table257519913140106110151155170178204239[[#This Row],[PEG]],Table1016[#All],3,FALSE)</f>
        <v>#N/A</v>
      </c>
    </row>
    <row r="30" spans="1:5" x14ac:dyDescent="0.35">
      <c r="A30" s="118">
        <v>23</v>
      </c>
      <c r="B30" s="114" t="s">
        <v>12</v>
      </c>
      <c r="C30" s="109" t="e">
        <f>VLOOKUP(Table257519913140106110151155170178204239[[#This Row],[PEG]],Table1016[#All],2,FALSE)</f>
        <v>#N/A</v>
      </c>
      <c r="D30" s="117"/>
      <c r="E30" s="125" t="e">
        <f>VLOOKUP(Table257519913140106110151155170178204239[[#This Row],[PEG]],Table1016[#All],3,FALSE)</f>
        <v>#N/A</v>
      </c>
    </row>
    <row r="31" spans="1:5" x14ac:dyDescent="0.35">
      <c r="A31" s="118">
        <v>24</v>
      </c>
      <c r="B31" s="114" t="s">
        <v>115</v>
      </c>
      <c r="C31" s="109" t="e">
        <f>VLOOKUP(Table257519913140106110151155170178204239[[#This Row],[PEG]],Table1016[#All],2,FALSE)</f>
        <v>#N/A</v>
      </c>
      <c r="D31" s="117"/>
      <c r="E31" s="125" t="e">
        <f>VLOOKUP(Table257519913140106110151155170178204239[[#This Row],[PEG]],Table1016[#All],3,FALSE)</f>
        <v>#N/A</v>
      </c>
    </row>
    <row r="32" spans="1:5" x14ac:dyDescent="0.35">
      <c r="A32" s="118">
        <v>25</v>
      </c>
      <c r="B32" s="114" t="s">
        <v>115</v>
      </c>
      <c r="C32" s="109" t="e">
        <f>VLOOKUP(Table257519913140106110151155170178204239[[#This Row],[PEG]],Table1016[#All],2,FALSE)</f>
        <v>#N/A</v>
      </c>
      <c r="D32" s="117"/>
      <c r="E32" s="125" t="e">
        <f>VLOOKUP(Table257519913140106110151155170178204239[[#This Row],[PEG]],Table1016[#All],3,FALSE)</f>
        <v>#N/A</v>
      </c>
    </row>
    <row r="33" spans="1:5" x14ac:dyDescent="0.35">
      <c r="A33" s="118">
        <v>26</v>
      </c>
      <c r="B33" s="114" t="s">
        <v>124</v>
      </c>
      <c r="C33" s="109" t="e">
        <f>VLOOKUP(Table257519913140106110151155170178204239[[#This Row],[PEG]],Table1016[#All],2,FALSE)</f>
        <v>#N/A</v>
      </c>
      <c r="D33" s="117"/>
      <c r="E33" s="125" t="e">
        <f>VLOOKUP(Table257519913140106110151155170178204239[[#This Row],[PEG]],Table1016[#All],3,FALSE)</f>
        <v>#N/A</v>
      </c>
    </row>
    <row r="34" spans="1:5" x14ac:dyDescent="0.35">
      <c r="A34" s="118">
        <v>27</v>
      </c>
      <c r="B34" s="114" t="s">
        <v>115</v>
      </c>
      <c r="C34" s="109" t="e">
        <f>VLOOKUP(Table257519913140106110151155170178204239[[#This Row],[PEG]],Table1016[#All],2,FALSE)</f>
        <v>#N/A</v>
      </c>
      <c r="D34" s="117"/>
      <c r="E34" s="125" t="e">
        <f>VLOOKUP(Table257519913140106110151155170178204239[[#This Row],[PEG]],Table1016[#All],3,FALSE)</f>
        <v>#N/A</v>
      </c>
    </row>
    <row r="35" spans="1:5" x14ac:dyDescent="0.35">
      <c r="A35" s="118">
        <v>28</v>
      </c>
      <c r="B35" s="114" t="s">
        <v>124</v>
      </c>
      <c r="C35" s="109" t="e">
        <f>VLOOKUP(Table257519913140106110151155170178204239[[#This Row],[PEG]],Table1016[#All],2,FALSE)</f>
        <v>#N/A</v>
      </c>
      <c r="D35" s="117"/>
      <c r="E35" s="125" t="e">
        <f>VLOOKUP(Table257519913140106110151155170178204239[[#This Row],[PEG]],Table1016[#All],3,FALSE)</f>
        <v>#N/A</v>
      </c>
    </row>
    <row r="36" spans="1:5" x14ac:dyDescent="0.35">
      <c r="A36" s="118">
        <v>29</v>
      </c>
      <c r="B36" s="114" t="s">
        <v>115</v>
      </c>
      <c r="C36" s="109" t="e">
        <f>VLOOKUP(Table257519913140106110151155170178204239[[#This Row],[PEG]],Table1016[#All],2,FALSE)</f>
        <v>#N/A</v>
      </c>
      <c r="D36" s="117"/>
      <c r="E36" s="125" t="e">
        <f>VLOOKUP(Table257519913140106110151155170178204239[[#This Row],[PEG]],Table1016[#All],3,FALSE)</f>
        <v>#N/A</v>
      </c>
    </row>
    <row r="37" spans="1:5" x14ac:dyDescent="0.35">
      <c r="A37" s="118">
        <v>30</v>
      </c>
      <c r="B37" s="114" t="s">
        <v>12</v>
      </c>
      <c r="C37" s="109" t="e">
        <f>VLOOKUP(Table257519913140106110151155170178204239[[#This Row],[PEG]],Table1016[#All],2,FALSE)</f>
        <v>#N/A</v>
      </c>
      <c r="D37" s="117"/>
      <c r="E37" s="125" t="e">
        <f>VLOOKUP(Table257519913140106110151155170178204239[[#This Row],[PEG]],Table1016[#All],3,FALSE)</f>
        <v>#N/A</v>
      </c>
    </row>
    <row r="38" spans="1:5" x14ac:dyDescent="0.35">
      <c r="A38" s="118">
        <v>31</v>
      </c>
      <c r="B38" s="114" t="s">
        <v>12</v>
      </c>
      <c r="C38" s="109" t="e">
        <f>VLOOKUP(Table257519913140106110151155170178204239[[#This Row],[PEG]],Table1016[#All],2,FALSE)</f>
        <v>#N/A</v>
      </c>
      <c r="D38" s="117"/>
      <c r="E38" s="125" t="e">
        <f>VLOOKUP(Table257519913140106110151155170178204239[[#This Row],[PEG]],Table1016[#All],3,FALSE)</f>
        <v>#N/A</v>
      </c>
    </row>
    <row r="39" spans="1:5" x14ac:dyDescent="0.35">
      <c r="A39" s="118">
        <v>32</v>
      </c>
      <c r="B39" s="114" t="s">
        <v>12</v>
      </c>
      <c r="C39" s="109" t="e">
        <f>VLOOKUP(Table257519913140106110151155170178204239[[#This Row],[PEG]],Table1016[#All],2,FALSE)</f>
        <v>#N/A</v>
      </c>
      <c r="D39" s="117"/>
      <c r="E39" s="125" t="e">
        <f>VLOOKUP(Table257519913140106110151155170178204239[[#This Row],[PEG]],Table1016[#All],3,FALSE)</f>
        <v>#N/A</v>
      </c>
    </row>
    <row r="40" spans="1:5" x14ac:dyDescent="0.35">
      <c r="A40" s="118">
        <v>33</v>
      </c>
      <c r="B40" s="114" t="s">
        <v>12</v>
      </c>
      <c r="C40" s="109" t="e">
        <f>VLOOKUP(Table257519913140106110151155170178204239[[#This Row],[PEG]],Table1016[#All],2,FALSE)</f>
        <v>#N/A</v>
      </c>
      <c r="D40" s="117"/>
      <c r="E40" s="125" t="e">
        <f>VLOOKUP(Table257519913140106110151155170178204239[[#This Row],[PEG]],Table1016[#All],3,FALSE)</f>
        <v>#N/A</v>
      </c>
    </row>
    <row r="41" spans="1:5" x14ac:dyDescent="0.35">
      <c r="A41" s="118">
        <v>34</v>
      </c>
      <c r="B41" s="114" t="s">
        <v>115</v>
      </c>
      <c r="C41" s="109" t="e">
        <f>VLOOKUP(Table257519913140106110151155170178204239[[#This Row],[PEG]],Table1016[#All],2,FALSE)</f>
        <v>#N/A</v>
      </c>
      <c r="D41" s="117"/>
      <c r="E41" s="125" t="e">
        <f>VLOOKUP(Table257519913140106110151155170178204239[[#This Row],[PEG]],Table1016[#All],3,FALSE)</f>
        <v>#N/A</v>
      </c>
    </row>
    <row r="42" spans="1:5" x14ac:dyDescent="0.35">
      <c r="A42" s="118">
        <v>35</v>
      </c>
      <c r="B42" s="114" t="s">
        <v>12</v>
      </c>
      <c r="C42" s="109" t="e">
        <f>VLOOKUP(Table257519913140106110151155170178204239[[#This Row],[PEG]],Table1016[#All],2,FALSE)</f>
        <v>#N/A</v>
      </c>
      <c r="D42" s="115"/>
      <c r="E42" s="125" t="e">
        <f>VLOOKUP(Table257519913140106110151155170178204239[[#This Row],[PEG]],Table1016[#All],3,FALSE)</f>
        <v>#N/A</v>
      </c>
    </row>
    <row r="43" spans="1:5" x14ac:dyDescent="0.35">
      <c r="A43" s="118">
        <v>36</v>
      </c>
      <c r="B43" s="114" t="s">
        <v>115</v>
      </c>
      <c r="C43" s="109" t="e">
        <f>VLOOKUP(Table257519913140106110151155170178204239[[#This Row],[PEG]],Table1016[#All],2,FALSE)</f>
        <v>#N/A</v>
      </c>
      <c r="D43" s="115"/>
      <c r="E43" s="125" t="e">
        <f>VLOOKUP(Table257519913140106110151155170178204239[[#This Row],[PEG]],Table1016[#All],3,FALSE)</f>
        <v>#N/A</v>
      </c>
    </row>
    <row r="44" spans="1:5" x14ac:dyDescent="0.35">
      <c r="A44" s="118">
        <v>37</v>
      </c>
      <c r="B44" s="114" t="s">
        <v>13</v>
      </c>
      <c r="C44" s="18" t="s">
        <v>13</v>
      </c>
      <c r="D44" s="115"/>
      <c r="E44" s="32"/>
    </row>
  </sheetData>
  <mergeCells count="1">
    <mergeCell ref="A1:B1"/>
  </mergeCells>
  <conditionalFormatting sqref="B8:B18">
    <cfRule type="containsText" dxfId="621" priority="1" operator="containsText" text="Hear">
      <formula>NOT(ISERROR(SEARCH("Hear",B8)))</formula>
    </cfRule>
  </conditionalFormatting>
  <conditionalFormatting sqref="B30">
    <cfRule type="containsText" dxfId="620" priority="4" operator="containsText" text="Hear">
      <formula>NOT(ISERROR(SEARCH("Hear",B30)))</formula>
    </cfRule>
  </conditionalFormatting>
  <conditionalFormatting sqref="B43:B44">
    <cfRule type="containsText" dxfId="619" priority="8" operator="containsText" text="Hear">
      <formula>NOT(ISERROR(SEARCH("Hear",B43)))</formula>
    </cfRule>
  </conditionalFormatting>
  <conditionalFormatting sqref="E44">
    <cfRule type="containsText" dxfId="618" priority="6" operator="containsText" text="WEB SERVICE">
      <formula>NOT(ISERROR(SEARCH("WEB SERVICE",E44)))</formula>
    </cfRule>
    <cfRule type="containsText" dxfId="617" priority="7" operator="containsText" text="DB">
      <formula>NOT(ISERROR(SEARCH("DB",E44)))</formula>
    </cfRule>
  </conditionalFormatting>
  <conditionalFormatting sqref="C44">
    <cfRule type="expression" dxfId="616" priority="9">
      <formula>$B44="Dial"</formula>
    </cfRule>
  </conditionalFormatting>
  <conditionalFormatting sqref="C44">
    <cfRule type="expression" dxfId="615" priority="3">
      <formula>$B44="Speak"</formula>
    </cfRule>
  </conditionalFormatting>
  <conditionalFormatting sqref="B19:B29 B31:B35 B42">
    <cfRule type="containsText" dxfId="614" priority="5" operator="containsText" text="Hear">
      <formula>NOT(ISERROR(SEARCH("Hear",B19)))</formula>
    </cfRule>
  </conditionalFormatting>
  <hyperlinks>
    <hyperlink ref="A1" location="'Test Case Overview'!A1" display="Return to Test Case Overview" xr:uid="{F6D22747-82F4-4E79-A7BE-4BCD9FA2ADB5}"/>
  </hyperlinks>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expression" priority="2" id="{22BF3EAB-503B-494F-BB9F-124C8E6B95F4}">
            <xm:f>'TC1'!$B8="HANGUP"</xm:f>
            <x14:dxf>
              <font>
                <b/>
                <i val="0"/>
              </font>
            </x14:dxf>
          </x14:cfRule>
          <xm:sqref>C8</xm:sqref>
        </x14:conditionalFormatting>
        <x14:conditionalFormatting xmlns:xm="http://schemas.microsoft.com/office/excel/2006/main">
          <x14:cfRule type="expression" priority="3306" id="{22BF3EAB-503B-494F-BB9F-124C8E6B95F4}">
            <xm:f>'TC1'!$B16="HANGUP"</xm:f>
            <x14:dxf>
              <font>
                <b/>
                <i val="0"/>
              </font>
            </x14:dxf>
          </x14:cfRule>
          <xm:sqref>C34:C43</xm:sqref>
        </x14:conditionalFormatting>
        <x14:conditionalFormatting xmlns:xm="http://schemas.microsoft.com/office/excel/2006/main">
          <x14:cfRule type="expression" priority="3307" id="{22BF3EAB-503B-494F-BB9F-124C8E6B95F4}">
            <xm:f>'TC1'!#REF!="HANGUP"</xm:f>
            <x14:dxf>
              <font>
                <b/>
                <i val="0"/>
              </font>
            </x14:dxf>
          </x14:cfRule>
          <xm:sqref>C17:C33</xm:sqref>
        </x14:conditionalFormatting>
        <x14:conditionalFormatting xmlns:xm="http://schemas.microsoft.com/office/excel/2006/main">
          <x14:cfRule type="expression" priority="5920" id="{22BF3EAB-503B-494F-BB9F-124C8E6B95F4}">
            <xm:f>'TC1'!$B9="HANGUP"</xm:f>
            <x14:dxf>
              <font>
                <b/>
                <i val="0"/>
              </font>
            </x14:dxf>
          </x14:cfRule>
          <xm:sqref>C12:C15</xm:sqref>
        </x14:conditionalFormatting>
        <x14:conditionalFormatting xmlns:xm="http://schemas.microsoft.com/office/excel/2006/main">
          <x14:cfRule type="expression" priority="5921" id="{22BF3EAB-503B-494F-BB9F-124C8E6B95F4}">
            <xm:f>'TC1'!#REF!="HANGUP"</xm:f>
            <x14:dxf>
              <font>
                <b/>
                <i val="0"/>
              </font>
            </x14:dxf>
          </x14:cfRule>
          <xm:sqref>C9:C11</xm:sqref>
        </x14:conditionalFormatting>
        <x14:conditionalFormatting xmlns:xm="http://schemas.microsoft.com/office/excel/2006/main">
          <x14:cfRule type="expression" priority="8103" id="{22BF3EAB-503B-494F-BB9F-124C8E6B95F4}">
            <xm:f>'TC1'!$B15="HANGUP"</xm:f>
            <x14:dxf>
              <font>
                <b/>
                <i val="0"/>
              </font>
            </x14:dxf>
          </x14:cfRule>
          <xm:sqref>C16</xm:sqref>
        </x14:conditionalFormatting>
      </x14:conditionalFormattings>
    </ext>
  </extLst>
</worksheet>
</file>

<file path=xl/worksheets/sheet1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600-000000000000}">
  <sheetPr codeName="Sheet168"/>
  <dimension ref="A1:E44"/>
  <sheetViews>
    <sheetView zoomScaleNormal="100" workbookViewId="0">
      <selection sqref="A1:E44"/>
    </sheetView>
  </sheetViews>
  <sheetFormatPr defaultRowHeight="14.5" x14ac:dyDescent="0.35"/>
  <cols>
    <col min="1" max="1" width="14.453125" bestFit="1" customWidth="1"/>
    <col min="2" max="2" width="42.6328125" customWidth="1"/>
    <col min="3" max="3" width="106.1796875" customWidth="1"/>
    <col min="4" max="4" width="21.81640625" bestFit="1" customWidth="1"/>
    <col min="5" max="5" width="20.6328125" customWidth="1"/>
  </cols>
  <sheetData>
    <row r="1" spans="1:5" ht="18.5" x14ac:dyDescent="0.35">
      <c r="A1" s="192" t="s">
        <v>4</v>
      </c>
      <c r="B1" s="192"/>
      <c r="C1" s="105"/>
      <c r="D1" s="111"/>
      <c r="E1" s="97"/>
    </row>
    <row r="2" spans="1:5" x14ac:dyDescent="0.35">
      <c r="A2" s="106" t="s">
        <v>5</v>
      </c>
      <c r="B2" s="107" t="str">
        <f ca="1">MID(CELL("filename",A1),FIND("]",CELL("filename",A1))+1,LEN(CELL("filename",A1))-FIND("]",CELL("filename",A1)))</f>
        <v>TC166</v>
      </c>
      <c r="C2" s="98"/>
      <c r="D2" s="111"/>
      <c r="E2" s="97"/>
    </row>
    <row r="3" spans="1:5" x14ac:dyDescent="0.35">
      <c r="A3" s="104" t="s">
        <v>19</v>
      </c>
      <c r="B3" s="112" t="e">
        <f ca="1">VLOOKUP(B2,Table53[#All],2,FALSE)</f>
        <v>#N/A</v>
      </c>
      <c r="C3" s="98"/>
      <c r="D3" s="111"/>
      <c r="E3" s="97"/>
    </row>
    <row r="4" spans="1:5" ht="29" x14ac:dyDescent="0.35">
      <c r="A4" s="113" t="s">
        <v>20</v>
      </c>
      <c r="B4" s="99" t="e">
        <f ca="1">VLOOKUP(B2,Table53[#All],4,FALSE)</f>
        <v>#N/A</v>
      </c>
      <c r="C4" s="98"/>
      <c r="D4" s="111"/>
      <c r="E4" s="97"/>
    </row>
    <row r="5" spans="1:5" x14ac:dyDescent="0.35">
      <c r="A5" s="104" t="s">
        <v>6</v>
      </c>
      <c r="B5" s="77" t="e">
        <f ca="1">VLOOKUP(B2,Table53[#All],3,FALSE)</f>
        <v>#N/A</v>
      </c>
      <c r="C5" s="98"/>
      <c r="D5" s="111"/>
      <c r="E5" s="97"/>
    </row>
    <row r="6" spans="1:5" x14ac:dyDescent="0.35">
      <c r="A6" s="97"/>
      <c r="B6" s="97"/>
      <c r="C6" s="98"/>
      <c r="D6" s="111"/>
      <c r="E6" s="97"/>
    </row>
    <row r="7" spans="1:5" ht="15.5" x14ac:dyDescent="0.35">
      <c r="A7" s="100" t="s">
        <v>7</v>
      </c>
      <c r="B7" s="101" t="s">
        <v>8</v>
      </c>
      <c r="C7" s="102" t="s">
        <v>9</v>
      </c>
      <c r="D7" s="102" t="s">
        <v>14</v>
      </c>
      <c r="E7" s="103" t="s">
        <v>10</v>
      </c>
    </row>
    <row r="8" spans="1:5" x14ac:dyDescent="0.35">
      <c r="A8" s="118">
        <v>1</v>
      </c>
      <c r="B8" s="114" t="s">
        <v>114</v>
      </c>
      <c r="C8" s="109" t="s">
        <v>125</v>
      </c>
      <c r="D8" s="128"/>
      <c r="E8" s="125" t="s">
        <v>11</v>
      </c>
    </row>
    <row r="9" spans="1:5" x14ac:dyDescent="0.35">
      <c r="A9" s="118">
        <v>2</v>
      </c>
      <c r="B9" s="114" t="s">
        <v>12</v>
      </c>
      <c r="C9" s="109" t="e">
        <f>VLOOKUP(Table257519913140106110151155170178204241[[#This Row],[PEG]],Table1016[#All],2,FALSE)</f>
        <v>#N/A</v>
      </c>
      <c r="D9" s="128"/>
      <c r="E9" s="125" t="e">
        <f>VLOOKUP(Table257519913140106110151155170178204241[[#This Row],[PEG]],Table1016[#All],3,FALSE)</f>
        <v>#N/A</v>
      </c>
    </row>
    <row r="10" spans="1:5" x14ac:dyDescent="0.35">
      <c r="A10" s="118">
        <v>3</v>
      </c>
      <c r="B10" s="114" t="s">
        <v>115</v>
      </c>
      <c r="C10" s="109" t="e">
        <f>VLOOKUP(Table257519913140106110151155170178204241[[#This Row],[PEG]],Table1016[#All],2,FALSE)</f>
        <v>#N/A</v>
      </c>
      <c r="D10" s="128"/>
      <c r="E10" s="125" t="e">
        <f>VLOOKUP(Table257519913140106110151155170178204241[[#This Row],[PEG]],Table1016[#All],3,FALSE)</f>
        <v>#N/A</v>
      </c>
    </row>
    <row r="11" spans="1:5" x14ac:dyDescent="0.35">
      <c r="A11" s="118">
        <v>4</v>
      </c>
      <c r="B11" s="114" t="s">
        <v>115</v>
      </c>
      <c r="C11" s="109" t="e">
        <f>VLOOKUP(Table257519913140106110151155170178204241[[#This Row],[PEG]],Table1016[#All],2,FALSE)</f>
        <v>#N/A</v>
      </c>
      <c r="D11" s="128"/>
      <c r="E11" s="125" t="e">
        <f>VLOOKUP(Table257519913140106110151155170178204241[[#This Row],[PEG]],Table1016[#All],3,FALSE)</f>
        <v>#N/A</v>
      </c>
    </row>
    <row r="12" spans="1:5" x14ac:dyDescent="0.35">
      <c r="A12" s="118">
        <v>5</v>
      </c>
      <c r="B12" s="114" t="s">
        <v>114</v>
      </c>
      <c r="C12" s="109" t="e">
        <f>VLOOKUP(Table257519913140106110151155170178204241[[#This Row],[PEG]],Table1016[#All],2,FALSE)</f>
        <v>#N/A</v>
      </c>
      <c r="D12" s="128"/>
      <c r="E12" s="125" t="e">
        <f>VLOOKUP(Table257519913140106110151155170178204241[[#This Row],[PEG]],Table1016[#All],3,FALSE)</f>
        <v>#N/A</v>
      </c>
    </row>
    <row r="13" spans="1:5" x14ac:dyDescent="0.35">
      <c r="A13" s="118">
        <v>6</v>
      </c>
      <c r="B13" s="114" t="s">
        <v>115</v>
      </c>
      <c r="C13" s="109" t="e">
        <f>VLOOKUP(Table257519913140106110151155170178204241[[#This Row],[PEG]],Table1016[#All],2,FALSE)</f>
        <v>#N/A</v>
      </c>
      <c r="D13" s="128"/>
      <c r="E13" s="125" t="e">
        <f>VLOOKUP(Table257519913140106110151155170178204241[[#This Row],[PEG]],Table1016[#All],3,FALSE)</f>
        <v>#N/A</v>
      </c>
    </row>
    <row r="14" spans="1:5" x14ac:dyDescent="0.35">
      <c r="A14" s="118">
        <v>7</v>
      </c>
      <c r="B14" s="114" t="s">
        <v>114</v>
      </c>
      <c r="C14" s="109" t="e">
        <f>VLOOKUP(Table257519913140106110151155170178204241[[#This Row],[PEG]],Table1016[#All],2,FALSE)</f>
        <v>#N/A</v>
      </c>
      <c r="D14" s="128"/>
      <c r="E14" s="125" t="e">
        <f>VLOOKUP(Table257519913140106110151155170178204241[[#This Row],[PEG]],Table1016[#All],3,FALSE)</f>
        <v>#N/A</v>
      </c>
    </row>
    <row r="15" spans="1:5" x14ac:dyDescent="0.35">
      <c r="A15" s="118">
        <v>8</v>
      </c>
      <c r="B15" s="114" t="s">
        <v>115</v>
      </c>
      <c r="C15" s="109" t="e">
        <f>VLOOKUP(Table257519913140106110151155170178204241[[#This Row],[PEG]],Table1016[#All],2,FALSE)</f>
        <v>#N/A</v>
      </c>
      <c r="D15" s="116"/>
      <c r="E15" s="125" t="e">
        <f>VLOOKUP(Table257519913140106110151155170178204241[[#This Row],[PEG]],Table1016[#All],3,FALSE)</f>
        <v>#N/A</v>
      </c>
    </row>
    <row r="16" spans="1:5" x14ac:dyDescent="0.35">
      <c r="A16" s="118">
        <v>9</v>
      </c>
      <c r="B16" s="114" t="s">
        <v>12</v>
      </c>
      <c r="C16" s="109" t="e">
        <f>VLOOKUP(Table257519913140106110151155170178204241[[#This Row],[PEG]],Table1016[#All],2,FALSE)</f>
        <v>#N/A</v>
      </c>
      <c r="D16" s="116"/>
      <c r="E16" s="125" t="e">
        <f>VLOOKUP(Table257519913140106110151155170178204241[[#This Row],[PEG]],Table1016[#All],3,FALSE)</f>
        <v>#N/A</v>
      </c>
    </row>
    <row r="17" spans="1:5" x14ac:dyDescent="0.35">
      <c r="A17" s="118">
        <v>10</v>
      </c>
      <c r="B17" s="114" t="s">
        <v>12</v>
      </c>
      <c r="C17" s="109" t="e">
        <f>VLOOKUP(Table257519913140106110151155170178204241[[#This Row],[PEG]],Table1016[#All],2,FALSE)</f>
        <v>#N/A</v>
      </c>
      <c r="D17" s="117"/>
      <c r="E17" s="125" t="e">
        <f>VLOOKUP(Table257519913140106110151155170178204241[[#This Row],[PEG]],Table1016[#All],3,FALSE)</f>
        <v>#N/A</v>
      </c>
    </row>
    <row r="18" spans="1:5" x14ac:dyDescent="0.35">
      <c r="A18" s="118">
        <v>11</v>
      </c>
      <c r="B18" s="114" t="s">
        <v>115</v>
      </c>
      <c r="C18" s="109" t="e">
        <f>VLOOKUP(Table257519913140106110151155170178204241[[#This Row],[PEG]],Table1016[#All],2,FALSE)</f>
        <v>#N/A</v>
      </c>
      <c r="D18" s="117"/>
      <c r="E18" s="125" t="e">
        <f>VLOOKUP(Table257519913140106110151155170178204241[[#This Row],[PEG]],Table1016[#All],3,FALSE)</f>
        <v>#N/A</v>
      </c>
    </row>
    <row r="19" spans="1:5" x14ac:dyDescent="0.35">
      <c r="A19" s="118">
        <v>12</v>
      </c>
      <c r="B19" s="114" t="s">
        <v>115</v>
      </c>
      <c r="C19" s="109" t="e">
        <f>VLOOKUP(Table257519913140106110151155170178204241[[#This Row],[PEG]],Table1016[#All],2,FALSE)</f>
        <v>#N/A</v>
      </c>
      <c r="D19" s="117"/>
      <c r="E19" s="125" t="e">
        <f>VLOOKUP(Table257519913140106110151155170178204241[[#This Row],[PEG]],Table1016[#All],3,FALSE)</f>
        <v>#N/A</v>
      </c>
    </row>
    <row r="20" spans="1:5" x14ac:dyDescent="0.35">
      <c r="A20" s="118">
        <v>13</v>
      </c>
      <c r="B20" s="114" t="s">
        <v>114</v>
      </c>
      <c r="C20" s="109" t="e">
        <f>VLOOKUP(Table257519913140106110151155170178204241[[#This Row],[PEG]],Table1016[#All],2,FALSE)</f>
        <v>#N/A</v>
      </c>
      <c r="D20" s="117"/>
      <c r="E20" s="125" t="e">
        <f>VLOOKUP(Table257519913140106110151155170178204241[[#This Row],[PEG]],Table1016[#All],3,FALSE)</f>
        <v>#N/A</v>
      </c>
    </row>
    <row r="21" spans="1:5" x14ac:dyDescent="0.35">
      <c r="A21" s="118">
        <v>14</v>
      </c>
      <c r="B21" s="114" t="s">
        <v>12</v>
      </c>
      <c r="C21" s="109" t="e">
        <f>VLOOKUP(Table257519913140106110151155170178204241[[#This Row],[PEG]],Table1016[#All],2,FALSE)</f>
        <v>#N/A</v>
      </c>
      <c r="D21" s="117"/>
      <c r="E21" s="125" t="e">
        <f>VLOOKUP(Table257519913140106110151155170178204241[[#This Row],[PEG]],Table1016[#All],3,FALSE)</f>
        <v>#N/A</v>
      </c>
    </row>
    <row r="22" spans="1:5" x14ac:dyDescent="0.35">
      <c r="A22" s="118">
        <v>15</v>
      </c>
      <c r="B22" s="114" t="s">
        <v>12</v>
      </c>
      <c r="C22" s="109" t="e">
        <f>VLOOKUP(Table257519913140106110151155170178204241[[#This Row],[PEG]],Table1016[#All],2,FALSE)</f>
        <v>#N/A</v>
      </c>
      <c r="D22" s="117"/>
      <c r="E22" s="125" t="e">
        <f>VLOOKUP(Table257519913140106110151155170178204241[[#This Row],[PEG]],Table1016[#All],3,FALSE)</f>
        <v>#N/A</v>
      </c>
    </row>
    <row r="23" spans="1:5" x14ac:dyDescent="0.35">
      <c r="A23" s="118">
        <v>16</v>
      </c>
      <c r="B23" s="114" t="s">
        <v>115</v>
      </c>
      <c r="C23" s="109" t="e">
        <f>VLOOKUP(Table257519913140106110151155170178204241[[#This Row],[PEG]],Table1016[#All],2,FALSE)</f>
        <v>#N/A</v>
      </c>
      <c r="D23" s="117"/>
      <c r="E23" s="125" t="e">
        <f>VLOOKUP(Table257519913140106110151155170178204241[[#This Row],[PEG]],Table1016[#All],3,FALSE)</f>
        <v>#N/A</v>
      </c>
    </row>
    <row r="24" spans="1:5" x14ac:dyDescent="0.35">
      <c r="A24" s="118">
        <v>17</v>
      </c>
      <c r="B24" s="114" t="s">
        <v>114</v>
      </c>
      <c r="C24" s="109" t="e">
        <f>VLOOKUP(Table257519913140106110151155170178204241[[#This Row],[PEG]],Table1016[#All],2,FALSE)</f>
        <v>#N/A</v>
      </c>
      <c r="D24" s="117"/>
      <c r="E24" s="125" t="e">
        <f>VLOOKUP(Table257519913140106110151155170178204241[[#This Row],[PEG]],Table1016[#All],3,FALSE)</f>
        <v>#N/A</v>
      </c>
    </row>
    <row r="25" spans="1:5" x14ac:dyDescent="0.35">
      <c r="A25" s="118">
        <v>18</v>
      </c>
      <c r="B25" s="114" t="s">
        <v>12</v>
      </c>
      <c r="C25" s="109" t="e">
        <f>VLOOKUP(Table257519913140106110151155170178204241[[#This Row],[PEG]],Table1016[#All],2,FALSE)</f>
        <v>#N/A</v>
      </c>
      <c r="D25" s="117"/>
      <c r="E25" s="125" t="e">
        <f>VLOOKUP(Table257519913140106110151155170178204241[[#This Row],[PEG]],Table1016[#All],3,FALSE)</f>
        <v>#N/A</v>
      </c>
    </row>
    <row r="26" spans="1:5" x14ac:dyDescent="0.35">
      <c r="A26" s="118">
        <v>19</v>
      </c>
      <c r="B26" s="114" t="s">
        <v>12</v>
      </c>
      <c r="C26" s="109" t="e">
        <f>VLOOKUP(Table257519913140106110151155170178204241[[#This Row],[PEG]],Table1016[#All],2,FALSE)</f>
        <v>#N/A</v>
      </c>
      <c r="D26" s="117"/>
      <c r="E26" s="125" t="e">
        <f>VLOOKUP(Table257519913140106110151155170178204241[[#This Row],[PEG]],Table1016[#All],3,FALSE)</f>
        <v>#N/A</v>
      </c>
    </row>
    <row r="27" spans="1:5" x14ac:dyDescent="0.35">
      <c r="A27" s="118">
        <v>20</v>
      </c>
      <c r="B27" s="114" t="s">
        <v>115</v>
      </c>
      <c r="C27" s="109" t="e">
        <f>VLOOKUP(Table257519913140106110151155170178204241[[#This Row],[PEG]],Table1016[#All],2,FALSE)</f>
        <v>#N/A</v>
      </c>
      <c r="D27" s="117"/>
      <c r="E27" s="125" t="e">
        <f>VLOOKUP(Table257519913140106110151155170178204241[[#This Row],[PEG]],Table1016[#All],3,FALSE)</f>
        <v>#N/A</v>
      </c>
    </row>
    <row r="28" spans="1:5" x14ac:dyDescent="0.35">
      <c r="A28" s="118">
        <v>21</v>
      </c>
      <c r="B28" s="114" t="s">
        <v>114</v>
      </c>
      <c r="C28" s="109" t="e">
        <f>VLOOKUP(Table257519913140106110151155170178204241[[#This Row],[PEG]],Table1016[#All],2,FALSE)</f>
        <v>#N/A</v>
      </c>
      <c r="D28" s="117"/>
      <c r="E28" s="125" t="e">
        <f>VLOOKUP(Table257519913140106110151155170178204241[[#This Row],[PEG]],Table1016[#All],3,FALSE)</f>
        <v>#N/A</v>
      </c>
    </row>
    <row r="29" spans="1:5" x14ac:dyDescent="0.35">
      <c r="A29" s="118">
        <v>22</v>
      </c>
      <c r="B29" s="114" t="s">
        <v>12</v>
      </c>
      <c r="C29" s="109" t="e">
        <f>VLOOKUP(Table257519913140106110151155170178204241[[#This Row],[PEG]],Table1016[#All],2,FALSE)</f>
        <v>#N/A</v>
      </c>
      <c r="D29" s="117"/>
      <c r="E29" s="125" t="e">
        <f>VLOOKUP(Table257519913140106110151155170178204241[[#This Row],[PEG]],Table1016[#All],3,FALSE)</f>
        <v>#N/A</v>
      </c>
    </row>
    <row r="30" spans="1:5" x14ac:dyDescent="0.35">
      <c r="A30" s="118">
        <v>23</v>
      </c>
      <c r="B30" s="114" t="s">
        <v>12</v>
      </c>
      <c r="C30" s="109" t="e">
        <f>VLOOKUP(Table257519913140106110151155170178204241[[#This Row],[PEG]],Table1016[#All],2,FALSE)</f>
        <v>#N/A</v>
      </c>
      <c r="D30" s="117"/>
      <c r="E30" s="125" t="e">
        <f>VLOOKUP(Table257519913140106110151155170178204241[[#This Row],[PEG]],Table1016[#All],3,FALSE)</f>
        <v>#N/A</v>
      </c>
    </row>
    <row r="31" spans="1:5" x14ac:dyDescent="0.35">
      <c r="A31" s="118">
        <v>24</v>
      </c>
      <c r="B31" s="114" t="s">
        <v>115</v>
      </c>
      <c r="C31" s="109" t="e">
        <f>VLOOKUP(Table257519913140106110151155170178204241[[#This Row],[PEG]],Table1016[#All],2,FALSE)</f>
        <v>#N/A</v>
      </c>
      <c r="D31" s="117"/>
      <c r="E31" s="125" t="e">
        <f>VLOOKUP(Table257519913140106110151155170178204241[[#This Row],[PEG]],Table1016[#All],3,FALSE)</f>
        <v>#N/A</v>
      </c>
    </row>
    <row r="32" spans="1:5" x14ac:dyDescent="0.35">
      <c r="A32" s="118">
        <v>25</v>
      </c>
      <c r="B32" s="114" t="s">
        <v>115</v>
      </c>
      <c r="C32" s="109" t="e">
        <f>VLOOKUP(Table257519913140106110151155170178204241[[#This Row],[PEG]],Table1016[#All],2,FALSE)</f>
        <v>#N/A</v>
      </c>
      <c r="D32" s="117"/>
      <c r="E32" s="125" t="e">
        <f>VLOOKUP(Table257519913140106110151155170178204241[[#This Row],[PEG]],Table1016[#All],3,FALSE)</f>
        <v>#N/A</v>
      </c>
    </row>
    <row r="33" spans="1:5" x14ac:dyDescent="0.35">
      <c r="A33" s="118">
        <v>26</v>
      </c>
      <c r="B33" s="114" t="s">
        <v>124</v>
      </c>
      <c r="C33" s="109" t="e">
        <f>VLOOKUP(Table257519913140106110151155170178204241[[#This Row],[PEG]],Table1016[#All],2,FALSE)</f>
        <v>#N/A</v>
      </c>
      <c r="D33" s="117"/>
      <c r="E33" s="125" t="e">
        <f>VLOOKUP(Table257519913140106110151155170178204241[[#This Row],[PEG]],Table1016[#All],3,FALSE)</f>
        <v>#N/A</v>
      </c>
    </row>
    <row r="34" spans="1:5" x14ac:dyDescent="0.35">
      <c r="A34" s="118">
        <v>27</v>
      </c>
      <c r="B34" s="114" t="s">
        <v>115</v>
      </c>
      <c r="C34" s="109" t="e">
        <f>VLOOKUP(Table257519913140106110151155170178204241[[#This Row],[PEG]],Table1016[#All],2,FALSE)</f>
        <v>#N/A</v>
      </c>
      <c r="D34" s="117"/>
      <c r="E34" s="125" t="e">
        <f>VLOOKUP(Table257519913140106110151155170178204241[[#This Row],[PEG]],Table1016[#All],3,FALSE)</f>
        <v>#N/A</v>
      </c>
    </row>
    <row r="35" spans="1:5" x14ac:dyDescent="0.35">
      <c r="A35" s="118">
        <v>28</v>
      </c>
      <c r="B35" s="114" t="s">
        <v>124</v>
      </c>
      <c r="C35" s="109" t="e">
        <f>VLOOKUP(Table257519913140106110151155170178204241[[#This Row],[PEG]],Table1016[#All],2,FALSE)</f>
        <v>#N/A</v>
      </c>
      <c r="D35" s="117"/>
      <c r="E35" s="125" t="e">
        <f>VLOOKUP(Table257519913140106110151155170178204241[[#This Row],[PEG]],Table1016[#All],3,FALSE)</f>
        <v>#N/A</v>
      </c>
    </row>
    <row r="36" spans="1:5" x14ac:dyDescent="0.35">
      <c r="A36" s="118">
        <v>29</v>
      </c>
      <c r="B36" s="114" t="s">
        <v>115</v>
      </c>
      <c r="C36" s="109" t="e">
        <f>VLOOKUP(Table257519913140106110151155170178204241[[#This Row],[PEG]],Table1016[#All],2,FALSE)</f>
        <v>#N/A</v>
      </c>
      <c r="D36" s="117"/>
      <c r="E36" s="125" t="e">
        <f>VLOOKUP(Table257519913140106110151155170178204241[[#This Row],[PEG]],Table1016[#All],3,FALSE)</f>
        <v>#N/A</v>
      </c>
    </row>
    <row r="37" spans="1:5" x14ac:dyDescent="0.35">
      <c r="A37" s="118">
        <v>30</v>
      </c>
      <c r="B37" s="114" t="s">
        <v>12</v>
      </c>
      <c r="C37" s="109" t="e">
        <f>VLOOKUP(Table257519913140106110151155170178204241[[#This Row],[PEG]],Table1016[#All],2,FALSE)</f>
        <v>#N/A</v>
      </c>
      <c r="D37" s="117"/>
      <c r="E37" s="125" t="e">
        <f>VLOOKUP(Table257519913140106110151155170178204241[[#This Row],[PEG]],Table1016[#All],3,FALSE)</f>
        <v>#N/A</v>
      </c>
    </row>
    <row r="38" spans="1:5" x14ac:dyDescent="0.35">
      <c r="A38" s="118">
        <v>31</v>
      </c>
      <c r="B38" s="114" t="s">
        <v>12</v>
      </c>
      <c r="C38" s="109" t="e">
        <f>VLOOKUP(Table257519913140106110151155170178204241[[#This Row],[PEG]],Table1016[#All],2,FALSE)</f>
        <v>#N/A</v>
      </c>
      <c r="D38" s="117"/>
      <c r="E38" s="125" t="e">
        <f>VLOOKUP(Table257519913140106110151155170178204241[[#This Row],[PEG]],Table1016[#All],3,FALSE)</f>
        <v>#N/A</v>
      </c>
    </row>
    <row r="39" spans="1:5" x14ac:dyDescent="0.35">
      <c r="A39" s="118">
        <v>32</v>
      </c>
      <c r="B39" s="114" t="s">
        <v>12</v>
      </c>
      <c r="C39" s="109" t="e">
        <f>VLOOKUP(Table257519913140106110151155170178204241[[#This Row],[PEG]],Table1016[#All],2,FALSE)</f>
        <v>#N/A</v>
      </c>
      <c r="D39" s="117"/>
      <c r="E39" s="125" t="e">
        <f>VLOOKUP(Table257519913140106110151155170178204241[[#This Row],[PEG]],Table1016[#All],3,FALSE)</f>
        <v>#N/A</v>
      </c>
    </row>
    <row r="40" spans="1:5" x14ac:dyDescent="0.35">
      <c r="A40" s="118">
        <v>33</v>
      </c>
      <c r="B40" s="114" t="s">
        <v>12</v>
      </c>
      <c r="C40" s="109" t="e">
        <f>VLOOKUP(Table257519913140106110151155170178204241[[#This Row],[PEG]],Table1016[#All],2,FALSE)</f>
        <v>#N/A</v>
      </c>
      <c r="D40" s="117"/>
      <c r="E40" s="125" t="e">
        <f>VLOOKUP(Table257519913140106110151155170178204241[[#This Row],[PEG]],Table1016[#All],3,FALSE)</f>
        <v>#N/A</v>
      </c>
    </row>
    <row r="41" spans="1:5" x14ac:dyDescent="0.35">
      <c r="A41" s="118">
        <v>34</v>
      </c>
      <c r="B41" s="114" t="s">
        <v>115</v>
      </c>
      <c r="C41" s="109" t="e">
        <f>VLOOKUP(Table257519913140106110151155170178204241[[#This Row],[PEG]],Table1016[#All],2,FALSE)</f>
        <v>#N/A</v>
      </c>
      <c r="D41" s="117"/>
      <c r="E41" s="125" t="e">
        <f>VLOOKUP(Table257519913140106110151155170178204241[[#This Row],[PEG]],Table1016[#All],3,FALSE)</f>
        <v>#N/A</v>
      </c>
    </row>
    <row r="42" spans="1:5" x14ac:dyDescent="0.35">
      <c r="A42" s="118">
        <v>35</v>
      </c>
      <c r="B42" s="114" t="s">
        <v>12</v>
      </c>
      <c r="C42" s="109" t="e">
        <f>VLOOKUP(Table257519913140106110151155170178204241[[#This Row],[PEG]],Table1016[#All],2,FALSE)</f>
        <v>#N/A</v>
      </c>
      <c r="D42" s="115"/>
      <c r="E42" s="125" t="e">
        <f>VLOOKUP(Table257519913140106110151155170178204241[[#This Row],[PEG]],Table1016[#All],3,FALSE)</f>
        <v>#N/A</v>
      </c>
    </row>
    <row r="43" spans="1:5" x14ac:dyDescent="0.35">
      <c r="A43" s="118">
        <v>36</v>
      </c>
      <c r="B43" s="114" t="s">
        <v>115</v>
      </c>
      <c r="C43" s="109" t="e">
        <f>VLOOKUP(Table257519913140106110151155170178204241[[#This Row],[PEG]],Table1016[#All],2,FALSE)</f>
        <v>#N/A</v>
      </c>
      <c r="D43" s="115"/>
      <c r="E43" s="125" t="e">
        <f>VLOOKUP(Table257519913140106110151155170178204241[[#This Row],[PEG]],Table1016[#All],3,FALSE)</f>
        <v>#N/A</v>
      </c>
    </row>
    <row r="44" spans="1:5" x14ac:dyDescent="0.35">
      <c r="A44" s="118">
        <v>37</v>
      </c>
      <c r="B44" s="114" t="s">
        <v>13</v>
      </c>
      <c r="C44" s="18" t="s">
        <v>13</v>
      </c>
      <c r="D44" s="115"/>
      <c r="E44" s="32"/>
    </row>
  </sheetData>
  <mergeCells count="1">
    <mergeCell ref="A1:B1"/>
  </mergeCells>
  <conditionalFormatting sqref="B8:B18">
    <cfRule type="containsText" dxfId="607" priority="1" operator="containsText" text="Hear">
      <formula>NOT(ISERROR(SEARCH("Hear",B8)))</formula>
    </cfRule>
  </conditionalFormatting>
  <conditionalFormatting sqref="B30">
    <cfRule type="containsText" dxfId="606" priority="4" operator="containsText" text="Hear">
      <formula>NOT(ISERROR(SEARCH("Hear",B30)))</formula>
    </cfRule>
  </conditionalFormatting>
  <conditionalFormatting sqref="B43:B44">
    <cfRule type="containsText" dxfId="605" priority="8" operator="containsText" text="Hear">
      <formula>NOT(ISERROR(SEARCH("Hear",B43)))</formula>
    </cfRule>
  </conditionalFormatting>
  <conditionalFormatting sqref="E44">
    <cfRule type="containsText" dxfId="604" priority="6" operator="containsText" text="WEB SERVICE">
      <formula>NOT(ISERROR(SEARCH("WEB SERVICE",E44)))</formula>
    </cfRule>
    <cfRule type="containsText" dxfId="603" priority="7" operator="containsText" text="DB">
      <formula>NOT(ISERROR(SEARCH("DB",E44)))</formula>
    </cfRule>
  </conditionalFormatting>
  <conditionalFormatting sqref="C44">
    <cfRule type="expression" dxfId="602" priority="9">
      <formula>$B44="Dial"</formula>
    </cfRule>
  </conditionalFormatting>
  <conditionalFormatting sqref="C44">
    <cfRule type="expression" dxfId="601" priority="3">
      <formula>$B44="Speak"</formula>
    </cfRule>
  </conditionalFormatting>
  <conditionalFormatting sqref="B19:B29 B31:B35 B42">
    <cfRule type="containsText" dxfId="600" priority="5" operator="containsText" text="Hear">
      <formula>NOT(ISERROR(SEARCH("Hear",B19)))</formula>
    </cfRule>
  </conditionalFormatting>
  <hyperlinks>
    <hyperlink ref="A1" location="'Test Case Overview'!A1" display="Return to Test Case Overview" xr:uid="{B3731EE0-8803-49BA-9CCB-44260C0C98D8}"/>
  </hyperlinks>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expression" priority="2" id="{F04BCDA9-2BC4-460F-93A1-D87D25962858}">
            <xm:f>'TC1'!$B8="HANGUP"</xm:f>
            <x14:dxf>
              <font>
                <b/>
                <i val="0"/>
              </font>
            </x14:dxf>
          </x14:cfRule>
          <xm:sqref>C8</xm:sqref>
        </x14:conditionalFormatting>
        <x14:conditionalFormatting xmlns:xm="http://schemas.microsoft.com/office/excel/2006/main">
          <x14:cfRule type="expression" priority="3310" id="{F04BCDA9-2BC4-460F-93A1-D87D25962858}">
            <xm:f>'TC1'!$B16="HANGUP"</xm:f>
            <x14:dxf>
              <font>
                <b/>
                <i val="0"/>
              </font>
            </x14:dxf>
          </x14:cfRule>
          <xm:sqref>C34:C43</xm:sqref>
        </x14:conditionalFormatting>
        <x14:conditionalFormatting xmlns:xm="http://schemas.microsoft.com/office/excel/2006/main">
          <x14:cfRule type="expression" priority="3311" id="{F04BCDA9-2BC4-460F-93A1-D87D25962858}">
            <xm:f>'TC1'!#REF!="HANGUP"</xm:f>
            <x14:dxf>
              <font>
                <b/>
                <i val="0"/>
              </font>
            </x14:dxf>
          </x14:cfRule>
          <xm:sqref>C17:C33</xm:sqref>
        </x14:conditionalFormatting>
        <x14:conditionalFormatting xmlns:xm="http://schemas.microsoft.com/office/excel/2006/main">
          <x14:cfRule type="expression" priority="5924" id="{F04BCDA9-2BC4-460F-93A1-D87D25962858}">
            <xm:f>'TC1'!$B9="HANGUP"</xm:f>
            <x14:dxf>
              <font>
                <b/>
                <i val="0"/>
              </font>
            </x14:dxf>
          </x14:cfRule>
          <xm:sqref>C12:C15</xm:sqref>
        </x14:conditionalFormatting>
        <x14:conditionalFormatting xmlns:xm="http://schemas.microsoft.com/office/excel/2006/main">
          <x14:cfRule type="expression" priority="5925" id="{F04BCDA9-2BC4-460F-93A1-D87D25962858}">
            <xm:f>'TC1'!#REF!="HANGUP"</xm:f>
            <x14:dxf>
              <font>
                <b/>
                <i val="0"/>
              </font>
            </x14:dxf>
          </x14:cfRule>
          <xm:sqref>C9:C11</xm:sqref>
        </x14:conditionalFormatting>
        <x14:conditionalFormatting xmlns:xm="http://schemas.microsoft.com/office/excel/2006/main">
          <x14:cfRule type="expression" priority="8106" id="{F04BCDA9-2BC4-460F-93A1-D87D25962858}">
            <xm:f>'TC1'!$B15="HANGUP"</xm:f>
            <x14:dxf>
              <font>
                <b/>
                <i val="0"/>
              </font>
            </x14:dxf>
          </x14:cfRule>
          <xm:sqref>C16</xm:sqref>
        </x14:conditionalFormatting>
      </x14:conditionalFormattings>
    </ext>
  </extLst>
</worksheet>
</file>

<file path=xl/worksheets/sheet1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700-000000000000}">
  <sheetPr codeName="Sheet169"/>
  <dimension ref="A1:E44"/>
  <sheetViews>
    <sheetView zoomScaleNormal="100" workbookViewId="0">
      <selection sqref="A1:E44"/>
    </sheetView>
  </sheetViews>
  <sheetFormatPr defaultRowHeight="14.5" x14ac:dyDescent="0.35"/>
  <cols>
    <col min="1" max="1" width="14.453125" bestFit="1" customWidth="1"/>
    <col min="2" max="2" width="42.6328125" customWidth="1"/>
    <col min="3" max="3" width="106.1796875" customWidth="1"/>
    <col min="4" max="4" width="21.81640625" bestFit="1" customWidth="1"/>
    <col min="5" max="5" width="20.6328125" customWidth="1"/>
  </cols>
  <sheetData>
    <row r="1" spans="1:5" ht="18.5" x14ac:dyDescent="0.35">
      <c r="A1" s="192" t="s">
        <v>4</v>
      </c>
      <c r="B1" s="192"/>
      <c r="C1" s="105"/>
      <c r="D1" s="111"/>
      <c r="E1" s="97"/>
    </row>
    <row r="2" spans="1:5" x14ac:dyDescent="0.35">
      <c r="A2" s="106" t="s">
        <v>5</v>
      </c>
      <c r="B2" s="107" t="str">
        <f ca="1">MID(CELL("filename",A1),FIND("]",CELL("filename",A1))+1,LEN(CELL("filename",A1))-FIND("]",CELL("filename",A1)))</f>
        <v>TC167</v>
      </c>
      <c r="C2" s="98"/>
      <c r="D2" s="111"/>
      <c r="E2" s="97"/>
    </row>
    <row r="3" spans="1:5" x14ac:dyDescent="0.35">
      <c r="A3" s="104" t="s">
        <v>19</v>
      </c>
      <c r="B3" s="112" t="e">
        <f ca="1">VLOOKUP(B2,Table53[#All],2,FALSE)</f>
        <v>#N/A</v>
      </c>
      <c r="C3" s="98"/>
      <c r="D3" s="111"/>
      <c r="E3" s="97"/>
    </row>
    <row r="4" spans="1:5" ht="29" x14ac:dyDescent="0.35">
      <c r="A4" s="113" t="s">
        <v>20</v>
      </c>
      <c r="B4" s="99" t="e">
        <f ca="1">VLOOKUP(B2,Table53[#All],4,FALSE)</f>
        <v>#N/A</v>
      </c>
      <c r="C4" s="98"/>
      <c r="D4" s="111"/>
      <c r="E4" s="97"/>
    </row>
    <row r="5" spans="1:5" x14ac:dyDescent="0.35">
      <c r="A5" s="104" t="s">
        <v>6</v>
      </c>
      <c r="B5" s="77" t="e">
        <f ca="1">VLOOKUP(B2,Table53[#All],3,FALSE)</f>
        <v>#N/A</v>
      </c>
      <c r="C5" s="98"/>
      <c r="D5" s="111"/>
      <c r="E5" s="97"/>
    </row>
    <row r="6" spans="1:5" x14ac:dyDescent="0.35">
      <c r="A6" s="97"/>
      <c r="B6" s="97"/>
      <c r="C6" s="98"/>
      <c r="D6" s="111"/>
      <c r="E6" s="97"/>
    </row>
    <row r="7" spans="1:5" ht="15.5" x14ac:dyDescent="0.35">
      <c r="A7" s="100" t="s">
        <v>7</v>
      </c>
      <c r="B7" s="101" t="s">
        <v>8</v>
      </c>
      <c r="C7" s="102" t="s">
        <v>9</v>
      </c>
      <c r="D7" s="102" t="s">
        <v>14</v>
      </c>
      <c r="E7" s="103" t="s">
        <v>10</v>
      </c>
    </row>
    <row r="8" spans="1:5" x14ac:dyDescent="0.35">
      <c r="A8" s="118">
        <v>1</v>
      </c>
      <c r="B8" s="114" t="s">
        <v>114</v>
      </c>
      <c r="C8" s="109" t="s">
        <v>125</v>
      </c>
      <c r="D8" s="128"/>
      <c r="E8" s="125" t="s">
        <v>11</v>
      </c>
    </row>
    <row r="9" spans="1:5" x14ac:dyDescent="0.35">
      <c r="A9" s="118">
        <v>2</v>
      </c>
      <c r="B9" s="114" t="s">
        <v>12</v>
      </c>
      <c r="C9" s="109" t="e">
        <f>VLOOKUP(Table257519913140106110151155170178204243[[#This Row],[PEG]],Table1016[#All],2,FALSE)</f>
        <v>#N/A</v>
      </c>
      <c r="D9" s="128"/>
      <c r="E9" s="125" t="e">
        <f>VLOOKUP(Table257519913140106110151155170178204243[[#This Row],[PEG]],Table1016[#All],3,FALSE)</f>
        <v>#N/A</v>
      </c>
    </row>
    <row r="10" spans="1:5" x14ac:dyDescent="0.35">
      <c r="A10" s="118">
        <v>3</v>
      </c>
      <c r="B10" s="114" t="s">
        <v>115</v>
      </c>
      <c r="C10" s="109" t="e">
        <f>VLOOKUP(Table257519913140106110151155170178204243[[#This Row],[PEG]],Table1016[#All],2,FALSE)</f>
        <v>#N/A</v>
      </c>
      <c r="D10" s="128"/>
      <c r="E10" s="125" t="e">
        <f>VLOOKUP(Table257519913140106110151155170178204243[[#This Row],[PEG]],Table1016[#All],3,FALSE)</f>
        <v>#N/A</v>
      </c>
    </row>
    <row r="11" spans="1:5" x14ac:dyDescent="0.35">
      <c r="A11" s="118">
        <v>4</v>
      </c>
      <c r="B11" s="114" t="s">
        <v>115</v>
      </c>
      <c r="C11" s="109" t="e">
        <f>VLOOKUP(Table257519913140106110151155170178204243[[#This Row],[PEG]],Table1016[#All],2,FALSE)</f>
        <v>#N/A</v>
      </c>
      <c r="D11" s="128"/>
      <c r="E11" s="125" t="e">
        <f>VLOOKUP(Table257519913140106110151155170178204243[[#This Row],[PEG]],Table1016[#All],3,FALSE)</f>
        <v>#N/A</v>
      </c>
    </row>
    <row r="12" spans="1:5" x14ac:dyDescent="0.35">
      <c r="A12" s="118">
        <v>5</v>
      </c>
      <c r="B12" s="114" t="s">
        <v>114</v>
      </c>
      <c r="C12" s="109" t="e">
        <f>VLOOKUP(Table257519913140106110151155170178204243[[#This Row],[PEG]],Table1016[#All],2,FALSE)</f>
        <v>#N/A</v>
      </c>
      <c r="D12" s="128"/>
      <c r="E12" s="125" t="e">
        <f>VLOOKUP(Table257519913140106110151155170178204243[[#This Row],[PEG]],Table1016[#All],3,FALSE)</f>
        <v>#N/A</v>
      </c>
    </row>
    <row r="13" spans="1:5" x14ac:dyDescent="0.35">
      <c r="A13" s="118">
        <v>6</v>
      </c>
      <c r="B13" s="114" t="s">
        <v>115</v>
      </c>
      <c r="C13" s="109" t="e">
        <f>VLOOKUP(Table257519913140106110151155170178204243[[#This Row],[PEG]],Table1016[#All],2,FALSE)</f>
        <v>#N/A</v>
      </c>
      <c r="D13" s="128"/>
      <c r="E13" s="125" t="e">
        <f>VLOOKUP(Table257519913140106110151155170178204243[[#This Row],[PEG]],Table1016[#All],3,FALSE)</f>
        <v>#N/A</v>
      </c>
    </row>
    <row r="14" spans="1:5" x14ac:dyDescent="0.35">
      <c r="A14" s="118">
        <v>7</v>
      </c>
      <c r="B14" s="114" t="s">
        <v>114</v>
      </c>
      <c r="C14" s="109" t="e">
        <f>VLOOKUP(Table257519913140106110151155170178204243[[#This Row],[PEG]],Table1016[#All],2,FALSE)</f>
        <v>#N/A</v>
      </c>
      <c r="D14" s="128"/>
      <c r="E14" s="125" t="e">
        <f>VLOOKUP(Table257519913140106110151155170178204243[[#This Row],[PEG]],Table1016[#All],3,FALSE)</f>
        <v>#N/A</v>
      </c>
    </row>
    <row r="15" spans="1:5" x14ac:dyDescent="0.35">
      <c r="A15" s="118">
        <v>8</v>
      </c>
      <c r="B15" s="114" t="s">
        <v>115</v>
      </c>
      <c r="C15" s="109" t="e">
        <f>VLOOKUP(Table257519913140106110151155170178204243[[#This Row],[PEG]],Table1016[#All],2,FALSE)</f>
        <v>#N/A</v>
      </c>
      <c r="D15" s="116"/>
      <c r="E15" s="125" t="e">
        <f>VLOOKUP(Table257519913140106110151155170178204243[[#This Row],[PEG]],Table1016[#All],3,FALSE)</f>
        <v>#N/A</v>
      </c>
    </row>
    <row r="16" spans="1:5" x14ac:dyDescent="0.35">
      <c r="A16" s="118">
        <v>9</v>
      </c>
      <c r="B16" s="114" t="s">
        <v>12</v>
      </c>
      <c r="C16" s="109" t="e">
        <f>VLOOKUP(Table257519913140106110151155170178204243[[#This Row],[PEG]],Table1016[#All],2,FALSE)</f>
        <v>#N/A</v>
      </c>
      <c r="D16" s="116"/>
      <c r="E16" s="125" t="e">
        <f>VLOOKUP(Table257519913140106110151155170178204243[[#This Row],[PEG]],Table1016[#All],3,FALSE)</f>
        <v>#N/A</v>
      </c>
    </row>
    <row r="17" spans="1:5" x14ac:dyDescent="0.35">
      <c r="A17" s="118">
        <v>10</v>
      </c>
      <c r="B17" s="114" t="s">
        <v>12</v>
      </c>
      <c r="C17" s="109" t="e">
        <f>VLOOKUP(Table257519913140106110151155170178204243[[#This Row],[PEG]],Table1016[#All],2,FALSE)</f>
        <v>#N/A</v>
      </c>
      <c r="D17" s="117"/>
      <c r="E17" s="125" t="e">
        <f>VLOOKUP(Table257519913140106110151155170178204243[[#This Row],[PEG]],Table1016[#All],3,FALSE)</f>
        <v>#N/A</v>
      </c>
    </row>
    <row r="18" spans="1:5" x14ac:dyDescent="0.35">
      <c r="A18" s="118">
        <v>11</v>
      </c>
      <c r="B18" s="114" t="s">
        <v>115</v>
      </c>
      <c r="C18" s="109" t="e">
        <f>VLOOKUP(Table257519913140106110151155170178204243[[#This Row],[PEG]],Table1016[#All],2,FALSE)</f>
        <v>#N/A</v>
      </c>
      <c r="D18" s="117"/>
      <c r="E18" s="125" t="e">
        <f>VLOOKUP(Table257519913140106110151155170178204243[[#This Row],[PEG]],Table1016[#All],3,FALSE)</f>
        <v>#N/A</v>
      </c>
    </row>
    <row r="19" spans="1:5" x14ac:dyDescent="0.35">
      <c r="A19" s="118">
        <v>12</v>
      </c>
      <c r="B19" s="114" t="s">
        <v>115</v>
      </c>
      <c r="C19" s="109" t="e">
        <f>VLOOKUP(Table257519913140106110151155170178204243[[#This Row],[PEG]],Table1016[#All],2,FALSE)</f>
        <v>#N/A</v>
      </c>
      <c r="D19" s="117"/>
      <c r="E19" s="125" t="e">
        <f>VLOOKUP(Table257519913140106110151155170178204243[[#This Row],[PEG]],Table1016[#All],3,FALSE)</f>
        <v>#N/A</v>
      </c>
    </row>
    <row r="20" spans="1:5" x14ac:dyDescent="0.35">
      <c r="A20" s="118">
        <v>13</v>
      </c>
      <c r="B20" s="114" t="s">
        <v>114</v>
      </c>
      <c r="C20" s="109" t="e">
        <f>VLOOKUP(Table257519913140106110151155170178204243[[#This Row],[PEG]],Table1016[#All],2,FALSE)</f>
        <v>#N/A</v>
      </c>
      <c r="D20" s="117"/>
      <c r="E20" s="125" t="e">
        <f>VLOOKUP(Table257519913140106110151155170178204243[[#This Row],[PEG]],Table1016[#All],3,FALSE)</f>
        <v>#N/A</v>
      </c>
    </row>
    <row r="21" spans="1:5" x14ac:dyDescent="0.35">
      <c r="A21" s="118">
        <v>14</v>
      </c>
      <c r="B21" s="114" t="s">
        <v>12</v>
      </c>
      <c r="C21" s="109" t="e">
        <f>VLOOKUP(Table257519913140106110151155170178204243[[#This Row],[PEG]],Table1016[#All],2,FALSE)</f>
        <v>#N/A</v>
      </c>
      <c r="D21" s="117"/>
      <c r="E21" s="125" t="e">
        <f>VLOOKUP(Table257519913140106110151155170178204243[[#This Row],[PEG]],Table1016[#All],3,FALSE)</f>
        <v>#N/A</v>
      </c>
    </row>
    <row r="22" spans="1:5" x14ac:dyDescent="0.35">
      <c r="A22" s="118">
        <v>15</v>
      </c>
      <c r="B22" s="114" t="s">
        <v>12</v>
      </c>
      <c r="C22" s="109" t="e">
        <f>VLOOKUP(Table257519913140106110151155170178204243[[#This Row],[PEG]],Table1016[#All],2,FALSE)</f>
        <v>#N/A</v>
      </c>
      <c r="D22" s="117"/>
      <c r="E22" s="125" t="e">
        <f>VLOOKUP(Table257519913140106110151155170178204243[[#This Row],[PEG]],Table1016[#All],3,FALSE)</f>
        <v>#N/A</v>
      </c>
    </row>
    <row r="23" spans="1:5" x14ac:dyDescent="0.35">
      <c r="A23" s="118">
        <v>16</v>
      </c>
      <c r="B23" s="114" t="s">
        <v>115</v>
      </c>
      <c r="C23" s="109" t="e">
        <f>VLOOKUP(Table257519913140106110151155170178204243[[#This Row],[PEG]],Table1016[#All],2,FALSE)</f>
        <v>#N/A</v>
      </c>
      <c r="D23" s="117"/>
      <c r="E23" s="125" t="e">
        <f>VLOOKUP(Table257519913140106110151155170178204243[[#This Row],[PEG]],Table1016[#All],3,FALSE)</f>
        <v>#N/A</v>
      </c>
    </row>
    <row r="24" spans="1:5" x14ac:dyDescent="0.35">
      <c r="A24" s="118">
        <v>17</v>
      </c>
      <c r="B24" s="114" t="s">
        <v>114</v>
      </c>
      <c r="C24" s="109" t="e">
        <f>VLOOKUP(Table257519913140106110151155170178204243[[#This Row],[PEG]],Table1016[#All],2,FALSE)</f>
        <v>#N/A</v>
      </c>
      <c r="D24" s="117"/>
      <c r="E24" s="125" t="e">
        <f>VLOOKUP(Table257519913140106110151155170178204243[[#This Row],[PEG]],Table1016[#All],3,FALSE)</f>
        <v>#N/A</v>
      </c>
    </row>
    <row r="25" spans="1:5" x14ac:dyDescent="0.35">
      <c r="A25" s="118">
        <v>18</v>
      </c>
      <c r="B25" s="114" t="s">
        <v>12</v>
      </c>
      <c r="C25" s="109" t="e">
        <f>VLOOKUP(Table257519913140106110151155170178204243[[#This Row],[PEG]],Table1016[#All],2,FALSE)</f>
        <v>#N/A</v>
      </c>
      <c r="D25" s="117"/>
      <c r="E25" s="125" t="e">
        <f>VLOOKUP(Table257519913140106110151155170178204243[[#This Row],[PEG]],Table1016[#All],3,FALSE)</f>
        <v>#N/A</v>
      </c>
    </row>
    <row r="26" spans="1:5" x14ac:dyDescent="0.35">
      <c r="A26" s="118">
        <v>19</v>
      </c>
      <c r="B26" s="114" t="s">
        <v>12</v>
      </c>
      <c r="C26" s="109" t="e">
        <f>VLOOKUP(Table257519913140106110151155170178204243[[#This Row],[PEG]],Table1016[#All],2,FALSE)</f>
        <v>#N/A</v>
      </c>
      <c r="D26" s="117"/>
      <c r="E26" s="125" t="e">
        <f>VLOOKUP(Table257519913140106110151155170178204243[[#This Row],[PEG]],Table1016[#All],3,FALSE)</f>
        <v>#N/A</v>
      </c>
    </row>
    <row r="27" spans="1:5" x14ac:dyDescent="0.35">
      <c r="A27" s="118">
        <v>20</v>
      </c>
      <c r="B27" s="114" t="s">
        <v>115</v>
      </c>
      <c r="C27" s="109" t="e">
        <f>VLOOKUP(Table257519913140106110151155170178204243[[#This Row],[PEG]],Table1016[#All],2,FALSE)</f>
        <v>#N/A</v>
      </c>
      <c r="D27" s="117"/>
      <c r="E27" s="125" t="e">
        <f>VLOOKUP(Table257519913140106110151155170178204243[[#This Row],[PEG]],Table1016[#All],3,FALSE)</f>
        <v>#N/A</v>
      </c>
    </row>
    <row r="28" spans="1:5" x14ac:dyDescent="0.35">
      <c r="A28" s="118">
        <v>21</v>
      </c>
      <c r="B28" s="114" t="s">
        <v>114</v>
      </c>
      <c r="C28" s="109" t="e">
        <f>VLOOKUP(Table257519913140106110151155170178204243[[#This Row],[PEG]],Table1016[#All],2,FALSE)</f>
        <v>#N/A</v>
      </c>
      <c r="D28" s="117"/>
      <c r="E28" s="125" t="e">
        <f>VLOOKUP(Table257519913140106110151155170178204243[[#This Row],[PEG]],Table1016[#All],3,FALSE)</f>
        <v>#N/A</v>
      </c>
    </row>
    <row r="29" spans="1:5" x14ac:dyDescent="0.35">
      <c r="A29" s="118">
        <v>22</v>
      </c>
      <c r="B29" s="114" t="s">
        <v>12</v>
      </c>
      <c r="C29" s="109" t="e">
        <f>VLOOKUP(Table257519913140106110151155170178204243[[#This Row],[PEG]],Table1016[#All],2,FALSE)</f>
        <v>#N/A</v>
      </c>
      <c r="D29" s="117"/>
      <c r="E29" s="125" t="e">
        <f>VLOOKUP(Table257519913140106110151155170178204243[[#This Row],[PEG]],Table1016[#All],3,FALSE)</f>
        <v>#N/A</v>
      </c>
    </row>
    <row r="30" spans="1:5" x14ac:dyDescent="0.35">
      <c r="A30" s="118">
        <v>23</v>
      </c>
      <c r="B30" s="114" t="s">
        <v>12</v>
      </c>
      <c r="C30" s="109" t="e">
        <f>VLOOKUP(Table257519913140106110151155170178204243[[#This Row],[PEG]],Table1016[#All],2,FALSE)</f>
        <v>#N/A</v>
      </c>
      <c r="D30" s="117"/>
      <c r="E30" s="125" t="e">
        <f>VLOOKUP(Table257519913140106110151155170178204243[[#This Row],[PEG]],Table1016[#All],3,FALSE)</f>
        <v>#N/A</v>
      </c>
    </row>
    <row r="31" spans="1:5" x14ac:dyDescent="0.35">
      <c r="A31" s="118">
        <v>24</v>
      </c>
      <c r="B31" s="114" t="s">
        <v>115</v>
      </c>
      <c r="C31" s="109" t="e">
        <f>VLOOKUP(Table257519913140106110151155170178204243[[#This Row],[PEG]],Table1016[#All],2,FALSE)</f>
        <v>#N/A</v>
      </c>
      <c r="D31" s="117"/>
      <c r="E31" s="125" t="e">
        <f>VLOOKUP(Table257519913140106110151155170178204243[[#This Row],[PEG]],Table1016[#All],3,FALSE)</f>
        <v>#N/A</v>
      </c>
    </row>
    <row r="32" spans="1:5" x14ac:dyDescent="0.35">
      <c r="A32" s="118">
        <v>25</v>
      </c>
      <c r="B32" s="114" t="s">
        <v>115</v>
      </c>
      <c r="C32" s="109" t="e">
        <f>VLOOKUP(Table257519913140106110151155170178204243[[#This Row],[PEG]],Table1016[#All],2,FALSE)</f>
        <v>#N/A</v>
      </c>
      <c r="D32" s="117"/>
      <c r="E32" s="125" t="e">
        <f>VLOOKUP(Table257519913140106110151155170178204243[[#This Row],[PEG]],Table1016[#All],3,FALSE)</f>
        <v>#N/A</v>
      </c>
    </row>
    <row r="33" spans="1:5" x14ac:dyDescent="0.35">
      <c r="A33" s="118">
        <v>26</v>
      </c>
      <c r="B33" s="114" t="s">
        <v>124</v>
      </c>
      <c r="C33" s="109" t="e">
        <f>VLOOKUP(Table257519913140106110151155170178204243[[#This Row],[PEG]],Table1016[#All],2,FALSE)</f>
        <v>#N/A</v>
      </c>
      <c r="D33" s="117"/>
      <c r="E33" s="125" t="e">
        <f>VLOOKUP(Table257519913140106110151155170178204243[[#This Row],[PEG]],Table1016[#All],3,FALSE)</f>
        <v>#N/A</v>
      </c>
    </row>
    <row r="34" spans="1:5" x14ac:dyDescent="0.35">
      <c r="A34" s="118">
        <v>27</v>
      </c>
      <c r="B34" s="114" t="s">
        <v>115</v>
      </c>
      <c r="C34" s="109" t="e">
        <f>VLOOKUP(Table257519913140106110151155170178204243[[#This Row],[PEG]],Table1016[#All],2,FALSE)</f>
        <v>#N/A</v>
      </c>
      <c r="D34" s="117"/>
      <c r="E34" s="125" t="e">
        <f>VLOOKUP(Table257519913140106110151155170178204243[[#This Row],[PEG]],Table1016[#All],3,FALSE)</f>
        <v>#N/A</v>
      </c>
    </row>
    <row r="35" spans="1:5" x14ac:dyDescent="0.35">
      <c r="A35" s="118">
        <v>28</v>
      </c>
      <c r="B35" s="114" t="s">
        <v>124</v>
      </c>
      <c r="C35" s="109" t="e">
        <f>VLOOKUP(Table257519913140106110151155170178204243[[#This Row],[PEG]],Table1016[#All],2,FALSE)</f>
        <v>#N/A</v>
      </c>
      <c r="D35" s="117"/>
      <c r="E35" s="125" t="e">
        <f>VLOOKUP(Table257519913140106110151155170178204243[[#This Row],[PEG]],Table1016[#All],3,FALSE)</f>
        <v>#N/A</v>
      </c>
    </row>
    <row r="36" spans="1:5" x14ac:dyDescent="0.35">
      <c r="A36" s="118">
        <v>29</v>
      </c>
      <c r="B36" s="114" t="s">
        <v>115</v>
      </c>
      <c r="C36" s="109" t="e">
        <f>VLOOKUP(Table257519913140106110151155170178204243[[#This Row],[PEG]],Table1016[#All],2,FALSE)</f>
        <v>#N/A</v>
      </c>
      <c r="D36" s="117"/>
      <c r="E36" s="125" t="e">
        <f>VLOOKUP(Table257519913140106110151155170178204243[[#This Row],[PEG]],Table1016[#All],3,FALSE)</f>
        <v>#N/A</v>
      </c>
    </row>
    <row r="37" spans="1:5" x14ac:dyDescent="0.35">
      <c r="A37" s="118">
        <v>30</v>
      </c>
      <c r="B37" s="114" t="s">
        <v>12</v>
      </c>
      <c r="C37" s="109" t="e">
        <f>VLOOKUP(Table257519913140106110151155170178204243[[#This Row],[PEG]],Table1016[#All],2,FALSE)</f>
        <v>#N/A</v>
      </c>
      <c r="D37" s="117"/>
      <c r="E37" s="125" t="e">
        <f>VLOOKUP(Table257519913140106110151155170178204243[[#This Row],[PEG]],Table1016[#All],3,FALSE)</f>
        <v>#N/A</v>
      </c>
    </row>
    <row r="38" spans="1:5" x14ac:dyDescent="0.35">
      <c r="A38" s="118">
        <v>31</v>
      </c>
      <c r="B38" s="114" t="s">
        <v>12</v>
      </c>
      <c r="C38" s="109" t="e">
        <f>VLOOKUP(Table257519913140106110151155170178204243[[#This Row],[PEG]],Table1016[#All],2,FALSE)</f>
        <v>#N/A</v>
      </c>
      <c r="D38" s="117"/>
      <c r="E38" s="125" t="e">
        <f>VLOOKUP(Table257519913140106110151155170178204243[[#This Row],[PEG]],Table1016[#All],3,FALSE)</f>
        <v>#N/A</v>
      </c>
    </row>
    <row r="39" spans="1:5" x14ac:dyDescent="0.35">
      <c r="A39" s="118">
        <v>32</v>
      </c>
      <c r="B39" s="114" t="s">
        <v>12</v>
      </c>
      <c r="C39" s="109" t="e">
        <f>VLOOKUP(Table257519913140106110151155170178204243[[#This Row],[PEG]],Table1016[#All],2,FALSE)</f>
        <v>#N/A</v>
      </c>
      <c r="D39" s="117"/>
      <c r="E39" s="125" t="e">
        <f>VLOOKUP(Table257519913140106110151155170178204243[[#This Row],[PEG]],Table1016[#All],3,FALSE)</f>
        <v>#N/A</v>
      </c>
    </row>
    <row r="40" spans="1:5" x14ac:dyDescent="0.35">
      <c r="A40" s="118">
        <v>33</v>
      </c>
      <c r="B40" s="114" t="s">
        <v>12</v>
      </c>
      <c r="C40" s="109" t="e">
        <f>VLOOKUP(Table257519913140106110151155170178204243[[#This Row],[PEG]],Table1016[#All],2,FALSE)</f>
        <v>#N/A</v>
      </c>
      <c r="D40" s="117"/>
      <c r="E40" s="125" t="e">
        <f>VLOOKUP(Table257519913140106110151155170178204243[[#This Row],[PEG]],Table1016[#All],3,FALSE)</f>
        <v>#N/A</v>
      </c>
    </row>
    <row r="41" spans="1:5" x14ac:dyDescent="0.35">
      <c r="A41" s="118">
        <v>34</v>
      </c>
      <c r="B41" s="114" t="s">
        <v>115</v>
      </c>
      <c r="C41" s="109" t="e">
        <f>VLOOKUP(Table257519913140106110151155170178204243[[#This Row],[PEG]],Table1016[#All],2,FALSE)</f>
        <v>#N/A</v>
      </c>
      <c r="D41" s="117"/>
      <c r="E41" s="125" t="e">
        <f>VLOOKUP(Table257519913140106110151155170178204243[[#This Row],[PEG]],Table1016[#All],3,FALSE)</f>
        <v>#N/A</v>
      </c>
    </row>
    <row r="42" spans="1:5" x14ac:dyDescent="0.35">
      <c r="A42" s="118">
        <v>35</v>
      </c>
      <c r="B42" s="114" t="s">
        <v>12</v>
      </c>
      <c r="C42" s="109" t="e">
        <f>VLOOKUP(Table257519913140106110151155170178204243[[#This Row],[PEG]],Table1016[#All],2,FALSE)</f>
        <v>#N/A</v>
      </c>
      <c r="D42" s="115"/>
      <c r="E42" s="125" t="e">
        <f>VLOOKUP(Table257519913140106110151155170178204243[[#This Row],[PEG]],Table1016[#All],3,FALSE)</f>
        <v>#N/A</v>
      </c>
    </row>
    <row r="43" spans="1:5" x14ac:dyDescent="0.35">
      <c r="A43" s="118">
        <v>36</v>
      </c>
      <c r="B43" s="114" t="s">
        <v>115</v>
      </c>
      <c r="C43" s="109" t="e">
        <f>VLOOKUP(Table257519913140106110151155170178204243[[#This Row],[PEG]],Table1016[#All],2,FALSE)</f>
        <v>#N/A</v>
      </c>
      <c r="D43" s="115"/>
      <c r="E43" s="125" t="e">
        <f>VLOOKUP(Table257519913140106110151155170178204243[[#This Row],[PEG]],Table1016[#All],3,FALSE)</f>
        <v>#N/A</v>
      </c>
    </row>
    <row r="44" spans="1:5" x14ac:dyDescent="0.35">
      <c r="A44" s="118">
        <v>37</v>
      </c>
      <c r="B44" s="114" t="s">
        <v>13</v>
      </c>
      <c r="C44" s="18" t="s">
        <v>13</v>
      </c>
      <c r="D44" s="115"/>
      <c r="E44" s="32"/>
    </row>
  </sheetData>
  <mergeCells count="1">
    <mergeCell ref="A1:B1"/>
  </mergeCells>
  <conditionalFormatting sqref="B8:B18">
    <cfRule type="containsText" dxfId="593" priority="1" operator="containsText" text="Hear">
      <formula>NOT(ISERROR(SEARCH("Hear",B8)))</formula>
    </cfRule>
  </conditionalFormatting>
  <conditionalFormatting sqref="B30">
    <cfRule type="containsText" dxfId="592" priority="4" operator="containsText" text="Hear">
      <formula>NOT(ISERROR(SEARCH("Hear",B30)))</formula>
    </cfRule>
  </conditionalFormatting>
  <conditionalFormatting sqref="B43:B44">
    <cfRule type="containsText" dxfId="591" priority="8" operator="containsText" text="Hear">
      <formula>NOT(ISERROR(SEARCH("Hear",B43)))</formula>
    </cfRule>
  </conditionalFormatting>
  <conditionalFormatting sqref="E44">
    <cfRule type="containsText" dxfId="590" priority="6" operator="containsText" text="WEB SERVICE">
      <formula>NOT(ISERROR(SEARCH("WEB SERVICE",E44)))</formula>
    </cfRule>
    <cfRule type="containsText" dxfId="589" priority="7" operator="containsText" text="DB">
      <formula>NOT(ISERROR(SEARCH("DB",E44)))</formula>
    </cfRule>
  </conditionalFormatting>
  <conditionalFormatting sqref="C44">
    <cfRule type="expression" dxfId="588" priority="9">
      <formula>$B44="Dial"</formula>
    </cfRule>
  </conditionalFormatting>
  <conditionalFormatting sqref="C44">
    <cfRule type="expression" dxfId="587" priority="3">
      <formula>$B44="Speak"</formula>
    </cfRule>
  </conditionalFormatting>
  <conditionalFormatting sqref="B19:B29 B31:B35 B42">
    <cfRule type="containsText" dxfId="586" priority="5" operator="containsText" text="Hear">
      <formula>NOT(ISERROR(SEARCH("Hear",B19)))</formula>
    </cfRule>
  </conditionalFormatting>
  <hyperlinks>
    <hyperlink ref="A1" location="'Test Case Overview'!A1" display="Return to Test Case Overview" xr:uid="{6C3F45E3-FD63-43ED-A789-A18B4E15C752}"/>
  </hyperlinks>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expression" priority="2" id="{FD1B90F2-5304-4331-A8A7-F2681A90F206}">
            <xm:f>'TC1'!$B8="HANGUP"</xm:f>
            <x14:dxf>
              <font>
                <b/>
                <i val="0"/>
              </font>
            </x14:dxf>
          </x14:cfRule>
          <xm:sqref>C8</xm:sqref>
        </x14:conditionalFormatting>
        <x14:conditionalFormatting xmlns:xm="http://schemas.microsoft.com/office/excel/2006/main">
          <x14:cfRule type="expression" priority="3314" id="{FD1B90F2-5304-4331-A8A7-F2681A90F206}">
            <xm:f>'TC1'!$B16="HANGUP"</xm:f>
            <x14:dxf>
              <font>
                <b/>
                <i val="0"/>
              </font>
            </x14:dxf>
          </x14:cfRule>
          <xm:sqref>C34:C43</xm:sqref>
        </x14:conditionalFormatting>
        <x14:conditionalFormatting xmlns:xm="http://schemas.microsoft.com/office/excel/2006/main">
          <x14:cfRule type="expression" priority="3315" id="{FD1B90F2-5304-4331-A8A7-F2681A90F206}">
            <xm:f>'TC1'!#REF!="HANGUP"</xm:f>
            <x14:dxf>
              <font>
                <b/>
                <i val="0"/>
              </font>
            </x14:dxf>
          </x14:cfRule>
          <xm:sqref>C17:C33</xm:sqref>
        </x14:conditionalFormatting>
        <x14:conditionalFormatting xmlns:xm="http://schemas.microsoft.com/office/excel/2006/main">
          <x14:cfRule type="expression" priority="5928" id="{FD1B90F2-5304-4331-A8A7-F2681A90F206}">
            <xm:f>'TC1'!$B9="HANGUP"</xm:f>
            <x14:dxf>
              <font>
                <b/>
                <i val="0"/>
              </font>
            </x14:dxf>
          </x14:cfRule>
          <xm:sqref>C12:C15</xm:sqref>
        </x14:conditionalFormatting>
        <x14:conditionalFormatting xmlns:xm="http://schemas.microsoft.com/office/excel/2006/main">
          <x14:cfRule type="expression" priority="5929" id="{FD1B90F2-5304-4331-A8A7-F2681A90F206}">
            <xm:f>'TC1'!#REF!="HANGUP"</xm:f>
            <x14:dxf>
              <font>
                <b/>
                <i val="0"/>
              </font>
            </x14:dxf>
          </x14:cfRule>
          <xm:sqref>C9:C11</xm:sqref>
        </x14:conditionalFormatting>
        <x14:conditionalFormatting xmlns:xm="http://schemas.microsoft.com/office/excel/2006/main">
          <x14:cfRule type="expression" priority="8109" id="{FD1B90F2-5304-4331-A8A7-F2681A90F206}">
            <xm:f>'TC1'!$B15="HANGUP"</xm:f>
            <x14:dxf>
              <font>
                <b/>
                <i val="0"/>
              </font>
            </x14:dxf>
          </x14:cfRule>
          <xm:sqref>C16</xm:sqref>
        </x14:conditionalFormatting>
      </x14:conditionalFormattings>
    </ext>
  </extLst>
</worksheet>
</file>

<file path=xl/worksheets/sheet1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800-000000000000}">
  <sheetPr codeName="Sheet170"/>
  <dimension ref="A1:E44"/>
  <sheetViews>
    <sheetView zoomScaleNormal="100" workbookViewId="0">
      <selection sqref="A1:E44"/>
    </sheetView>
  </sheetViews>
  <sheetFormatPr defaultRowHeight="14.5" x14ac:dyDescent="0.35"/>
  <cols>
    <col min="1" max="1" width="14.453125" bestFit="1" customWidth="1"/>
    <col min="2" max="2" width="42.6328125" customWidth="1"/>
    <col min="3" max="3" width="106.1796875" customWidth="1"/>
    <col min="4" max="4" width="21.81640625" bestFit="1" customWidth="1"/>
    <col min="5" max="5" width="20.6328125" customWidth="1"/>
  </cols>
  <sheetData>
    <row r="1" spans="1:5" ht="18.5" x14ac:dyDescent="0.35">
      <c r="A1" s="192" t="s">
        <v>4</v>
      </c>
      <c r="B1" s="192"/>
      <c r="C1" s="105"/>
      <c r="D1" s="111"/>
      <c r="E1" s="97"/>
    </row>
    <row r="2" spans="1:5" x14ac:dyDescent="0.35">
      <c r="A2" s="106" t="s">
        <v>5</v>
      </c>
      <c r="B2" s="107" t="str">
        <f ca="1">MID(CELL("filename",A1),FIND("]",CELL("filename",A1))+1,LEN(CELL("filename",A1))-FIND("]",CELL("filename",A1)))</f>
        <v>TC168</v>
      </c>
      <c r="C2" s="98"/>
      <c r="D2" s="111"/>
      <c r="E2" s="97"/>
    </row>
    <row r="3" spans="1:5" x14ac:dyDescent="0.35">
      <c r="A3" s="104" t="s">
        <v>19</v>
      </c>
      <c r="B3" s="112" t="e">
        <f ca="1">VLOOKUP(B2,Table53[#All],2,FALSE)</f>
        <v>#N/A</v>
      </c>
      <c r="C3" s="98"/>
      <c r="D3" s="111"/>
      <c r="E3" s="97"/>
    </row>
    <row r="4" spans="1:5" ht="29" x14ac:dyDescent="0.35">
      <c r="A4" s="113" t="s">
        <v>20</v>
      </c>
      <c r="B4" s="99" t="e">
        <f ca="1">VLOOKUP(B2,Table53[#All],4,FALSE)</f>
        <v>#N/A</v>
      </c>
      <c r="C4" s="98"/>
      <c r="D4" s="111"/>
      <c r="E4" s="97"/>
    </row>
    <row r="5" spans="1:5" x14ac:dyDescent="0.35">
      <c r="A5" s="104" t="s">
        <v>6</v>
      </c>
      <c r="B5" s="77" t="e">
        <f ca="1">VLOOKUP(B2,Table53[#All],3,FALSE)</f>
        <v>#N/A</v>
      </c>
      <c r="C5" s="98"/>
      <c r="D5" s="111"/>
      <c r="E5" s="97"/>
    </row>
    <row r="6" spans="1:5" x14ac:dyDescent="0.35">
      <c r="A6" s="97"/>
      <c r="B6" s="97"/>
      <c r="C6" s="98"/>
      <c r="D6" s="111"/>
      <c r="E6" s="97"/>
    </row>
    <row r="7" spans="1:5" ht="15.5" x14ac:dyDescent="0.35">
      <c r="A7" s="100" t="s">
        <v>7</v>
      </c>
      <c r="B7" s="101" t="s">
        <v>8</v>
      </c>
      <c r="C7" s="102" t="s">
        <v>9</v>
      </c>
      <c r="D7" s="102" t="s">
        <v>14</v>
      </c>
      <c r="E7" s="103" t="s">
        <v>10</v>
      </c>
    </row>
    <row r="8" spans="1:5" x14ac:dyDescent="0.35">
      <c r="A8" s="118">
        <v>1</v>
      </c>
      <c r="B8" s="114" t="s">
        <v>114</v>
      </c>
      <c r="C8" s="109" t="s">
        <v>125</v>
      </c>
      <c r="D8" s="128"/>
      <c r="E8" s="125" t="s">
        <v>11</v>
      </c>
    </row>
    <row r="9" spans="1:5" x14ac:dyDescent="0.35">
      <c r="A9" s="118">
        <v>2</v>
      </c>
      <c r="B9" s="114" t="s">
        <v>12</v>
      </c>
      <c r="C9" s="109" t="e">
        <f>VLOOKUP(Table257519913140106110151155170178204245[[#This Row],[PEG]],Table1016[#All],2,FALSE)</f>
        <v>#N/A</v>
      </c>
      <c r="D9" s="128"/>
      <c r="E9" s="125" t="e">
        <f>VLOOKUP(Table257519913140106110151155170178204245[[#This Row],[PEG]],Table1016[#All],3,FALSE)</f>
        <v>#N/A</v>
      </c>
    </row>
    <row r="10" spans="1:5" x14ac:dyDescent="0.35">
      <c r="A10" s="118">
        <v>3</v>
      </c>
      <c r="B10" s="114" t="s">
        <v>115</v>
      </c>
      <c r="C10" s="109" t="e">
        <f>VLOOKUP(Table257519913140106110151155170178204245[[#This Row],[PEG]],Table1016[#All],2,FALSE)</f>
        <v>#N/A</v>
      </c>
      <c r="D10" s="128"/>
      <c r="E10" s="125" t="e">
        <f>VLOOKUP(Table257519913140106110151155170178204245[[#This Row],[PEG]],Table1016[#All],3,FALSE)</f>
        <v>#N/A</v>
      </c>
    </row>
    <row r="11" spans="1:5" x14ac:dyDescent="0.35">
      <c r="A11" s="118">
        <v>4</v>
      </c>
      <c r="B11" s="114" t="s">
        <v>115</v>
      </c>
      <c r="C11" s="109" t="e">
        <f>VLOOKUP(Table257519913140106110151155170178204245[[#This Row],[PEG]],Table1016[#All],2,FALSE)</f>
        <v>#N/A</v>
      </c>
      <c r="D11" s="128"/>
      <c r="E11" s="125" t="e">
        <f>VLOOKUP(Table257519913140106110151155170178204245[[#This Row],[PEG]],Table1016[#All],3,FALSE)</f>
        <v>#N/A</v>
      </c>
    </row>
    <row r="12" spans="1:5" x14ac:dyDescent="0.35">
      <c r="A12" s="118">
        <v>5</v>
      </c>
      <c r="B12" s="114" t="s">
        <v>114</v>
      </c>
      <c r="C12" s="109" t="e">
        <f>VLOOKUP(Table257519913140106110151155170178204245[[#This Row],[PEG]],Table1016[#All],2,FALSE)</f>
        <v>#N/A</v>
      </c>
      <c r="D12" s="128"/>
      <c r="E12" s="125" t="e">
        <f>VLOOKUP(Table257519913140106110151155170178204245[[#This Row],[PEG]],Table1016[#All],3,FALSE)</f>
        <v>#N/A</v>
      </c>
    </row>
    <row r="13" spans="1:5" x14ac:dyDescent="0.35">
      <c r="A13" s="118">
        <v>6</v>
      </c>
      <c r="B13" s="114" t="s">
        <v>115</v>
      </c>
      <c r="C13" s="109" t="e">
        <f>VLOOKUP(Table257519913140106110151155170178204245[[#This Row],[PEG]],Table1016[#All],2,FALSE)</f>
        <v>#N/A</v>
      </c>
      <c r="D13" s="128"/>
      <c r="E13" s="125" t="e">
        <f>VLOOKUP(Table257519913140106110151155170178204245[[#This Row],[PEG]],Table1016[#All],3,FALSE)</f>
        <v>#N/A</v>
      </c>
    </row>
    <row r="14" spans="1:5" x14ac:dyDescent="0.35">
      <c r="A14" s="118">
        <v>7</v>
      </c>
      <c r="B14" s="114" t="s">
        <v>114</v>
      </c>
      <c r="C14" s="109" t="e">
        <f>VLOOKUP(Table257519913140106110151155170178204245[[#This Row],[PEG]],Table1016[#All],2,FALSE)</f>
        <v>#N/A</v>
      </c>
      <c r="D14" s="128"/>
      <c r="E14" s="125" t="e">
        <f>VLOOKUP(Table257519913140106110151155170178204245[[#This Row],[PEG]],Table1016[#All],3,FALSE)</f>
        <v>#N/A</v>
      </c>
    </row>
    <row r="15" spans="1:5" x14ac:dyDescent="0.35">
      <c r="A15" s="118">
        <v>8</v>
      </c>
      <c r="B15" s="114" t="s">
        <v>115</v>
      </c>
      <c r="C15" s="109" t="e">
        <f>VLOOKUP(Table257519913140106110151155170178204245[[#This Row],[PEG]],Table1016[#All],2,FALSE)</f>
        <v>#N/A</v>
      </c>
      <c r="D15" s="116"/>
      <c r="E15" s="125" t="e">
        <f>VLOOKUP(Table257519913140106110151155170178204245[[#This Row],[PEG]],Table1016[#All],3,FALSE)</f>
        <v>#N/A</v>
      </c>
    </row>
    <row r="16" spans="1:5" x14ac:dyDescent="0.35">
      <c r="A16" s="118">
        <v>9</v>
      </c>
      <c r="B16" s="114" t="s">
        <v>12</v>
      </c>
      <c r="C16" s="109" t="e">
        <f>VLOOKUP(Table257519913140106110151155170178204245[[#This Row],[PEG]],Table1016[#All],2,FALSE)</f>
        <v>#N/A</v>
      </c>
      <c r="D16" s="116"/>
      <c r="E16" s="125" t="e">
        <f>VLOOKUP(Table257519913140106110151155170178204245[[#This Row],[PEG]],Table1016[#All],3,FALSE)</f>
        <v>#N/A</v>
      </c>
    </row>
    <row r="17" spans="1:5" x14ac:dyDescent="0.35">
      <c r="A17" s="118">
        <v>10</v>
      </c>
      <c r="B17" s="114" t="s">
        <v>12</v>
      </c>
      <c r="C17" s="109" t="e">
        <f>VLOOKUP(Table257519913140106110151155170178204245[[#This Row],[PEG]],Table1016[#All],2,FALSE)</f>
        <v>#N/A</v>
      </c>
      <c r="D17" s="117"/>
      <c r="E17" s="125" t="e">
        <f>VLOOKUP(Table257519913140106110151155170178204245[[#This Row],[PEG]],Table1016[#All],3,FALSE)</f>
        <v>#N/A</v>
      </c>
    </row>
    <row r="18" spans="1:5" x14ac:dyDescent="0.35">
      <c r="A18" s="118">
        <v>11</v>
      </c>
      <c r="B18" s="114" t="s">
        <v>115</v>
      </c>
      <c r="C18" s="109" t="e">
        <f>VLOOKUP(Table257519913140106110151155170178204245[[#This Row],[PEG]],Table1016[#All],2,FALSE)</f>
        <v>#N/A</v>
      </c>
      <c r="D18" s="117"/>
      <c r="E18" s="125" t="e">
        <f>VLOOKUP(Table257519913140106110151155170178204245[[#This Row],[PEG]],Table1016[#All],3,FALSE)</f>
        <v>#N/A</v>
      </c>
    </row>
    <row r="19" spans="1:5" x14ac:dyDescent="0.35">
      <c r="A19" s="118">
        <v>12</v>
      </c>
      <c r="B19" s="114" t="s">
        <v>115</v>
      </c>
      <c r="C19" s="109" t="e">
        <f>VLOOKUP(Table257519913140106110151155170178204245[[#This Row],[PEG]],Table1016[#All],2,FALSE)</f>
        <v>#N/A</v>
      </c>
      <c r="D19" s="117"/>
      <c r="E19" s="125" t="e">
        <f>VLOOKUP(Table257519913140106110151155170178204245[[#This Row],[PEG]],Table1016[#All],3,FALSE)</f>
        <v>#N/A</v>
      </c>
    </row>
    <row r="20" spans="1:5" x14ac:dyDescent="0.35">
      <c r="A20" s="118">
        <v>13</v>
      </c>
      <c r="B20" s="114" t="s">
        <v>114</v>
      </c>
      <c r="C20" s="109" t="e">
        <f>VLOOKUP(Table257519913140106110151155170178204245[[#This Row],[PEG]],Table1016[#All],2,FALSE)</f>
        <v>#N/A</v>
      </c>
      <c r="D20" s="117"/>
      <c r="E20" s="125" t="e">
        <f>VLOOKUP(Table257519913140106110151155170178204245[[#This Row],[PEG]],Table1016[#All],3,FALSE)</f>
        <v>#N/A</v>
      </c>
    </row>
    <row r="21" spans="1:5" x14ac:dyDescent="0.35">
      <c r="A21" s="118">
        <v>14</v>
      </c>
      <c r="B21" s="114" t="s">
        <v>12</v>
      </c>
      <c r="C21" s="109" t="e">
        <f>VLOOKUP(Table257519913140106110151155170178204245[[#This Row],[PEG]],Table1016[#All],2,FALSE)</f>
        <v>#N/A</v>
      </c>
      <c r="D21" s="117"/>
      <c r="E21" s="125" t="e">
        <f>VLOOKUP(Table257519913140106110151155170178204245[[#This Row],[PEG]],Table1016[#All],3,FALSE)</f>
        <v>#N/A</v>
      </c>
    </row>
    <row r="22" spans="1:5" x14ac:dyDescent="0.35">
      <c r="A22" s="118">
        <v>15</v>
      </c>
      <c r="B22" s="114" t="s">
        <v>12</v>
      </c>
      <c r="C22" s="109" t="e">
        <f>VLOOKUP(Table257519913140106110151155170178204245[[#This Row],[PEG]],Table1016[#All],2,FALSE)</f>
        <v>#N/A</v>
      </c>
      <c r="D22" s="117"/>
      <c r="E22" s="125" t="e">
        <f>VLOOKUP(Table257519913140106110151155170178204245[[#This Row],[PEG]],Table1016[#All],3,FALSE)</f>
        <v>#N/A</v>
      </c>
    </row>
    <row r="23" spans="1:5" x14ac:dyDescent="0.35">
      <c r="A23" s="118">
        <v>16</v>
      </c>
      <c r="B23" s="114" t="s">
        <v>115</v>
      </c>
      <c r="C23" s="109" t="e">
        <f>VLOOKUP(Table257519913140106110151155170178204245[[#This Row],[PEG]],Table1016[#All],2,FALSE)</f>
        <v>#N/A</v>
      </c>
      <c r="D23" s="117"/>
      <c r="E23" s="125" t="e">
        <f>VLOOKUP(Table257519913140106110151155170178204245[[#This Row],[PEG]],Table1016[#All],3,FALSE)</f>
        <v>#N/A</v>
      </c>
    </row>
    <row r="24" spans="1:5" x14ac:dyDescent="0.35">
      <c r="A24" s="118">
        <v>17</v>
      </c>
      <c r="B24" s="114" t="s">
        <v>114</v>
      </c>
      <c r="C24" s="109" t="e">
        <f>VLOOKUP(Table257519913140106110151155170178204245[[#This Row],[PEG]],Table1016[#All],2,FALSE)</f>
        <v>#N/A</v>
      </c>
      <c r="D24" s="117"/>
      <c r="E24" s="125" t="e">
        <f>VLOOKUP(Table257519913140106110151155170178204245[[#This Row],[PEG]],Table1016[#All],3,FALSE)</f>
        <v>#N/A</v>
      </c>
    </row>
    <row r="25" spans="1:5" x14ac:dyDescent="0.35">
      <c r="A25" s="118">
        <v>18</v>
      </c>
      <c r="B25" s="114" t="s">
        <v>12</v>
      </c>
      <c r="C25" s="109" t="e">
        <f>VLOOKUP(Table257519913140106110151155170178204245[[#This Row],[PEG]],Table1016[#All],2,FALSE)</f>
        <v>#N/A</v>
      </c>
      <c r="D25" s="117"/>
      <c r="E25" s="125" t="e">
        <f>VLOOKUP(Table257519913140106110151155170178204245[[#This Row],[PEG]],Table1016[#All],3,FALSE)</f>
        <v>#N/A</v>
      </c>
    </row>
    <row r="26" spans="1:5" x14ac:dyDescent="0.35">
      <c r="A26" s="118">
        <v>19</v>
      </c>
      <c r="B26" s="114" t="s">
        <v>12</v>
      </c>
      <c r="C26" s="109" t="e">
        <f>VLOOKUP(Table257519913140106110151155170178204245[[#This Row],[PEG]],Table1016[#All],2,FALSE)</f>
        <v>#N/A</v>
      </c>
      <c r="D26" s="117"/>
      <c r="E26" s="125" t="e">
        <f>VLOOKUP(Table257519913140106110151155170178204245[[#This Row],[PEG]],Table1016[#All],3,FALSE)</f>
        <v>#N/A</v>
      </c>
    </row>
    <row r="27" spans="1:5" x14ac:dyDescent="0.35">
      <c r="A27" s="118">
        <v>20</v>
      </c>
      <c r="B27" s="114" t="s">
        <v>115</v>
      </c>
      <c r="C27" s="109" t="e">
        <f>VLOOKUP(Table257519913140106110151155170178204245[[#This Row],[PEG]],Table1016[#All],2,FALSE)</f>
        <v>#N/A</v>
      </c>
      <c r="D27" s="117"/>
      <c r="E27" s="125" t="e">
        <f>VLOOKUP(Table257519913140106110151155170178204245[[#This Row],[PEG]],Table1016[#All],3,FALSE)</f>
        <v>#N/A</v>
      </c>
    </row>
    <row r="28" spans="1:5" x14ac:dyDescent="0.35">
      <c r="A28" s="118">
        <v>21</v>
      </c>
      <c r="B28" s="114" t="s">
        <v>114</v>
      </c>
      <c r="C28" s="109" t="e">
        <f>VLOOKUP(Table257519913140106110151155170178204245[[#This Row],[PEG]],Table1016[#All],2,FALSE)</f>
        <v>#N/A</v>
      </c>
      <c r="D28" s="117"/>
      <c r="E28" s="125" t="e">
        <f>VLOOKUP(Table257519913140106110151155170178204245[[#This Row],[PEG]],Table1016[#All],3,FALSE)</f>
        <v>#N/A</v>
      </c>
    </row>
    <row r="29" spans="1:5" x14ac:dyDescent="0.35">
      <c r="A29" s="118">
        <v>22</v>
      </c>
      <c r="B29" s="114" t="s">
        <v>12</v>
      </c>
      <c r="C29" s="109" t="e">
        <f>VLOOKUP(Table257519913140106110151155170178204245[[#This Row],[PEG]],Table1016[#All],2,FALSE)</f>
        <v>#N/A</v>
      </c>
      <c r="D29" s="117"/>
      <c r="E29" s="125" t="e">
        <f>VLOOKUP(Table257519913140106110151155170178204245[[#This Row],[PEG]],Table1016[#All],3,FALSE)</f>
        <v>#N/A</v>
      </c>
    </row>
    <row r="30" spans="1:5" x14ac:dyDescent="0.35">
      <c r="A30" s="118">
        <v>23</v>
      </c>
      <c r="B30" s="114" t="s">
        <v>12</v>
      </c>
      <c r="C30" s="109" t="e">
        <f>VLOOKUP(Table257519913140106110151155170178204245[[#This Row],[PEG]],Table1016[#All],2,FALSE)</f>
        <v>#N/A</v>
      </c>
      <c r="D30" s="117"/>
      <c r="E30" s="125" t="e">
        <f>VLOOKUP(Table257519913140106110151155170178204245[[#This Row],[PEG]],Table1016[#All],3,FALSE)</f>
        <v>#N/A</v>
      </c>
    </row>
    <row r="31" spans="1:5" x14ac:dyDescent="0.35">
      <c r="A31" s="118">
        <v>24</v>
      </c>
      <c r="B31" s="114" t="s">
        <v>115</v>
      </c>
      <c r="C31" s="109" t="e">
        <f>VLOOKUP(Table257519913140106110151155170178204245[[#This Row],[PEG]],Table1016[#All],2,FALSE)</f>
        <v>#N/A</v>
      </c>
      <c r="D31" s="117"/>
      <c r="E31" s="125" t="e">
        <f>VLOOKUP(Table257519913140106110151155170178204245[[#This Row],[PEG]],Table1016[#All],3,FALSE)</f>
        <v>#N/A</v>
      </c>
    </row>
    <row r="32" spans="1:5" x14ac:dyDescent="0.35">
      <c r="A32" s="118">
        <v>25</v>
      </c>
      <c r="B32" s="114" t="s">
        <v>115</v>
      </c>
      <c r="C32" s="109" t="e">
        <f>VLOOKUP(Table257519913140106110151155170178204245[[#This Row],[PEG]],Table1016[#All],2,FALSE)</f>
        <v>#N/A</v>
      </c>
      <c r="D32" s="117"/>
      <c r="E32" s="125" t="e">
        <f>VLOOKUP(Table257519913140106110151155170178204245[[#This Row],[PEG]],Table1016[#All],3,FALSE)</f>
        <v>#N/A</v>
      </c>
    </row>
    <row r="33" spans="1:5" x14ac:dyDescent="0.35">
      <c r="A33" s="118">
        <v>26</v>
      </c>
      <c r="B33" s="114" t="s">
        <v>124</v>
      </c>
      <c r="C33" s="109" t="e">
        <f>VLOOKUP(Table257519913140106110151155170178204245[[#This Row],[PEG]],Table1016[#All],2,FALSE)</f>
        <v>#N/A</v>
      </c>
      <c r="D33" s="117"/>
      <c r="E33" s="125" t="e">
        <f>VLOOKUP(Table257519913140106110151155170178204245[[#This Row],[PEG]],Table1016[#All],3,FALSE)</f>
        <v>#N/A</v>
      </c>
    </row>
    <row r="34" spans="1:5" x14ac:dyDescent="0.35">
      <c r="A34" s="118">
        <v>27</v>
      </c>
      <c r="B34" s="114" t="s">
        <v>115</v>
      </c>
      <c r="C34" s="109" t="e">
        <f>VLOOKUP(Table257519913140106110151155170178204245[[#This Row],[PEG]],Table1016[#All],2,FALSE)</f>
        <v>#N/A</v>
      </c>
      <c r="D34" s="117"/>
      <c r="E34" s="125" t="e">
        <f>VLOOKUP(Table257519913140106110151155170178204245[[#This Row],[PEG]],Table1016[#All],3,FALSE)</f>
        <v>#N/A</v>
      </c>
    </row>
    <row r="35" spans="1:5" x14ac:dyDescent="0.35">
      <c r="A35" s="118">
        <v>28</v>
      </c>
      <c r="B35" s="114" t="s">
        <v>124</v>
      </c>
      <c r="C35" s="109" t="e">
        <f>VLOOKUP(Table257519913140106110151155170178204245[[#This Row],[PEG]],Table1016[#All],2,FALSE)</f>
        <v>#N/A</v>
      </c>
      <c r="D35" s="117"/>
      <c r="E35" s="125" t="e">
        <f>VLOOKUP(Table257519913140106110151155170178204245[[#This Row],[PEG]],Table1016[#All],3,FALSE)</f>
        <v>#N/A</v>
      </c>
    </row>
    <row r="36" spans="1:5" x14ac:dyDescent="0.35">
      <c r="A36" s="118">
        <v>29</v>
      </c>
      <c r="B36" s="114" t="s">
        <v>115</v>
      </c>
      <c r="C36" s="109" t="e">
        <f>VLOOKUP(Table257519913140106110151155170178204245[[#This Row],[PEG]],Table1016[#All],2,FALSE)</f>
        <v>#N/A</v>
      </c>
      <c r="D36" s="117"/>
      <c r="E36" s="125" t="e">
        <f>VLOOKUP(Table257519913140106110151155170178204245[[#This Row],[PEG]],Table1016[#All],3,FALSE)</f>
        <v>#N/A</v>
      </c>
    </row>
    <row r="37" spans="1:5" x14ac:dyDescent="0.35">
      <c r="A37" s="118">
        <v>30</v>
      </c>
      <c r="B37" s="114" t="s">
        <v>12</v>
      </c>
      <c r="C37" s="109" t="e">
        <f>VLOOKUP(Table257519913140106110151155170178204245[[#This Row],[PEG]],Table1016[#All],2,FALSE)</f>
        <v>#N/A</v>
      </c>
      <c r="D37" s="117"/>
      <c r="E37" s="125" t="e">
        <f>VLOOKUP(Table257519913140106110151155170178204245[[#This Row],[PEG]],Table1016[#All],3,FALSE)</f>
        <v>#N/A</v>
      </c>
    </row>
    <row r="38" spans="1:5" x14ac:dyDescent="0.35">
      <c r="A38" s="118">
        <v>31</v>
      </c>
      <c r="B38" s="114" t="s">
        <v>12</v>
      </c>
      <c r="C38" s="109" t="e">
        <f>VLOOKUP(Table257519913140106110151155170178204245[[#This Row],[PEG]],Table1016[#All],2,FALSE)</f>
        <v>#N/A</v>
      </c>
      <c r="D38" s="117"/>
      <c r="E38" s="125" t="e">
        <f>VLOOKUP(Table257519913140106110151155170178204245[[#This Row],[PEG]],Table1016[#All],3,FALSE)</f>
        <v>#N/A</v>
      </c>
    </row>
    <row r="39" spans="1:5" x14ac:dyDescent="0.35">
      <c r="A39" s="118">
        <v>32</v>
      </c>
      <c r="B39" s="114" t="s">
        <v>12</v>
      </c>
      <c r="C39" s="109" t="e">
        <f>VLOOKUP(Table257519913140106110151155170178204245[[#This Row],[PEG]],Table1016[#All],2,FALSE)</f>
        <v>#N/A</v>
      </c>
      <c r="D39" s="117"/>
      <c r="E39" s="125" t="e">
        <f>VLOOKUP(Table257519913140106110151155170178204245[[#This Row],[PEG]],Table1016[#All],3,FALSE)</f>
        <v>#N/A</v>
      </c>
    </row>
    <row r="40" spans="1:5" x14ac:dyDescent="0.35">
      <c r="A40" s="118">
        <v>33</v>
      </c>
      <c r="B40" s="114" t="s">
        <v>12</v>
      </c>
      <c r="C40" s="109" t="e">
        <f>VLOOKUP(Table257519913140106110151155170178204245[[#This Row],[PEG]],Table1016[#All],2,FALSE)</f>
        <v>#N/A</v>
      </c>
      <c r="D40" s="117"/>
      <c r="E40" s="125" t="e">
        <f>VLOOKUP(Table257519913140106110151155170178204245[[#This Row],[PEG]],Table1016[#All],3,FALSE)</f>
        <v>#N/A</v>
      </c>
    </row>
    <row r="41" spans="1:5" x14ac:dyDescent="0.35">
      <c r="A41" s="118">
        <v>34</v>
      </c>
      <c r="B41" s="114" t="s">
        <v>115</v>
      </c>
      <c r="C41" s="109" t="e">
        <f>VLOOKUP(Table257519913140106110151155170178204245[[#This Row],[PEG]],Table1016[#All],2,FALSE)</f>
        <v>#N/A</v>
      </c>
      <c r="D41" s="117"/>
      <c r="E41" s="125" t="e">
        <f>VLOOKUP(Table257519913140106110151155170178204245[[#This Row],[PEG]],Table1016[#All],3,FALSE)</f>
        <v>#N/A</v>
      </c>
    </row>
    <row r="42" spans="1:5" x14ac:dyDescent="0.35">
      <c r="A42" s="118">
        <v>35</v>
      </c>
      <c r="B42" s="114" t="s">
        <v>12</v>
      </c>
      <c r="C42" s="109" t="e">
        <f>VLOOKUP(Table257519913140106110151155170178204245[[#This Row],[PEG]],Table1016[#All],2,FALSE)</f>
        <v>#N/A</v>
      </c>
      <c r="D42" s="115"/>
      <c r="E42" s="125" t="e">
        <f>VLOOKUP(Table257519913140106110151155170178204245[[#This Row],[PEG]],Table1016[#All],3,FALSE)</f>
        <v>#N/A</v>
      </c>
    </row>
    <row r="43" spans="1:5" x14ac:dyDescent="0.35">
      <c r="A43" s="118">
        <v>36</v>
      </c>
      <c r="B43" s="114" t="s">
        <v>115</v>
      </c>
      <c r="C43" s="109" t="e">
        <f>VLOOKUP(Table257519913140106110151155170178204245[[#This Row],[PEG]],Table1016[#All],2,FALSE)</f>
        <v>#N/A</v>
      </c>
      <c r="D43" s="115"/>
      <c r="E43" s="125" t="e">
        <f>VLOOKUP(Table257519913140106110151155170178204245[[#This Row],[PEG]],Table1016[#All],3,FALSE)</f>
        <v>#N/A</v>
      </c>
    </row>
    <row r="44" spans="1:5" x14ac:dyDescent="0.35">
      <c r="A44" s="118">
        <v>37</v>
      </c>
      <c r="B44" s="114" t="s">
        <v>13</v>
      </c>
      <c r="C44" s="18" t="s">
        <v>13</v>
      </c>
      <c r="D44" s="115"/>
      <c r="E44" s="32"/>
    </row>
  </sheetData>
  <mergeCells count="1">
    <mergeCell ref="A1:B1"/>
  </mergeCells>
  <conditionalFormatting sqref="B8:B18">
    <cfRule type="containsText" dxfId="579" priority="1" operator="containsText" text="Hear">
      <formula>NOT(ISERROR(SEARCH("Hear",B8)))</formula>
    </cfRule>
  </conditionalFormatting>
  <conditionalFormatting sqref="B30">
    <cfRule type="containsText" dxfId="578" priority="4" operator="containsText" text="Hear">
      <formula>NOT(ISERROR(SEARCH("Hear",B30)))</formula>
    </cfRule>
  </conditionalFormatting>
  <conditionalFormatting sqref="B43:B44">
    <cfRule type="containsText" dxfId="577" priority="8" operator="containsText" text="Hear">
      <formula>NOT(ISERROR(SEARCH("Hear",B43)))</formula>
    </cfRule>
  </conditionalFormatting>
  <conditionalFormatting sqref="E44">
    <cfRule type="containsText" dxfId="576" priority="6" operator="containsText" text="WEB SERVICE">
      <formula>NOT(ISERROR(SEARCH("WEB SERVICE",E44)))</formula>
    </cfRule>
    <cfRule type="containsText" dxfId="575" priority="7" operator="containsText" text="DB">
      <formula>NOT(ISERROR(SEARCH("DB",E44)))</formula>
    </cfRule>
  </conditionalFormatting>
  <conditionalFormatting sqref="C44">
    <cfRule type="expression" dxfId="574" priority="9">
      <formula>$B44="Dial"</formula>
    </cfRule>
  </conditionalFormatting>
  <conditionalFormatting sqref="C44">
    <cfRule type="expression" dxfId="573" priority="3">
      <formula>$B44="Speak"</formula>
    </cfRule>
  </conditionalFormatting>
  <conditionalFormatting sqref="B19:B29 B31:B35 B42">
    <cfRule type="containsText" dxfId="572" priority="5" operator="containsText" text="Hear">
      <formula>NOT(ISERROR(SEARCH("Hear",B19)))</formula>
    </cfRule>
  </conditionalFormatting>
  <hyperlinks>
    <hyperlink ref="A1" location="'Test Case Overview'!A1" display="Return to Test Case Overview" xr:uid="{0F7502D5-A619-40B2-8FE0-47EAECD889E2}"/>
  </hyperlinks>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expression" priority="2" id="{0FE9C822-CBF9-4287-9ABD-F0A3FDA74D63}">
            <xm:f>'TC1'!$B8="HANGUP"</xm:f>
            <x14:dxf>
              <font>
                <b/>
                <i val="0"/>
              </font>
            </x14:dxf>
          </x14:cfRule>
          <xm:sqref>C8</xm:sqref>
        </x14:conditionalFormatting>
        <x14:conditionalFormatting xmlns:xm="http://schemas.microsoft.com/office/excel/2006/main">
          <x14:cfRule type="expression" priority="3318" id="{0FE9C822-CBF9-4287-9ABD-F0A3FDA74D63}">
            <xm:f>'TC1'!$B16="HANGUP"</xm:f>
            <x14:dxf>
              <font>
                <b/>
                <i val="0"/>
              </font>
            </x14:dxf>
          </x14:cfRule>
          <xm:sqref>C34:C43</xm:sqref>
        </x14:conditionalFormatting>
        <x14:conditionalFormatting xmlns:xm="http://schemas.microsoft.com/office/excel/2006/main">
          <x14:cfRule type="expression" priority="3319" id="{0FE9C822-CBF9-4287-9ABD-F0A3FDA74D63}">
            <xm:f>'TC1'!#REF!="HANGUP"</xm:f>
            <x14:dxf>
              <font>
                <b/>
                <i val="0"/>
              </font>
            </x14:dxf>
          </x14:cfRule>
          <xm:sqref>C17:C33</xm:sqref>
        </x14:conditionalFormatting>
        <x14:conditionalFormatting xmlns:xm="http://schemas.microsoft.com/office/excel/2006/main">
          <x14:cfRule type="expression" priority="5932" id="{0FE9C822-CBF9-4287-9ABD-F0A3FDA74D63}">
            <xm:f>'TC1'!$B9="HANGUP"</xm:f>
            <x14:dxf>
              <font>
                <b/>
                <i val="0"/>
              </font>
            </x14:dxf>
          </x14:cfRule>
          <xm:sqref>C12:C15</xm:sqref>
        </x14:conditionalFormatting>
        <x14:conditionalFormatting xmlns:xm="http://schemas.microsoft.com/office/excel/2006/main">
          <x14:cfRule type="expression" priority="5933" id="{0FE9C822-CBF9-4287-9ABD-F0A3FDA74D63}">
            <xm:f>'TC1'!#REF!="HANGUP"</xm:f>
            <x14:dxf>
              <font>
                <b/>
                <i val="0"/>
              </font>
            </x14:dxf>
          </x14:cfRule>
          <xm:sqref>C9:C11</xm:sqref>
        </x14:conditionalFormatting>
        <x14:conditionalFormatting xmlns:xm="http://schemas.microsoft.com/office/excel/2006/main">
          <x14:cfRule type="expression" priority="8112" id="{0FE9C822-CBF9-4287-9ABD-F0A3FDA74D63}">
            <xm:f>'TC1'!$B15="HANGUP"</xm:f>
            <x14:dxf>
              <font>
                <b/>
                <i val="0"/>
              </font>
            </x14:dxf>
          </x14:cfRule>
          <xm:sqref>C16</xm:sqref>
        </x14:conditionalFormatting>
      </x14:conditionalFormatting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8"/>
  <dimension ref="A1:E45"/>
  <sheetViews>
    <sheetView zoomScaleNormal="100" workbookViewId="0">
      <selection sqref="A1:B1"/>
    </sheetView>
  </sheetViews>
  <sheetFormatPr defaultRowHeight="14.5" x14ac:dyDescent="0.35"/>
  <cols>
    <col min="1" max="1" width="14.453125" style="97" bestFit="1" customWidth="1"/>
    <col min="2" max="2" width="42.6328125" style="97" customWidth="1"/>
    <col min="3" max="3" width="106.1796875" style="98" customWidth="1"/>
    <col min="4" max="4" width="21.81640625" style="111" bestFit="1" customWidth="1"/>
    <col min="5" max="5" width="20.6328125" style="97" customWidth="1"/>
  </cols>
  <sheetData>
    <row r="1" spans="1:5" ht="18.5" x14ac:dyDescent="0.35">
      <c r="A1" s="192" t="s">
        <v>4</v>
      </c>
      <c r="B1" s="192"/>
      <c r="C1" s="105"/>
    </row>
    <row r="2" spans="1:5" x14ac:dyDescent="0.35">
      <c r="A2" s="106" t="s">
        <v>5</v>
      </c>
      <c r="B2" s="107" t="str">
        <f ca="1">MID(CELL("filename",A1),FIND("]",CELL("filename",A1))+1,LEN(CELL("filename",A1))-FIND("]",CELL("filename",A1)))</f>
        <v>TC16</v>
      </c>
    </row>
    <row r="3" spans="1:5" x14ac:dyDescent="0.35">
      <c r="A3" s="104" t="s">
        <v>19</v>
      </c>
      <c r="B3" s="112">
        <f ca="1">VLOOKUP(B2,Table1[#All],2,FALSE)</f>
        <v>0</v>
      </c>
    </row>
    <row r="4" spans="1:5" ht="29" x14ac:dyDescent="0.35">
      <c r="A4" s="113" t="s">
        <v>20</v>
      </c>
      <c r="B4" s="99" t="str">
        <f ca="1">VLOOKUP(B2,Table1[#All],4,FALSE)</f>
        <v>Last Payment, Current Due, Pay In Full, Stored Pmt, SMS Yes</v>
      </c>
    </row>
    <row r="5" spans="1:5" ht="14.5" customHeight="1" x14ac:dyDescent="0.35">
      <c r="A5" s="104" t="s">
        <v>6</v>
      </c>
      <c r="B5" s="93" t="str">
        <f ca="1">VLOOKUP(B2,Table1[#All],3,FALSE)</f>
        <v>SMS to ANI - YES</v>
      </c>
    </row>
    <row r="7" spans="1:5" ht="15.5" x14ac:dyDescent="0.35">
      <c r="A7" s="100" t="s">
        <v>7</v>
      </c>
      <c r="B7" s="101" t="s">
        <v>8</v>
      </c>
      <c r="C7" s="102" t="s">
        <v>9</v>
      </c>
      <c r="D7" s="102" t="s">
        <v>14</v>
      </c>
      <c r="E7" s="103" t="s">
        <v>10</v>
      </c>
    </row>
    <row r="8" spans="1:5" s="97" customFormat="1" x14ac:dyDescent="0.35">
      <c r="A8" s="118">
        <v>1</v>
      </c>
      <c r="B8" s="114" t="s">
        <v>114</v>
      </c>
      <c r="C8" s="127" t="s">
        <v>240</v>
      </c>
      <c r="D8" s="128"/>
      <c r="E8" s="125" t="s">
        <v>11</v>
      </c>
    </row>
    <row r="9" spans="1:5" s="97" customFormat="1" x14ac:dyDescent="0.35">
      <c r="A9" s="118">
        <v>2</v>
      </c>
      <c r="B9" s="114" t="s">
        <v>115</v>
      </c>
      <c r="C9" s="109" t="str">
        <f>VLOOKUP(Table2575525269101343[[#This Row],[PEG]],Table1016[#All],2,FALSE)</f>
        <v>To get started, tell me your Account Number</v>
      </c>
      <c r="D9" s="141" t="s">
        <v>245</v>
      </c>
      <c r="E9" s="125" t="str">
        <f>VLOOKUP(Table2575525269101343[[#This Row],[PEG]],Table1016[#All],3,FALSE)</f>
        <v>Prompt</v>
      </c>
    </row>
    <row r="10" spans="1:5" s="97" customFormat="1" x14ac:dyDescent="0.35">
      <c r="A10" s="118">
        <v>3</v>
      </c>
      <c r="B10" s="114" t="s">
        <v>124</v>
      </c>
      <c r="C10" s="109" t="s">
        <v>412</v>
      </c>
      <c r="D10" s="151"/>
      <c r="E10" s="125" t="e">
        <f>VLOOKUP(Table2575525269101343[[#This Row],[PEG]],Table1016[#All],3,FALSE)</f>
        <v>#N/A</v>
      </c>
    </row>
    <row r="11" spans="1:5" s="97" customFormat="1" ht="174" x14ac:dyDescent="0.35">
      <c r="A11" s="118">
        <v>4</v>
      </c>
      <c r="B11" s="114" t="s">
        <v>12</v>
      </c>
      <c r="C11" s="109" t="str">
        <f>VLOOKUP(Table2575525269101343[[#This Row],[PEG]],Table1016[#All],2,FALSE)</f>
        <v>SAP HANA – SAP01_GetMember
inputs:
idnumber = iIdnumber	T
idtype 	= iIdtype
outputs:
~ Billing Reference
~ Enrollment Details
~ Billing Details
~ Last Payment
~ Recurring Payment Method
~ Stored Payment Method</v>
      </c>
      <c r="D11" s="152" t="s">
        <v>371</v>
      </c>
      <c r="E11" s="125" t="str">
        <f>VLOOKUP(Table2575525269101343[[#This Row],[PEG]],Table1016[#All],3,FALSE)</f>
        <v>DB</v>
      </c>
    </row>
    <row r="12" spans="1:5" x14ac:dyDescent="0.35">
      <c r="A12" s="118">
        <v>5</v>
      </c>
      <c r="B12" s="114" t="s">
        <v>115</v>
      </c>
      <c r="C12" s="109" t="str">
        <f>VLOOKUP(Table2575525269101343[[#This Row],[PEG]],Table1016[#All],2,FALSE)</f>
        <v>Thanks, I found your account!</v>
      </c>
      <c r="D12" s="141" t="s">
        <v>248</v>
      </c>
      <c r="E12" s="125" t="str">
        <f>VLOOKUP(Table2575525269101343[[#This Row],[PEG]],Table1016[#All],3,FALSE)</f>
        <v>Prompt</v>
      </c>
    </row>
    <row r="13" spans="1:5" x14ac:dyDescent="0.35">
      <c r="A13" s="118">
        <v>6</v>
      </c>
      <c r="B13" s="114" t="s">
        <v>115</v>
      </c>
      <c r="C13" s="109" t="str">
        <f>VLOOKUP(Table2575525269101343[[#This Row],[PEG]],Table1016[#All],2,FALSE)</f>
        <v>Your last payment of &lt;SAP01_ivrLastPaymentAmount&gt; was received on &lt;SAP01_ivrLastPaymentDate&gt;</v>
      </c>
      <c r="D13" s="141" t="s">
        <v>257</v>
      </c>
      <c r="E13" s="125" t="str">
        <f>VLOOKUP(Table2575525269101343[[#This Row],[PEG]],Table1016[#All],3,FALSE)</f>
        <v>Prompt</v>
      </c>
    </row>
    <row r="14" spans="1:5" x14ac:dyDescent="0.35">
      <c r="A14" s="118">
        <v>7</v>
      </c>
      <c r="B14" s="114" t="s">
        <v>115</v>
      </c>
      <c r="C14" s="130" t="str">
        <f>VLOOKUP(Table2575525269101343[[#This Row],[PEG]],Table1016[#All],2,FALSE)</f>
        <v>A current balance of &lt;SAP01_CurrentDue&gt; is due by &lt;SAP01_Duedate&gt;.</v>
      </c>
      <c r="D14" s="142" t="s">
        <v>258</v>
      </c>
      <c r="E14" s="125" t="str">
        <f>VLOOKUP(Table2575525269101343[[#This Row],[PEG]],Table1016[#All],3,FALSE)</f>
        <v>Prompt</v>
      </c>
    </row>
    <row r="15" spans="1:5" x14ac:dyDescent="0.35">
      <c r="A15" s="118">
        <v>8</v>
      </c>
      <c r="B15" s="114" t="s">
        <v>115</v>
      </c>
      <c r="C15" s="109" t="str">
        <f>VLOOKUP(Table2575525269101343[[#This Row],[PEG]],Table1016[#All],2,FALSE)</f>
        <v>Would you like to pay this in full today?</v>
      </c>
      <c r="D15" s="142" t="s">
        <v>260</v>
      </c>
      <c r="E15" s="125" t="str">
        <f>VLOOKUP(Table2575525269101343[[#This Row],[PEG]],Table1016[#All],3,FALSE)</f>
        <v>Prompt</v>
      </c>
    </row>
    <row r="16" spans="1:5" x14ac:dyDescent="0.35">
      <c r="A16" s="118">
        <v>9</v>
      </c>
      <c r="B16" s="114" t="s">
        <v>124</v>
      </c>
      <c r="C16" s="127" t="s">
        <v>388</v>
      </c>
      <c r="D16" s="143"/>
      <c r="E16" s="125" t="e">
        <f>VLOOKUP(Table2575525269101343[[#This Row],[PEG]],Table1016[#All],3,FALSE)</f>
        <v>#N/A</v>
      </c>
    </row>
    <row r="17" spans="1:5" s="97" customFormat="1" x14ac:dyDescent="0.35">
      <c r="A17" s="118">
        <v>10</v>
      </c>
      <c r="B17" s="114" t="s">
        <v>115</v>
      </c>
      <c r="C17" s="109" t="str">
        <f>VLOOKUP(Table2575525269101343[[#This Row],[PEG]],Table1016[#All],2,FALSE)</f>
        <v>Do you want to use the checking account on file ending in &lt;SAP01_ivrStoredPmtLast4Digits&gt;.</v>
      </c>
      <c r="D17" s="143" t="s">
        <v>275</v>
      </c>
      <c r="E17" s="125" t="str">
        <f>VLOOKUP(Table2575525269101343[[#This Row],[PEG]],Table1016[#All],3,FALSE)</f>
        <v>Prompt</v>
      </c>
    </row>
    <row r="18" spans="1:5" s="97" customFormat="1" x14ac:dyDescent="0.35">
      <c r="A18" s="118">
        <v>11</v>
      </c>
      <c r="B18" s="114" t="s">
        <v>124</v>
      </c>
      <c r="C18" s="109" t="s">
        <v>388</v>
      </c>
      <c r="D18" s="117"/>
      <c r="E18" s="125" t="e">
        <f>VLOOKUP(Table2575525269101343[[#This Row],[PEG]],Table1016[#All],3,FALSE)</f>
        <v>#N/A</v>
      </c>
    </row>
    <row r="19" spans="1:5" s="97" customFormat="1" ht="29" x14ac:dyDescent="0.35">
      <c r="A19" s="118">
        <v>12</v>
      </c>
      <c r="B19" s="114" t="s">
        <v>115</v>
      </c>
      <c r="C19" s="109" t="str">
        <f>VLOOKUP(Table2575525269101343[[#This Row],[PEG]],Table1016[#All],2,FALSE)</f>
        <v>To confirm, you want to pay &lt;ivrPmtAmt&gt; with the account ending in &lt;SAP01_ivrStoredPmtLast4Digits&gt;
Is that right?</v>
      </c>
      <c r="D19" s="143" t="s">
        <v>391</v>
      </c>
      <c r="E19" s="125">
        <f>VLOOKUP(Table2575525269101343[[#This Row],[PEG]],Table1016[#All],3,FALSE)</f>
        <v>0</v>
      </c>
    </row>
    <row r="20" spans="1:5" s="97" customFormat="1" x14ac:dyDescent="0.35">
      <c r="A20" s="118">
        <v>13</v>
      </c>
      <c r="B20" s="114" t="s">
        <v>124</v>
      </c>
      <c r="C20" s="109" t="s">
        <v>388</v>
      </c>
      <c r="D20" s="117"/>
      <c r="E20" s="125" t="e">
        <f>VLOOKUP(Table2575525269101343[[#This Row],[PEG]],Table1016[#All],3,FALSE)</f>
        <v>#N/A</v>
      </c>
    </row>
    <row r="21" spans="1:5" ht="188.5" x14ac:dyDescent="0.35">
      <c r="A21" s="118">
        <v>14</v>
      </c>
      <c r="B21" s="114" t="s">
        <v>12</v>
      </c>
      <c r="C21" s="109" t="str">
        <f>VLOOKUP(Table2575525269101343[[#This Row],[PEG]],Table1016[#All],2,FALSE)</f>
        <v xml:space="preserve">SAP HANA - SAP02_EFTPaymentNotification
inputs: 
Businesspartner = SAP01_Partner 
Insobject = SAP01_Insobject 
BankKey = ivrBankKey 
BankAcct = ivrBankAcct 
Accountholder = ivrAccountHolder 
BankAccountType = ivrBankAccountType 
RecurringBank = ivrRecurringBank  
StoredBank = ivrPmtMethodStored 
PaymentAmount = ivrPmtAmt 
outputs: 
SAP02_ConfirmationNum Payment Confirmation Number (i.e. 300000000105) </v>
      </c>
      <c r="D21" s="117" t="s">
        <v>373</v>
      </c>
      <c r="E21" s="125" t="str">
        <f>VLOOKUP(Table2575525269101343[[#This Row],[PEG]],Table1016[#All],3,FALSE)</f>
        <v>DB</v>
      </c>
    </row>
    <row r="22" spans="1:5" s="97" customFormat="1" ht="29" x14ac:dyDescent="0.35">
      <c r="A22" s="118">
        <v>15</v>
      </c>
      <c r="B22" s="114" t="s">
        <v>115</v>
      </c>
      <c r="C22" s="109" t="str">
        <f>VLOOKUP(Table2575525269101343[[#This Row],[PEG]],Table1016[#All],2,FALSE)</f>
        <v>Today's payment in the amount of &lt;ivrPmtAmt&gt;, has been processed.  Your confirmation number is &lt;ivrConfirmationNum&gt;. Again, that confirmation number is &lt;ivrConfirmationNum&gt;.</v>
      </c>
      <c r="D22" s="117" t="s">
        <v>340</v>
      </c>
      <c r="E22" s="125" t="str">
        <f>VLOOKUP(Table2575525269101343[[#This Row],[PEG]],Table1016[#All],3,FALSE)</f>
        <v>Prompt</v>
      </c>
    </row>
    <row r="23" spans="1:5" s="97" customFormat="1" x14ac:dyDescent="0.35">
      <c r="A23" s="118">
        <v>16</v>
      </c>
      <c r="B23" s="114" t="s">
        <v>115</v>
      </c>
      <c r="C23" s="109" t="str">
        <f>VLOOKUP(Table2575525269101343[[#This Row],[PEG]],Table1016[#All],2,FALSE)</f>
        <v>Would you like me to text the confirmation to the phone number ending in &lt;Last 4 ANI digits&gt;?</v>
      </c>
      <c r="D23" s="117" t="s">
        <v>344</v>
      </c>
      <c r="E23" s="125" t="str">
        <f>VLOOKUP(Table2575525269101343[[#This Row],[PEG]],Table1016[#All],3,FALSE)</f>
        <v>Prompt</v>
      </c>
    </row>
    <row r="24" spans="1:5" s="97" customFormat="1" x14ac:dyDescent="0.35">
      <c r="A24" s="118">
        <v>17</v>
      </c>
      <c r="B24" s="114" t="s">
        <v>124</v>
      </c>
      <c r="C24" s="109" t="s">
        <v>388</v>
      </c>
      <c r="D24" s="117"/>
      <c r="E24" s="125" t="e">
        <f>VLOOKUP(Table2575525269101343[[#This Row],[PEG]],Table1016[#All],3,FALSE)</f>
        <v>#N/A</v>
      </c>
    </row>
    <row r="25" spans="1:5" s="97" customFormat="1" ht="29" x14ac:dyDescent="0.35">
      <c r="A25" s="118">
        <v>18</v>
      </c>
      <c r="B25" s="114" t="s">
        <v>12</v>
      </c>
      <c r="C25" s="130" t="str">
        <f>VLOOKUP(Table2575525269101343[[#This Row],[PEG]],Table1016[#All],2,FALSE)</f>
        <v>Set ivrSMSMsg=
Your payment confirmation is &lt;ivrConfirmationNum&gt;</v>
      </c>
      <c r="D25" s="117">
        <v>2600</v>
      </c>
      <c r="E25" s="125">
        <f>VLOOKUP(Table2575525269101343[[#This Row],[PEG]],Table1016[#All],3,FALSE)</f>
        <v>0</v>
      </c>
    </row>
    <row r="26" spans="1:5" ht="72.5" x14ac:dyDescent="0.35">
      <c r="A26" s="118">
        <v>19</v>
      </c>
      <c r="B26" s="114" t="s">
        <v>12</v>
      </c>
      <c r="C26" s="130" t="str">
        <f>VLOOKUP(Table2575525269101343[[#This Row],[PEG]],Table1016[#All],2,FALSE)</f>
        <v xml:space="preserve">SMS - SMS01_SendSMSMsg
inputs: 	
from			= CFG02_BillingSMSFromPhone
to 			= ivrSMSPhoneNbr_x000B_body 		= ivrSMSMsg
outputs: </v>
      </c>
      <c r="D26" s="117" t="s">
        <v>425</v>
      </c>
      <c r="E26" s="125">
        <f>VLOOKUP(Table2575525269101343[[#This Row],[PEG]],Table1016[#All],3,FALSE)</f>
        <v>0</v>
      </c>
    </row>
    <row r="27" spans="1:5" ht="29" x14ac:dyDescent="0.35">
      <c r="A27" s="118">
        <v>24</v>
      </c>
      <c r="B27" s="114" t="s">
        <v>115</v>
      </c>
      <c r="C27" s="109" t="str">
        <f>VLOOKUP(Table2575525269101343[[#This Row],[PEG]],Table1016[#All],2,FALSE)</f>
        <v>Thank you for your payment today.  For future transactions, you can access your plan details or manage your account anytime online at members.lacare.com.</v>
      </c>
      <c r="D27" s="115" t="s">
        <v>364</v>
      </c>
      <c r="E27" s="125" t="str">
        <f>VLOOKUP(Table2575525269101343[[#This Row],[PEG]],Table1016[#All],3,FALSE)</f>
        <v>Prompt</v>
      </c>
    </row>
    <row r="28" spans="1:5" s="97" customFormat="1" x14ac:dyDescent="0.35">
      <c r="A28" s="118">
        <v>25</v>
      </c>
      <c r="B28" s="114" t="s">
        <v>13</v>
      </c>
      <c r="C28" s="109" t="s">
        <v>13</v>
      </c>
      <c r="D28" s="115"/>
      <c r="E28" s="125" t="e">
        <f>VLOOKUP(Table2575525269101343[[#This Row],[PEG]],Table1016[#All],3,FALSE)</f>
        <v>#N/A</v>
      </c>
    </row>
    <row r="29" spans="1:5" x14ac:dyDescent="0.35">
      <c r="C29" s="26"/>
    </row>
    <row r="30" spans="1:5" x14ac:dyDescent="0.35">
      <c r="C30" s="26"/>
    </row>
    <row r="31" spans="1:5" x14ac:dyDescent="0.35">
      <c r="C31" s="26"/>
    </row>
    <row r="32" spans="1:5" x14ac:dyDescent="0.35">
      <c r="C32" s="26"/>
    </row>
    <row r="33" spans="3:3" x14ac:dyDescent="0.35">
      <c r="C33" s="26"/>
    </row>
    <row r="34" spans="3:3" x14ac:dyDescent="0.35">
      <c r="C34" s="26"/>
    </row>
    <row r="35" spans="3:3" x14ac:dyDescent="0.35">
      <c r="C35" s="26"/>
    </row>
    <row r="36" spans="3:3" x14ac:dyDescent="0.35">
      <c r="C36" s="26"/>
    </row>
    <row r="37" spans="3:3" x14ac:dyDescent="0.35">
      <c r="C37" s="26"/>
    </row>
    <row r="38" spans="3:3" x14ac:dyDescent="0.35">
      <c r="C38" s="26"/>
    </row>
    <row r="39" spans="3:3" x14ac:dyDescent="0.35">
      <c r="C39" s="26"/>
    </row>
    <row r="40" spans="3:3" x14ac:dyDescent="0.35">
      <c r="C40" s="26"/>
    </row>
    <row r="41" spans="3:3" x14ac:dyDescent="0.35">
      <c r="C41" s="26"/>
    </row>
    <row r="42" spans="3:3" x14ac:dyDescent="0.35">
      <c r="C42" s="26"/>
    </row>
    <row r="43" spans="3:3" x14ac:dyDescent="0.35">
      <c r="C43" s="27"/>
    </row>
    <row r="44" spans="3:3" x14ac:dyDescent="0.35">
      <c r="C44" s="27"/>
    </row>
    <row r="45" spans="3:3" x14ac:dyDescent="0.35">
      <c r="C45" s="27"/>
    </row>
  </sheetData>
  <mergeCells count="1">
    <mergeCell ref="A1:B1"/>
  </mergeCells>
  <conditionalFormatting sqref="C9:C13 C27:C9984">
    <cfRule type="expression" dxfId="5635" priority="45">
      <formula>$B9="Dial"</formula>
    </cfRule>
    <cfRule type="expression" dxfId="5634" priority="47">
      <formula>$B9="HANGUP"</formula>
    </cfRule>
  </conditionalFormatting>
  <conditionalFormatting sqref="C16">
    <cfRule type="expression" dxfId="5633" priority="13">
      <formula>$B16="Dial"</formula>
    </cfRule>
    <cfRule type="expression" dxfId="5632" priority="14">
      <formula>$B16="HANGUP"</formula>
    </cfRule>
  </conditionalFormatting>
  <conditionalFormatting sqref="B8:B28">
    <cfRule type="containsText" dxfId="5631" priority="17" operator="containsText" text="Hear">
      <formula>NOT(ISERROR(SEARCH("Hear",B8)))</formula>
    </cfRule>
  </conditionalFormatting>
  <conditionalFormatting sqref="C15 C17:C24">
    <cfRule type="expression" dxfId="5630" priority="18">
      <formula>$B15="Dial"</formula>
    </cfRule>
    <cfRule type="expression" dxfId="5629" priority="20">
      <formula>$B15="HANGUP"</formula>
    </cfRule>
  </conditionalFormatting>
  <conditionalFormatting sqref="C15 C17:C24 C9:C13 C27:C28">
    <cfRule type="expression" dxfId="5628" priority="19">
      <formula>$B9="Speak"</formula>
    </cfRule>
  </conditionalFormatting>
  <conditionalFormatting sqref="C14 C25">
    <cfRule type="expression" dxfId="5627" priority="15">
      <formula>$B14="Dial"</formula>
    </cfRule>
    <cfRule type="expression" dxfId="5626" priority="16">
      <formula>$B14="HANGUP"</formula>
    </cfRule>
  </conditionalFormatting>
  <conditionalFormatting sqref="C8">
    <cfRule type="expression" dxfId="5625" priority="11">
      <formula>$B8="Dial"</formula>
    </cfRule>
    <cfRule type="expression" dxfId="5624" priority="12">
      <formula>$B8="HANGUP"</formula>
    </cfRule>
  </conditionalFormatting>
  <conditionalFormatting sqref="C26">
    <cfRule type="expression" dxfId="5615" priority="1">
      <formula>$B26="Dial"</formula>
    </cfRule>
    <cfRule type="expression" dxfId="5614" priority="2">
      <formula>$B26="HANGUP"</formula>
    </cfRule>
  </conditionalFormatting>
  <hyperlinks>
    <hyperlink ref="A1" location="'Test Case Overview'!A1" display="Return to Test Case Overview" xr:uid="{00000000-0004-0000-1000-000000000000}"/>
  </hyperlinks>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containsText" priority="766" operator="containsText" text="WEB SERVICE" id="{DB752697-1C50-4CA0-B3EA-E0B65D9DF376}">
            <xm:f>NOT(ISERROR(SEARCH("WEB SERVICE",'TC1'!#REF!)))</xm:f>
            <x14:dxf>
              <font>
                <color rgb="FF9C0006"/>
              </font>
              <fill>
                <patternFill>
                  <bgColor rgb="FFFFC7CE"/>
                </patternFill>
              </fill>
            </x14:dxf>
          </x14:cfRule>
          <x14:cfRule type="containsText" priority="767" operator="containsText" text="DB" id="{54C2F875-2AD8-429C-A085-50AF9150015F}">
            <xm:f>NOT(ISERROR(SEARCH("DB",'TC1'!#REF!)))</xm:f>
            <x14:dxf>
              <font>
                <color rgb="FF006100"/>
              </font>
              <fill>
                <patternFill>
                  <bgColor rgb="FFC6EFCE"/>
                </patternFill>
              </fill>
            </x14:dxf>
          </x14:cfRule>
          <xm:sqref>E14:E26</xm:sqref>
        </x14:conditionalFormatting>
        <x14:conditionalFormatting xmlns:xm="http://schemas.microsoft.com/office/excel/2006/main">
          <x14:cfRule type="containsText" priority="3" operator="containsText" text="WEB SERVICE" id="{6A6F8F38-2217-4D7D-ABD3-3339D14809E6}">
            <xm:f>NOT(ISERROR(SEARCH("WEB SERVICE",'TC1'!#REF!)))</xm:f>
            <x14:dxf>
              <font>
                <color rgb="FF9C0006"/>
              </font>
              <fill>
                <patternFill>
                  <bgColor rgb="FFFFC7CE"/>
                </patternFill>
              </fill>
            </x14:dxf>
          </x14:cfRule>
          <x14:cfRule type="containsText" priority="4" operator="containsText" text="DB" id="{869DFB4B-AC48-45C0-BF05-C8A80468D8BC}">
            <xm:f>NOT(ISERROR(SEARCH("DB",'TC1'!#REF!)))</xm:f>
            <x14:dxf>
              <font>
                <color rgb="FF006100"/>
              </font>
              <fill>
                <patternFill>
                  <bgColor rgb="FFC6EFCE"/>
                </patternFill>
              </fill>
            </x14:dxf>
          </x14:cfRule>
          <xm:sqref>E27:E28</xm:sqref>
        </x14:conditionalFormatting>
        <x14:conditionalFormatting xmlns:xm="http://schemas.microsoft.com/office/excel/2006/main">
          <x14:cfRule type="containsText" priority="3617" operator="containsText" text="WEB SERVICE" id="{DB752697-1C50-4CA0-B3EA-E0B65D9DF376}">
            <xm:f>NOT(ISERROR(SEARCH("WEB SERVICE",'TC1'!E9)))</xm:f>
            <x14:dxf>
              <font>
                <color rgb="FF9C0006"/>
              </font>
              <fill>
                <patternFill>
                  <bgColor rgb="FFFFC7CE"/>
                </patternFill>
              </fill>
            </x14:dxf>
          </x14:cfRule>
          <x14:cfRule type="containsText" priority="3618" operator="containsText" text="DB" id="{54C2F875-2AD8-429C-A085-50AF9150015F}">
            <xm:f>NOT(ISERROR(SEARCH("DB",'TC1'!E9)))</xm:f>
            <x14:dxf>
              <font>
                <color rgb="FF006100"/>
              </font>
              <fill>
                <patternFill>
                  <bgColor rgb="FFC6EFCE"/>
                </patternFill>
              </fill>
            </x14:dxf>
          </x14:cfRule>
          <xm:sqref>E9:E12</xm:sqref>
        </x14:conditionalFormatting>
        <x14:conditionalFormatting xmlns:xm="http://schemas.microsoft.com/office/excel/2006/main">
          <x14:cfRule type="containsText" priority="6187" operator="containsText" text="WEB SERVICE" id="{DB752697-1C50-4CA0-B3EA-E0B65D9DF376}">
            <xm:f>NOT(ISERROR(SEARCH("WEB SERVICE",'TC1'!E15)))</xm:f>
            <x14:dxf>
              <font>
                <color rgb="FF9C0006"/>
              </font>
              <fill>
                <patternFill>
                  <bgColor rgb="FFFFC7CE"/>
                </patternFill>
              </fill>
            </x14:dxf>
          </x14:cfRule>
          <x14:cfRule type="containsText" priority="6188" operator="containsText" text="DB" id="{54C2F875-2AD8-429C-A085-50AF9150015F}">
            <xm:f>NOT(ISERROR(SEARCH("DB",'TC1'!E15)))</xm:f>
            <x14:dxf>
              <font>
                <color rgb="FF006100"/>
              </font>
              <fill>
                <patternFill>
                  <bgColor rgb="FFC6EFCE"/>
                </patternFill>
              </fill>
            </x14:dxf>
          </x14:cfRule>
          <xm:sqref>E13</xm:sqref>
        </x14:conditionalFormatting>
      </x14:conditionalFormattings>
    </ext>
  </extLst>
</worksheet>
</file>

<file path=xl/worksheets/sheet1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900-000000000000}">
  <sheetPr codeName="Sheet171"/>
  <dimension ref="A1:E44"/>
  <sheetViews>
    <sheetView zoomScaleNormal="100" workbookViewId="0">
      <selection sqref="A1:E44"/>
    </sheetView>
  </sheetViews>
  <sheetFormatPr defaultRowHeight="14.5" x14ac:dyDescent="0.35"/>
  <cols>
    <col min="1" max="1" width="14.453125" bestFit="1" customWidth="1"/>
    <col min="2" max="2" width="42.6328125" customWidth="1"/>
    <col min="3" max="3" width="106.1796875" customWidth="1"/>
    <col min="4" max="4" width="21.81640625" bestFit="1" customWidth="1"/>
    <col min="5" max="5" width="20.6328125" customWidth="1"/>
  </cols>
  <sheetData>
    <row r="1" spans="1:5" ht="18.5" x14ac:dyDescent="0.35">
      <c r="A1" s="192" t="s">
        <v>4</v>
      </c>
      <c r="B1" s="192"/>
      <c r="C1" s="105"/>
      <c r="D1" s="111"/>
      <c r="E1" s="97"/>
    </row>
    <row r="2" spans="1:5" x14ac:dyDescent="0.35">
      <c r="A2" s="106" t="s">
        <v>5</v>
      </c>
      <c r="B2" s="107" t="str">
        <f ca="1">MID(CELL("filename",A1),FIND("]",CELL("filename",A1))+1,LEN(CELL("filename",A1))-FIND("]",CELL("filename",A1)))</f>
        <v>TC169</v>
      </c>
      <c r="C2" s="98"/>
      <c r="D2" s="111"/>
      <c r="E2" s="97"/>
    </row>
    <row r="3" spans="1:5" x14ac:dyDescent="0.35">
      <c r="A3" s="104" t="s">
        <v>19</v>
      </c>
      <c r="B3" s="112" t="e">
        <f ca="1">VLOOKUP(B2,Table53[#All],2,FALSE)</f>
        <v>#N/A</v>
      </c>
      <c r="C3" s="98"/>
      <c r="D3" s="111"/>
      <c r="E3" s="97"/>
    </row>
    <row r="4" spans="1:5" ht="29" x14ac:dyDescent="0.35">
      <c r="A4" s="113" t="s">
        <v>20</v>
      </c>
      <c r="B4" s="99" t="e">
        <f ca="1">VLOOKUP(B2,Table53[#All],4,FALSE)</f>
        <v>#N/A</v>
      </c>
      <c r="C4" s="98"/>
      <c r="D4" s="111"/>
      <c r="E4" s="97"/>
    </row>
    <row r="5" spans="1:5" x14ac:dyDescent="0.35">
      <c r="A5" s="104" t="s">
        <v>6</v>
      </c>
      <c r="B5" s="77" t="e">
        <f ca="1">VLOOKUP(B2,Table53[#All],3,FALSE)</f>
        <v>#N/A</v>
      </c>
      <c r="C5" s="98"/>
      <c r="D5" s="111"/>
      <c r="E5" s="97"/>
    </row>
    <row r="6" spans="1:5" x14ac:dyDescent="0.35">
      <c r="A6" s="97"/>
      <c r="B6" s="97"/>
      <c r="C6" s="98"/>
      <c r="D6" s="111"/>
      <c r="E6" s="97"/>
    </row>
    <row r="7" spans="1:5" ht="15.5" x14ac:dyDescent="0.35">
      <c r="A7" s="100" t="s">
        <v>7</v>
      </c>
      <c r="B7" s="101" t="s">
        <v>8</v>
      </c>
      <c r="C7" s="102" t="s">
        <v>9</v>
      </c>
      <c r="D7" s="102" t="s">
        <v>14</v>
      </c>
      <c r="E7" s="103" t="s">
        <v>10</v>
      </c>
    </row>
    <row r="8" spans="1:5" x14ac:dyDescent="0.35">
      <c r="A8" s="118">
        <v>1</v>
      </c>
      <c r="B8" s="114" t="s">
        <v>114</v>
      </c>
      <c r="C8" s="109" t="s">
        <v>125</v>
      </c>
      <c r="D8" s="128"/>
      <c r="E8" s="125" t="s">
        <v>11</v>
      </c>
    </row>
    <row r="9" spans="1:5" x14ac:dyDescent="0.35">
      <c r="A9" s="118">
        <v>2</v>
      </c>
      <c r="B9" s="114" t="s">
        <v>12</v>
      </c>
      <c r="C9" s="109" t="e">
        <f>VLOOKUP(Table257519913140106110151155170178204247[[#This Row],[PEG]],Table1016[#All],2,FALSE)</f>
        <v>#N/A</v>
      </c>
      <c r="D9" s="128"/>
      <c r="E9" s="125" t="e">
        <f>VLOOKUP(Table257519913140106110151155170178204247[[#This Row],[PEG]],Table1016[#All],3,FALSE)</f>
        <v>#N/A</v>
      </c>
    </row>
    <row r="10" spans="1:5" x14ac:dyDescent="0.35">
      <c r="A10" s="118">
        <v>3</v>
      </c>
      <c r="B10" s="114" t="s">
        <v>115</v>
      </c>
      <c r="C10" s="109" t="e">
        <f>VLOOKUP(Table257519913140106110151155170178204247[[#This Row],[PEG]],Table1016[#All],2,FALSE)</f>
        <v>#N/A</v>
      </c>
      <c r="D10" s="128"/>
      <c r="E10" s="125" t="e">
        <f>VLOOKUP(Table257519913140106110151155170178204247[[#This Row],[PEG]],Table1016[#All],3,FALSE)</f>
        <v>#N/A</v>
      </c>
    </row>
    <row r="11" spans="1:5" x14ac:dyDescent="0.35">
      <c r="A11" s="118">
        <v>4</v>
      </c>
      <c r="B11" s="114" t="s">
        <v>115</v>
      </c>
      <c r="C11" s="109" t="e">
        <f>VLOOKUP(Table257519913140106110151155170178204247[[#This Row],[PEG]],Table1016[#All],2,FALSE)</f>
        <v>#N/A</v>
      </c>
      <c r="D11" s="128"/>
      <c r="E11" s="125" t="e">
        <f>VLOOKUP(Table257519913140106110151155170178204247[[#This Row],[PEG]],Table1016[#All],3,FALSE)</f>
        <v>#N/A</v>
      </c>
    </row>
    <row r="12" spans="1:5" x14ac:dyDescent="0.35">
      <c r="A12" s="118">
        <v>5</v>
      </c>
      <c r="B12" s="114" t="s">
        <v>114</v>
      </c>
      <c r="C12" s="109" t="e">
        <f>VLOOKUP(Table257519913140106110151155170178204247[[#This Row],[PEG]],Table1016[#All],2,FALSE)</f>
        <v>#N/A</v>
      </c>
      <c r="D12" s="128"/>
      <c r="E12" s="125" t="e">
        <f>VLOOKUP(Table257519913140106110151155170178204247[[#This Row],[PEG]],Table1016[#All],3,FALSE)</f>
        <v>#N/A</v>
      </c>
    </row>
    <row r="13" spans="1:5" x14ac:dyDescent="0.35">
      <c r="A13" s="118">
        <v>6</v>
      </c>
      <c r="B13" s="114" t="s">
        <v>115</v>
      </c>
      <c r="C13" s="109" t="e">
        <f>VLOOKUP(Table257519913140106110151155170178204247[[#This Row],[PEG]],Table1016[#All],2,FALSE)</f>
        <v>#N/A</v>
      </c>
      <c r="D13" s="128"/>
      <c r="E13" s="125" t="e">
        <f>VLOOKUP(Table257519913140106110151155170178204247[[#This Row],[PEG]],Table1016[#All],3,FALSE)</f>
        <v>#N/A</v>
      </c>
    </row>
    <row r="14" spans="1:5" x14ac:dyDescent="0.35">
      <c r="A14" s="118">
        <v>7</v>
      </c>
      <c r="B14" s="114" t="s">
        <v>114</v>
      </c>
      <c r="C14" s="109" t="e">
        <f>VLOOKUP(Table257519913140106110151155170178204247[[#This Row],[PEG]],Table1016[#All],2,FALSE)</f>
        <v>#N/A</v>
      </c>
      <c r="D14" s="128"/>
      <c r="E14" s="125" t="e">
        <f>VLOOKUP(Table257519913140106110151155170178204247[[#This Row],[PEG]],Table1016[#All],3,FALSE)</f>
        <v>#N/A</v>
      </c>
    </row>
    <row r="15" spans="1:5" x14ac:dyDescent="0.35">
      <c r="A15" s="118">
        <v>8</v>
      </c>
      <c r="B15" s="114" t="s">
        <v>115</v>
      </c>
      <c r="C15" s="109" t="e">
        <f>VLOOKUP(Table257519913140106110151155170178204247[[#This Row],[PEG]],Table1016[#All],2,FALSE)</f>
        <v>#N/A</v>
      </c>
      <c r="D15" s="116"/>
      <c r="E15" s="125" t="e">
        <f>VLOOKUP(Table257519913140106110151155170178204247[[#This Row],[PEG]],Table1016[#All],3,FALSE)</f>
        <v>#N/A</v>
      </c>
    </row>
    <row r="16" spans="1:5" x14ac:dyDescent="0.35">
      <c r="A16" s="118">
        <v>9</v>
      </c>
      <c r="B16" s="114" t="s">
        <v>12</v>
      </c>
      <c r="C16" s="109" t="e">
        <f>VLOOKUP(Table257519913140106110151155170178204247[[#This Row],[PEG]],Table1016[#All],2,FALSE)</f>
        <v>#N/A</v>
      </c>
      <c r="D16" s="116"/>
      <c r="E16" s="125" t="e">
        <f>VLOOKUP(Table257519913140106110151155170178204247[[#This Row],[PEG]],Table1016[#All],3,FALSE)</f>
        <v>#N/A</v>
      </c>
    </row>
    <row r="17" spans="1:5" x14ac:dyDescent="0.35">
      <c r="A17" s="118">
        <v>10</v>
      </c>
      <c r="B17" s="114" t="s">
        <v>12</v>
      </c>
      <c r="C17" s="109" t="e">
        <f>VLOOKUP(Table257519913140106110151155170178204247[[#This Row],[PEG]],Table1016[#All],2,FALSE)</f>
        <v>#N/A</v>
      </c>
      <c r="D17" s="117"/>
      <c r="E17" s="125" t="e">
        <f>VLOOKUP(Table257519913140106110151155170178204247[[#This Row],[PEG]],Table1016[#All],3,FALSE)</f>
        <v>#N/A</v>
      </c>
    </row>
    <row r="18" spans="1:5" x14ac:dyDescent="0.35">
      <c r="A18" s="118">
        <v>11</v>
      </c>
      <c r="B18" s="114" t="s">
        <v>115</v>
      </c>
      <c r="C18" s="109" t="e">
        <f>VLOOKUP(Table257519913140106110151155170178204247[[#This Row],[PEG]],Table1016[#All],2,FALSE)</f>
        <v>#N/A</v>
      </c>
      <c r="D18" s="117"/>
      <c r="E18" s="125" t="e">
        <f>VLOOKUP(Table257519913140106110151155170178204247[[#This Row],[PEG]],Table1016[#All],3,FALSE)</f>
        <v>#N/A</v>
      </c>
    </row>
    <row r="19" spans="1:5" x14ac:dyDescent="0.35">
      <c r="A19" s="118">
        <v>12</v>
      </c>
      <c r="B19" s="114" t="s">
        <v>115</v>
      </c>
      <c r="C19" s="109" t="e">
        <f>VLOOKUP(Table257519913140106110151155170178204247[[#This Row],[PEG]],Table1016[#All],2,FALSE)</f>
        <v>#N/A</v>
      </c>
      <c r="D19" s="117"/>
      <c r="E19" s="125" t="e">
        <f>VLOOKUP(Table257519913140106110151155170178204247[[#This Row],[PEG]],Table1016[#All],3,FALSE)</f>
        <v>#N/A</v>
      </c>
    </row>
    <row r="20" spans="1:5" x14ac:dyDescent="0.35">
      <c r="A20" s="118">
        <v>13</v>
      </c>
      <c r="B20" s="114" t="s">
        <v>114</v>
      </c>
      <c r="C20" s="109" t="e">
        <f>VLOOKUP(Table257519913140106110151155170178204247[[#This Row],[PEG]],Table1016[#All],2,FALSE)</f>
        <v>#N/A</v>
      </c>
      <c r="D20" s="117"/>
      <c r="E20" s="125" t="e">
        <f>VLOOKUP(Table257519913140106110151155170178204247[[#This Row],[PEG]],Table1016[#All],3,FALSE)</f>
        <v>#N/A</v>
      </c>
    </row>
    <row r="21" spans="1:5" x14ac:dyDescent="0.35">
      <c r="A21" s="118">
        <v>14</v>
      </c>
      <c r="B21" s="114" t="s">
        <v>12</v>
      </c>
      <c r="C21" s="109" t="e">
        <f>VLOOKUP(Table257519913140106110151155170178204247[[#This Row],[PEG]],Table1016[#All],2,FALSE)</f>
        <v>#N/A</v>
      </c>
      <c r="D21" s="117"/>
      <c r="E21" s="125" t="e">
        <f>VLOOKUP(Table257519913140106110151155170178204247[[#This Row],[PEG]],Table1016[#All],3,FALSE)</f>
        <v>#N/A</v>
      </c>
    </row>
    <row r="22" spans="1:5" x14ac:dyDescent="0.35">
      <c r="A22" s="118">
        <v>15</v>
      </c>
      <c r="B22" s="114" t="s">
        <v>12</v>
      </c>
      <c r="C22" s="109" t="e">
        <f>VLOOKUP(Table257519913140106110151155170178204247[[#This Row],[PEG]],Table1016[#All],2,FALSE)</f>
        <v>#N/A</v>
      </c>
      <c r="D22" s="117"/>
      <c r="E22" s="125" t="e">
        <f>VLOOKUP(Table257519913140106110151155170178204247[[#This Row],[PEG]],Table1016[#All],3,FALSE)</f>
        <v>#N/A</v>
      </c>
    </row>
    <row r="23" spans="1:5" x14ac:dyDescent="0.35">
      <c r="A23" s="118">
        <v>16</v>
      </c>
      <c r="B23" s="114" t="s">
        <v>115</v>
      </c>
      <c r="C23" s="109" t="e">
        <f>VLOOKUP(Table257519913140106110151155170178204247[[#This Row],[PEG]],Table1016[#All],2,FALSE)</f>
        <v>#N/A</v>
      </c>
      <c r="D23" s="117"/>
      <c r="E23" s="125" t="e">
        <f>VLOOKUP(Table257519913140106110151155170178204247[[#This Row],[PEG]],Table1016[#All],3,FALSE)</f>
        <v>#N/A</v>
      </c>
    </row>
    <row r="24" spans="1:5" x14ac:dyDescent="0.35">
      <c r="A24" s="118">
        <v>17</v>
      </c>
      <c r="B24" s="114" t="s">
        <v>114</v>
      </c>
      <c r="C24" s="109" t="e">
        <f>VLOOKUP(Table257519913140106110151155170178204247[[#This Row],[PEG]],Table1016[#All],2,FALSE)</f>
        <v>#N/A</v>
      </c>
      <c r="D24" s="117"/>
      <c r="E24" s="125" t="e">
        <f>VLOOKUP(Table257519913140106110151155170178204247[[#This Row],[PEG]],Table1016[#All],3,FALSE)</f>
        <v>#N/A</v>
      </c>
    </row>
    <row r="25" spans="1:5" x14ac:dyDescent="0.35">
      <c r="A25" s="118">
        <v>18</v>
      </c>
      <c r="B25" s="114" t="s">
        <v>12</v>
      </c>
      <c r="C25" s="109" t="e">
        <f>VLOOKUP(Table257519913140106110151155170178204247[[#This Row],[PEG]],Table1016[#All],2,FALSE)</f>
        <v>#N/A</v>
      </c>
      <c r="D25" s="117"/>
      <c r="E25" s="125" t="e">
        <f>VLOOKUP(Table257519913140106110151155170178204247[[#This Row],[PEG]],Table1016[#All],3,FALSE)</f>
        <v>#N/A</v>
      </c>
    </row>
    <row r="26" spans="1:5" x14ac:dyDescent="0.35">
      <c r="A26" s="118">
        <v>19</v>
      </c>
      <c r="B26" s="114" t="s">
        <v>12</v>
      </c>
      <c r="C26" s="109" t="e">
        <f>VLOOKUP(Table257519913140106110151155170178204247[[#This Row],[PEG]],Table1016[#All],2,FALSE)</f>
        <v>#N/A</v>
      </c>
      <c r="D26" s="117"/>
      <c r="E26" s="125" t="e">
        <f>VLOOKUP(Table257519913140106110151155170178204247[[#This Row],[PEG]],Table1016[#All],3,FALSE)</f>
        <v>#N/A</v>
      </c>
    </row>
    <row r="27" spans="1:5" x14ac:dyDescent="0.35">
      <c r="A27" s="118">
        <v>20</v>
      </c>
      <c r="B27" s="114" t="s">
        <v>115</v>
      </c>
      <c r="C27" s="109" t="e">
        <f>VLOOKUP(Table257519913140106110151155170178204247[[#This Row],[PEG]],Table1016[#All],2,FALSE)</f>
        <v>#N/A</v>
      </c>
      <c r="D27" s="117"/>
      <c r="E27" s="125" t="e">
        <f>VLOOKUP(Table257519913140106110151155170178204247[[#This Row],[PEG]],Table1016[#All],3,FALSE)</f>
        <v>#N/A</v>
      </c>
    </row>
    <row r="28" spans="1:5" x14ac:dyDescent="0.35">
      <c r="A28" s="118">
        <v>21</v>
      </c>
      <c r="B28" s="114" t="s">
        <v>114</v>
      </c>
      <c r="C28" s="109" t="e">
        <f>VLOOKUP(Table257519913140106110151155170178204247[[#This Row],[PEG]],Table1016[#All],2,FALSE)</f>
        <v>#N/A</v>
      </c>
      <c r="D28" s="117"/>
      <c r="E28" s="125" t="e">
        <f>VLOOKUP(Table257519913140106110151155170178204247[[#This Row],[PEG]],Table1016[#All],3,FALSE)</f>
        <v>#N/A</v>
      </c>
    </row>
    <row r="29" spans="1:5" x14ac:dyDescent="0.35">
      <c r="A29" s="118">
        <v>22</v>
      </c>
      <c r="B29" s="114" t="s">
        <v>12</v>
      </c>
      <c r="C29" s="109" t="e">
        <f>VLOOKUP(Table257519913140106110151155170178204247[[#This Row],[PEG]],Table1016[#All],2,FALSE)</f>
        <v>#N/A</v>
      </c>
      <c r="D29" s="117"/>
      <c r="E29" s="125" t="e">
        <f>VLOOKUP(Table257519913140106110151155170178204247[[#This Row],[PEG]],Table1016[#All],3,FALSE)</f>
        <v>#N/A</v>
      </c>
    </row>
    <row r="30" spans="1:5" x14ac:dyDescent="0.35">
      <c r="A30" s="118">
        <v>23</v>
      </c>
      <c r="B30" s="114" t="s">
        <v>12</v>
      </c>
      <c r="C30" s="109" t="e">
        <f>VLOOKUP(Table257519913140106110151155170178204247[[#This Row],[PEG]],Table1016[#All],2,FALSE)</f>
        <v>#N/A</v>
      </c>
      <c r="D30" s="117"/>
      <c r="E30" s="125" t="e">
        <f>VLOOKUP(Table257519913140106110151155170178204247[[#This Row],[PEG]],Table1016[#All],3,FALSE)</f>
        <v>#N/A</v>
      </c>
    </row>
    <row r="31" spans="1:5" x14ac:dyDescent="0.35">
      <c r="A31" s="118">
        <v>24</v>
      </c>
      <c r="B31" s="114" t="s">
        <v>115</v>
      </c>
      <c r="C31" s="109" t="e">
        <f>VLOOKUP(Table257519913140106110151155170178204247[[#This Row],[PEG]],Table1016[#All],2,FALSE)</f>
        <v>#N/A</v>
      </c>
      <c r="D31" s="117"/>
      <c r="E31" s="125" t="e">
        <f>VLOOKUP(Table257519913140106110151155170178204247[[#This Row],[PEG]],Table1016[#All],3,FALSE)</f>
        <v>#N/A</v>
      </c>
    </row>
    <row r="32" spans="1:5" x14ac:dyDescent="0.35">
      <c r="A32" s="118">
        <v>25</v>
      </c>
      <c r="B32" s="114" t="s">
        <v>115</v>
      </c>
      <c r="C32" s="109" t="e">
        <f>VLOOKUP(Table257519913140106110151155170178204247[[#This Row],[PEG]],Table1016[#All],2,FALSE)</f>
        <v>#N/A</v>
      </c>
      <c r="D32" s="117"/>
      <c r="E32" s="125" t="e">
        <f>VLOOKUP(Table257519913140106110151155170178204247[[#This Row],[PEG]],Table1016[#All],3,FALSE)</f>
        <v>#N/A</v>
      </c>
    </row>
    <row r="33" spans="1:5" x14ac:dyDescent="0.35">
      <c r="A33" s="118">
        <v>26</v>
      </c>
      <c r="B33" s="114" t="s">
        <v>124</v>
      </c>
      <c r="C33" s="109" t="e">
        <f>VLOOKUP(Table257519913140106110151155170178204247[[#This Row],[PEG]],Table1016[#All],2,FALSE)</f>
        <v>#N/A</v>
      </c>
      <c r="D33" s="117"/>
      <c r="E33" s="125" t="e">
        <f>VLOOKUP(Table257519913140106110151155170178204247[[#This Row],[PEG]],Table1016[#All],3,FALSE)</f>
        <v>#N/A</v>
      </c>
    </row>
    <row r="34" spans="1:5" x14ac:dyDescent="0.35">
      <c r="A34" s="118">
        <v>27</v>
      </c>
      <c r="B34" s="114" t="s">
        <v>115</v>
      </c>
      <c r="C34" s="109" t="e">
        <f>VLOOKUP(Table257519913140106110151155170178204247[[#This Row],[PEG]],Table1016[#All],2,FALSE)</f>
        <v>#N/A</v>
      </c>
      <c r="D34" s="117"/>
      <c r="E34" s="125" t="e">
        <f>VLOOKUP(Table257519913140106110151155170178204247[[#This Row],[PEG]],Table1016[#All],3,FALSE)</f>
        <v>#N/A</v>
      </c>
    </row>
    <row r="35" spans="1:5" x14ac:dyDescent="0.35">
      <c r="A35" s="118">
        <v>28</v>
      </c>
      <c r="B35" s="114" t="s">
        <v>124</v>
      </c>
      <c r="C35" s="109" t="e">
        <f>VLOOKUP(Table257519913140106110151155170178204247[[#This Row],[PEG]],Table1016[#All],2,FALSE)</f>
        <v>#N/A</v>
      </c>
      <c r="D35" s="117"/>
      <c r="E35" s="125" t="e">
        <f>VLOOKUP(Table257519913140106110151155170178204247[[#This Row],[PEG]],Table1016[#All],3,FALSE)</f>
        <v>#N/A</v>
      </c>
    </row>
    <row r="36" spans="1:5" x14ac:dyDescent="0.35">
      <c r="A36" s="118">
        <v>29</v>
      </c>
      <c r="B36" s="114" t="s">
        <v>115</v>
      </c>
      <c r="C36" s="109" t="e">
        <f>VLOOKUP(Table257519913140106110151155170178204247[[#This Row],[PEG]],Table1016[#All],2,FALSE)</f>
        <v>#N/A</v>
      </c>
      <c r="D36" s="117"/>
      <c r="E36" s="125" t="e">
        <f>VLOOKUP(Table257519913140106110151155170178204247[[#This Row],[PEG]],Table1016[#All],3,FALSE)</f>
        <v>#N/A</v>
      </c>
    </row>
    <row r="37" spans="1:5" x14ac:dyDescent="0.35">
      <c r="A37" s="118">
        <v>30</v>
      </c>
      <c r="B37" s="114" t="s">
        <v>12</v>
      </c>
      <c r="C37" s="109" t="e">
        <f>VLOOKUP(Table257519913140106110151155170178204247[[#This Row],[PEG]],Table1016[#All],2,FALSE)</f>
        <v>#N/A</v>
      </c>
      <c r="D37" s="117"/>
      <c r="E37" s="125" t="e">
        <f>VLOOKUP(Table257519913140106110151155170178204247[[#This Row],[PEG]],Table1016[#All],3,FALSE)</f>
        <v>#N/A</v>
      </c>
    </row>
    <row r="38" spans="1:5" x14ac:dyDescent="0.35">
      <c r="A38" s="118">
        <v>31</v>
      </c>
      <c r="B38" s="114" t="s">
        <v>12</v>
      </c>
      <c r="C38" s="109" t="e">
        <f>VLOOKUP(Table257519913140106110151155170178204247[[#This Row],[PEG]],Table1016[#All],2,FALSE)</f>
        <v>#N/A</v>
      </c>
      <c r="D38" s="117"/>
      <c r="E38" s="125" t="e">
        <f>VLOOKUP(Table257519913140106110151155170178204247[[#This Row],[PEG]],Table1016[#All],3,FALSE)</f>
        <v>#N/A</v>
      </c>
    </row>
    <row r="39" spans="1:5" x14ac:dyDescent="0.35">
      <c r="A39" s="118">
        <v>32</v>
      </c>
      <c r="B39" s="114" t="s">
        <v>12</v>
      </c>
      <c r="C39" s="109" t="e">
        <f>VLOOKUP(Table257519913140106110151155170178204247[[#This Row],[PEG]],Table1016[#All],2,FALSE)</f>
        <v>#N/A</v>
      </c>
      <c r="D39" s="117"/>
      <c r="E39" s="125" t="e">
        <f>VLOOKUP(Table257519913140106110151155170178204247[[#This Row],[PEG]],Table1016[#All],3,FALSE)</f>
        <v>#N/A</v>
      </c>
    </row>
    <row r="40" spans="1:5" x14ac:dyDescent="0.35">
      <c r="A40" s="118">
        <v>33</v>
      </c>
      <c r="B40" s="114" t="s">
        <v>12</v>
      </c>
      <c r="C40" s="109" t="e">
        <f>VLOOKUP(Table257519913140106110151155170178204247[[#This Row],[PEG]],Table1016[#All],2,FALSE)</f>
        <v>#N/A</v>
      </c>
      <c r="D40" s="117"/>
      <c r="E40" s="125" t="e">
        <f>VLOOKUP(Table257519913140106110151155170178204247[[#This Row],[PEG]],Table1016[#All],3,FALSE)</f>
        <v>#N/A</v>
      </c>
    </row>
    <row r="41" spans="1:5" x14ac:dyDescent="0.35">
      <c r="A41" s="118">
        <v>34</v>
      </c>
      <c r="B41" s="114" t="s">
        <v>115</v>
      </c>
      <c r="C41" s="109" t="e">
        <f>VLOOKUP(Table257519913140106110151155170178204247[[#This Row],[PEG]],Table1016[#All],2,FALSE)</f>
        <v>#N/A</v>
      </c>
      <c r="D41" s="117"/>
      <c r="E41" s="125" t="e">
        <f>VLOOKUP(Table257519913140106110151155170178204247[[#This Row],[PEG]],Table1016[#All],3,FALSE)</f>
        <v>#N/A</v>
      </c>
    </row>
    <row r="42" spans="1:5" x14ac:dyDescent="0.35">
      <c r="A42" s="118">
        <v>35</v>
      </c>
      <c r="B42" s="114" t="s">
        <v>12</v>
      </c>
      <c r="C42" s="109" t="e">
        <f>VLOOKUP(Table257519913140106110151155170178204247[[#This Row],[PEG]],Table1016[#All],2,FALSE)</f>
        <v>#N/A</v>
      </c>
      <c r="D42" s="115"/>
      <c r="E42" s="125" t="e">
        <f>VLOOKUP(Table257519913140106110151155170178204247[[#This Row],[PEG]],Table1016[#All],3,FALSE)</f>
        <v>#N/A</v>
      </c>
    </row>
    <row r="43" spans="1:5" x14ac:dyDescent="0.35">
      <c r="A43" s="118">
        <v>36</v>
      </c>
      <c r="B43" s="114" t="s">
        <v>115</v>
      </c>
      <c r="C43" s="109" t="e">
        <f>VLOOKUP(Table257519913140106110151155170178204247[[#This Row],[PEG]],Table1016[#All],2,FALSE)</f>
        <v>#N/A</v>
      </c>
      <c r="D43" s="115"/>
      <c r="E43" s="125" t="e">
        <f>VLOOKUP(Table257519913140106110151155170178204247[[#This Row],[PEG]],Table1016[#All],3,FALSE)</f>
        <v>#N/A</v>
      </c>
    </row>
    <row r="44" spans="1:5" x14ac:dyDescent="0.35">
      <c r="A44" s="118">
        <v>37</v>
      </c>
      <c r="B44" s="114" t="s">
        <v>13</v>
      </c>
      <c r="C44" s="18" t="s">
        <v>13</v>
      </c>
      <c r="D44" s="115"/>
      <c r="E44" s="32"/>
    </row>
  </sheetData>
  <mergeCells count="1">
    <mergeCell ref="A1:B1"/>
  </mergeCells>
  <conditionalFormatting sqref="B8:B18">
    <cfRule type="containsText" dxfId="565" priority="1" operator="containsText" text="Hear">
      <formula>NOT(ISERROR(SEARCH("Hear",B8)))</formula>
    </cfRule>
  </conditionalFormatting>
  <conditionalFormatting sqref="B30">
    <cfRule type="containsText" dxfId="564" priority="4" operator="containsText" text="Hear">
      <formula>NOT(ISERROR(SEARCH("Hear",B30)))</formula>
    </cfRule>
  </conditionalFormatting>
  <conditionalFormatting sqref="B43:B44">
    <cfRule type="containsText" dxfId="563" priority="8" operator="containsText" text="Hear">
      <formula>NOT(ISERROR(SEARCH("Hear",B43)))</formula>
    </cfRule>
  </conditionalFormatting>
  <conditionalFormatting sqref="E44">
    <cfRule type="containsText" dxfId="562" priority="6" operator="containsText" text="WEB SERVICE">
      <formula>NOT(ISERROR(SEARCH("WEB SERVICE",E44)))</formula>
    </cfRule>
    <cfRule type="containsText" dxfId="561" priority="7" operator="containsText" text="DB">
      <formula>NOT(ISERROR(SEARCH("DB",E44)))</formula>
    </cfRule>
  </conditionalFormatting>
  <conditionalFormatting sqref="C44">
    <cfRule type="expression" dxfId="560" priority="9">
      <formula>$B44="Dial"</formula>
    </cfRule>
  </conditionalFormatting>
  <conditionalFormatting sqref="C44">
    <cfRule type="expression" dxfId="559" priority="3">
      <formula>$B44="Speak"</formula>
    </cfRule>
  </conditionalFormatting>
  <conditionalFormatting sqref="B19:B29 B31:B35 B42">
    <cfRule type="containsText" dxfId="558" priority="5" operator="containsText" text="Hear">
      <formula>NOT(ISERROR(SEARCH("Hear",B19)))</formula>
    </cfRule>
  </conditionalFormatting>
  <hyperlinks>
    <hyperlink ref="A1" location="'Test Case Overview'!A1" display="Return to Test Case Overview" xr:uid="{72A633E4-AD16-4BF6-BB6A-ED80EFC2606F}"/>
  </hyperlinks>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expression" priority="2" id="{2EE8CEF7-AD39-4CE1-9FC3-70AB40B121B1}">
            <xm:f>'TC1'!$B8="HANGUP"</xm:f>
            <x14:dxf>
              <font>
                <b/>
                <i val="0"/>
              </font>
            </x14:dxf>
          </x14:cfRule>
          <xm:sqref>C8</xm:sqref>
        </x14:conditionalFormatting>
        <x14:conditionalFormatting xmlns:xm="http://schemas.microsoft.com/office/excel/2006/main">
          <x14:cfRule type="expression" priority="3322" id="{2EE8CEF7-AD39-4CE1-9FC3-70AB40B121B1}">
            <xm:f>'TC1'!$B16="HANGUP"</xm:f>
            <x14:dxf>
              <font>
                <b/>
                <i val="0"/>
              </font>
            </x14:dxf>
          </x14:cfRule>
          <xm:sqref>C34:C43</xm:sqref>
        </x14:conditionalFormatting>
        <x14:conditionalFormatting xmlns:xm="http://schemas.microsoft.com/office/excel/2006/main">
          <x14:cfRule type="expression" priority="3323" id="{2EE8CEF7-AD39-4CE1-9FC3-70AB40B121B1}">
            <xm:f>'TC1'!#REF!="HANGUP"</xm:f>
            <x14:dxf>
              <font>
                <b/>
                <i val="0"/>
              </font>
            </x14:dxf>
          </x14:cfRule>
          <xm:sqref>C17:C33</xm:sqref>
        </x14:conditionalFormatting>
        <x14:conditionalFormatting xmlns:xm="http://schemas.microsoft.com/office/excel/2006/main">
          <x14:cfRule type="expression" priority="5936" id="{2EE8CEF7-AD39-4CE1-9FC3-70AB40B121B1}">
            <xm:f>'TC1'!$B9="HANGUP"</xm:f>
            <x14:dxf>
              <font>
                <b/>
                <i val="0"/>
              </font>
            </x14:dxf>
          </x14:cfRule>
          <xm:sqref>C12:C15</xm:sqref>
        </x14:conditionalFormatting>
        <x14:conditionalFormatting xmlns:xm="http://schemas.microsoft.com/office/excel/2006/main">
          <x14:cfRule type="expression" priority="5937" id="{2EE8CEF7-AD39-4CE1-9FC3-70AB40B121B1}">
            <xm:f>'TC1'!#REF!="HANGUP"</xm:f>
            <x14:dxf>
              <font>
                <b/>
                <i val="0"/>
              </font>
            </x14:dxf>
          </x14:cfRule>
          <xm:sqref>C9:C11</xm:sqref>
        </x14:conditionalFormatting>
        <x14:conditionalFormatting xmlns:xm="http://schemas.microsoft.com/office/excel/2006/main">
          <x14:cfRule type="expression" priority="8115" id="{2EE8CEF7-AD39-4CE1-9FC3-70AB40B121B1}">
            <xm:f>'TC1'!$B15="HANGUP"</xm:f>
            <x14:dxf>
              <font>
                <b/>
                <i val="0"/>
              </font>
            </x14:dxf>
          </x14:cfRule>
          <xm:sqref>C16</xm:sqref>
        </x14:conditionalFormatting>
      </x14:conditionalFormattings>
    </ext>
  </extLst>
</worksheet>
</file>

<file path=xl/worksheets/sheet1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A00-000000000000}">
  <sheetPr codeName="Sheet172"/>
  <dimension ref="A1:E44"/>
  <sheetViews>
    <sheetView zoomScaleNormal="100" workbookViewId="0">
      <selection sqref="A1:E44"/>
    </sheetView>
  </sheetViews>
  <sheetFormatPr defaultRowHeight="14.5" x14ac:dyDescent="0.35"/>
  <cols>
    <col min="1" max="1" width="14.453125" bestFit="1" customWidth="1"/>
    <col min="2" max="2" width="42.6328125" customWidth="1"/>
    <col min="3" max="3" width="106.1796875" customWidth="1"/>
    <col min="4" max="4" width="21.81640625" bestFit="1" customWidth="1"/>
    <col min="5" max="5" width="20.6328125" customWidth="1"/>
  </cols>
  <sheetData>
    <row r="1" spans="1:5" ht="18.5" x14ac:dyDescent="0.35">
      <c r="A1" s="192" t="s">
        <v>4</v>
      </c>
      <c r="B1" s="192"/>
      <c r="C1" s="105"/>
      <c r="D1" s="111"/>
      <c r="E1" s="97"/>
    </row>
    <row r="2" spans="1:5" x14ac:dyDescent="0.35">
      <c r="A2" s="106" t="s">
        <v>5</v>
      </c>
      <c r="B2" s="107" t="str">
        <f ca="1">MID(CELL("filename",A1),FIND("]",CELL("filename",A1))+1,LEN(CELL("filename",A1))-FIND("]",CELL("filename",A1)))</f>
        <v>TC170</v>
      </c>
      <c r="C2" s="98"/>
      <c r="D2" s="111"/>
      <c r="E2" s="97"/>
    </row>
    <row r="3" spans="1:5" x14ac:dyDescent="0.35">
      <c r="A3" s="104" t="s">
        <v>19</v>
      </c>
      <c r="B3" s="112" t="e">
        <f ca="1">VLOOKUP(B2,Table53[#All],2,FALSE)</f>
        <v>#N/A</v>
      </c>
      <c r="C3" s="98"/>
      <c r="D3" s="111"/>
      <c r="E3" s="97"/>
    </row>
    <row r="4" spans="1:5" ht="29" x14ac:dyDescent="0.35">
      <c r="A4" s="113" t="s">
        <v>20</v>
      </c>
      <c r="B4" s="99" t="e">
        <f ca="1">VLOOKUP(B2,Table53[#All],4,FALSE)</f>
        <v>#N/A</v>
      </c>
      <c r="C4" s="98"/>
      <c r="D4" s="111"/>
      <c r="E4" s="97"/>
    </row>
    <row r="5" spans="1:5" x14ac:dyDescent="0.35">
      <c r="A5" s="104" t="s">
        <v>6</v>
      </c>
      <c r="B5" s="77" t="e">
        <f ca="1">VLOOKUP(B2,Table53[#All],3,FALSE)</f>
        <v>#N/A</v>
      </c>
      <c r="C5" s="98"/>
      <c r="D5" s="111"/>
      <c r="E5" s="97"/>
    </row>
    <row r="6" spans="1:5" x14ac:dyDescent="0.35">
      <c r="A6" s="97"/>
      <c r="B6" s="97"/>
      <c r="C6" s="98"/>
      <c r="D6" s="111"/>
      <c r="E6" s="97"/>
    </row>
    <row r="7" spans="1:5" ht="15.5" x14ac:dyDescent="0.35">
      <c r="A7" s="100" t="s">
        <v>7</v>
      </c>
      <c r="B7" s="101" t="s">
        <v>8</v>
      </c>
      <c r="C7" s="102" t="s">
        <v>9</v>
      </c>
      <c r="D7" s="102" t="s">
        <v>14</v>
      </c>
      <c r="E7" s="103" t="s">
        <v>10</v>
      </c>
    </row>
    <row r="8" spans="1:5" x14ac:dyDescent="0.35">
      <c r="A8" s="118">
        <v>1</v>
      </c>
      <c r="B8" s="114" t="s">
        <v>114</v>
      </c>
      <c r="C8" s="109" t="s">
        <v>125</v>
      </c>
      <c r="D8" s="128"/>
      <c r="E8" s="125" t="s">
        <v>11</v>
      </c>
    </row>
    <row r="9" spans="1:5" x14ac:dyDescent="0.35">
      <c r="A9" s="118">
        <v>2</v>
      </c>
      <c r="B9" s="114" t="s">
        <v>12</v>
      </c>
      <c r="C9" s="109" t="e">
        <f>VLOOKUP(Table257519913140106110151155170178204249[[#This Row],[PEG]],Table1016[#All],2,FALSE)</f>
        <v>#N/A</v>
      </c>
      <c r="D9" s="128"/>
      <c r="E9" s="125" t="e">
        <f>VLOOKUP(Table257519913140106110151155170178204249[[#This Row],[PEG]],Table1016[#All],3,FALSE)</f>
        <v>#N/A</v>
      </c>
    </row>
    <row r="10" spans="1:5" x14ac:dyDescent="0.35">
      <c r="A10" s="118">
        <v>3</v>
      </c>
      <c r="B10" s="114" t="s">
        <v>115</v>
      </c>
      <c r="C10" s="109" t="e">
        <f>VLOOKUP(Table257519913140106110151155170178204249[[#This Row],[PEG]],Table1016[#All],2,FALSE)</f>
        <v>#N/A</v>
      </c>
      <c r="D10" s="128"/>
      <c r="E10" s="125" t="e">
        <f>VLOOKUP(Table257519913140106110151155170178204249[[#This Row],[PEG]],Table1016[#All],3,FALSE)</f>
        <v>#N/A</v>
      </c>
    </row>
    <row r="11" spans="1:5" x14ac:dyDescent="0.35">
      <c r="A11" s="118">
        <v>4</v>
      </c>
      <c r="B11" s="114" t="s">
        <v>115</v>
      </c>
      <c r="C11" s="109" t="e">
        <f>VLOOKUP(Table257519913140106110151155170178204249[[#This Row],[PEG]],Table1016[#All],2,FALSE)</f>
        <v>#N/A</v>
      </c>
      <c r="D11" s="128"/>
      <c r="E11" s="125" t="e">
        <f>VLOOKUP(Table257519913140106110151155170178204249[[#This Row],[PEG]],Table1016[#All],3,FALSE)</f>
        <v>#N/A</v>
      </c>
    </row>
    <row r="12" spans="1:5" x14ac:dyDescent="0.35">
      <c r="A12" s="118">
        <v>5</v>
      </c>
      <c r="B12" s="114" t="s">
        <v>114</v>
      </c>
      <c r="C12" s="109" t="e">
        <f>VLOOKUP(Table257519913140106110151155170178204249[[#This Row],[PEG]],Table1016[#All],2,FALSE)</f>
        <v>#N/A</v>
      </c>
      <c r="D12" s="128"/>
      <c r="E12" s="125" t="e">
        <f>VLOOKUP(Table257519913140106110151155170178204249[[#This Row],[PEG]],Table1016[#All],3,FALSE)</f>
        <v>#N/A</v>
      </c>
    </row>
    <row r="13" spans="1:5" x14ac:dyDescent="0.35">
      <c r="A13" s="118">
        <v>6</v>
      </c>
      <c r="B13" s="114" t="s">
        <v>115</v>
      </c>
      <c r="C13" s="109" t="e">
        <f>VLOOKUP(Table257519913140106110151155170178204249[[#This Row],[PEG]],Table1016[#All],2,FALSE)</f>
        <v>#N/A</v>
      </c>
      <c r="D13" s="128"/>
      <c r="E13" s="125" t="e">
        <f>VLOOKUP(Table257519913140106110151155170178204249[[#This Row],[PEG]],Table1016[#All],3,FALSE)</f>
        <v>#N/A</v>
      </c>
    </row>
    <row r="14" spans="1:5" x14ac:dyDescent="0.35">
      <c r="A14" s="118">
        <v>7</v>
      </c>
      <c r="B14" s="114" t="s">
        <v>114</v>
      </c>
      <c r="C14" s="109" t="e">
        <f>VLOOKUP(Table257519913140106110151155170178204249[[#This Row],[PEG]],Table1016[#All],2,FALSE)</f>
        <v>#N/A</v>
      </c>
      <c r="D14" s="128"/>
      <c r="E14" s="125" t="e">
        <f>VLOOKUP(Table257519913140106110151155170178204249[[#This Row],[PEG]],Table1016[#All],3,FALSE)</f>
        <v>#N/A</v>
      </c>
    </row>
    <row r="15" spans="1:5" x14ac:dyDescent="0.35">
      <c r="A15" s="118">
        <v>8</v>
      </c>
      <c r="B15" s="114" t="s">
        <v>115</v>
      </c>
      <c r="C15" s="109" t="e">
        <f>VLOOKUP(Table257519913140106110151155170178204249[[#This Row],[PEG]],Table1016[#All],2,FALSE)</f>
        <v>#N/A</v>
      </c>
      <c r="D15" s="116"/>
      <c r="E15" s="125" t="e">
        <f>VLOOKUP(Table257519913140106110151155170178204249[[#This Row],[PEG]],Table1016[#All],3,FALSE)</f>
        <v>#N/A</v>
      </c>
    </row>
    <row r="16" spans="1:5" x14ac:dyDescent="0.35">
      <c r="A16" s="118">
        <v>9</v>
      </c>
      <c r="B16" s="114" t="s">
        <v>12</v>
      </c>
      <c r="C16" s="109" t="e">
        <f>VLOOKUP(Table257519913140106110151155170178204249[[#This Row],[PEG]],Table1016[#All],2,FALSE)</f>
        <v>#N/A</v>
      </c>
      <c r="D16" s="116"/>
      <c r="E16" s="125" t="e">
        <f>VLOOKUP(Table257519913140106110151155170178204249[[#This Row],[PEG]],Table1016[#All],3,FALSE)</f>
        <v>#N/A</v>
      </c>
    </row>
    <row r="17" spans="1:5" x14ac:dyDescent="0.35">
      <c r="A17" s="118">
        <v>10</v>
      </c>
      <c r="B17" s="114" t="s">
        <v>12</v>
      </c>
      <c r="C17" s="109" t="e">
        <f>VLOOKUP(Table257519913140106110151155170178204249[[#This Row],[PEG]],Table1016[#All],2,FALSE)</f>
        <v>#N/A</v>
      </c>
      <c r="D17" s="117"/>
      <c r="E17" s="125" t="e">
        <f>VLOOKUP(Table257519913140106110151155170178204249[[#This Row],[PEG]],Table1016[#All],3,FALSE)</f>
        <v>#N/A</v>
      </c>
    </row>
    <row r="18" spans="1:5" x14ac:dyDescent="0.35">
      <c r="A18" s="118">
        <v>11</v>
      </c>
      <c r="B18" s="114" t="s">
        <v>115</v>
      </c>
      <c r="C18" s="109" t="e">
        <f>VLOOKUP(Table257519913140106110151155170178204249[[#This Row],[PEG]],Table1016[#All],2,FALSE)</f>
        <v>#N/A</v>
      </c>
      <c r="D18" s="117"/>
      <c r="E18" s="125" t="e">
        <f>VLOOKUP(Table257519913140106110151155170178204249[[#This Row],[PEG]],Table1016[#All],3,FALSE)</f>
        <v>#N/A</v>
      </c>
    </row>
    <row r="19" spans="1:5" x14ac:dyDescent="0.35">
      <c r="A19" s="118">
        <v>12</v>
      </c>
      <c r="B19" s="114" t="s">
        <v>115</v>
      </c>
      <c r="C19" s="109" t="e">
        <f>VLOOKUP(Table257519913140106110151155170178204249[[#This Row],[PEG]],Table1016[#All],2,FALSE)</f>
        <v>#N/A</v>
      </c>
      <c r="D19" s="117"/>
      <c r="E19" s="125" t="e">
        <f>VLOOKUP(Table257519913140106110151155170178204249[[#This Row],[PEG]],Table1016[#All],3,FALSE)</f>
        <v>#N/A</v>
      </c>
    </row>
    <row r="20" spans="1:5" x14ac:dyDescent="0.35">
      <c r="A20" s="118">
        <v>13</v>
      </c>
      <c r="B20" s="114" t="s">
        <v>114</v>
      </c>
      <c r="C20" s="109" t="e">
        <f>VLOOKUP(Table257519913140106110151155170178204249[[#This Row],[PEG]],Table1016[#All],2,FALSE)</f>
        <v>#N/A</v>
      </c>
      <c r="D20" s="117"/>
      <c r="E20" s="125" t="e">
        <f>VLOOKUP(Table257519913140106110151155170178204249[[#This Row],[PEG]],Table1016[#All],3,FALSE)</f>
        <v>#N/A</v>
      </c>
    </row>
    <row r="21" spans="1:5" x14ac:dyDescent="0.35">
      <c r="A21" s="118">
        <v>14</v>
      </c>
      <c r="B21" s="114" t="s">
        <v>12</v>
      </c>
      <c r="C21" s="109" t="e">
        <f>VLOOKUP(Table257519913140106110151155170178204249[[#This Row],[PEG]],Table1016[#All],2,FALSE)</f>
        <v>#N/A</v>
      </c>
      <c r="D21" s="117"/>
      <c r="E21" s="125" t="e">
        <f>VLOOKUP(Table257519913140106110151155170178204249[[#This Row],[PEG]],Table1016[#All],3,FALSE)</f>
        <v>#N/A</v>
      </c>
    </row>
    <row r="22" spans="1:5" x14ac:dyDescent="0.35">
      <c r="A22" s="118">
        <v>15</v>
      </c>
      <c r="B22" s="114" t="s">
        <v>12</v>
      </c>
      <c r="C22" s="109" t="e">
        <f>VLOOKUP(Table257519913140106110151155170178204249[[#This Row],[PEG]],Table1016[#All],2,FALSE)</f>
        <v>#N/A</v>
      </c>
      <c r="D22" s="117"/>
      <c r="E22" s="125" t="e">
        <f>VLOOKUP(Table257519913140106110151155170178204249[[#This Row],[PEG]],Table1016[#All],3,FALSE)</f>
        <v>#N/A</v>
      </c>
    </row>
    <row r="23" spans="1:5" x14ac:dyDescent="0.35">
      <c r="A23" s="118">
        <v>16</v>
      </c>
      <c r="B23" s="114" t="s">
        <v>115</v>
      </c>
      <c r="C23" s="109" t="e">
        <f>VLOOKUP(Table257519913140106110151155170178204249[[#This Row],[PEG]],Table1016[#All],2,FALSE)</f>
        <v>#N/A</v>
      </c>
      <c r="D23" s="117"/>
      <c r="E23" s="125" t="e">
        <f>VLOOKUP(Table257519913140106110151155170178204249[[#This Row],[PEG]],Table1016[#All],3,FALSE)</f>
        <v>#N/A</v>
      </c>
    </row>
    <row r="24" spans="1:5" x14ac:dyDescent="0.35">
      <c r="A24" s="118">
        <v>17</v>
      </c>
      <c r="B24" s="114" t="s">
        <v>114</v>
      </c>
      <c r="C24" s="109" t="e">
        <f>VLOOKUP(Table257519913140106110151155170178204249[[#This Row],[PEG]],Table1016[#All],2,FALSE)</f>
        <v>#N/A</v>
      </c>
      <c r="D24" s="117"/>
      <c r="E24" s="125" t="e">
        <f>VLOOKUP(Table257519913140106110151155170178204249[[#This Row],[PEG]],Table1016[#All],3,FALSE)</f>
        <v>#N/A</v>
      </c>
    </row>
    <row r="25" spans="1:5" x14ac:dyDescent="0.35">
      <c r="A25" s="118">
        <v>18</v>
      </c>
      <c r="B25" s="114" t="s">
        <v>12</v>
      </c>
      <c r="C25" s="109" t="e">
        <f>VLOOKUP(Table257519913140106110151155170178204249[[#This Row],[PEG]],Table1016[#All],2,FALSE)</f>
        <v>#N/A</v>
      </c>
      <c r="D25" s="117"/>
      <c r="E25" s="125" t="e">
        <f>VLOOKUP(Table257519913140106110151155170178204249[[#This Row],[PEG]],Table1016[#All],3,FALSE)</f>
        <v>#N/A</v>
      </c>
    </row>
    <row r="26" spans="1:5" x14ac:dyDescent="0.35">
      <c r="A26" s="118">
        <v>19</v>
      </c>
      <c r="B26" s="114" t="s">
        <v>12</v>
      </c>
      <c r="C26" s="109" t="e">
        <f>VLOOKUP(Table257519913140106110151155170178204249[[#This Row],[PEG]],Table1016[#All],2,FALSE)</f>
        <v>#N/A</v>
      </c>
      <c r="D26" s="117"/>
      <c r="E26" s="125" t="e">
        <f>VLOOKUP(Table257519913140106110151155170178204249[[#This Row],[PEG]],Table1016[#All],3,FALSE)</f>
        <v>#N/A</v>
      </c>
    </row>
    <row r="27" spans="1:5" x14ac:dyDescent="0.35">
      <c r="A27" s="118">
        <v>20</v>
      </c>
      <c r="B27" s="114" t="s">
        <v>115</v>
      </c>
      <c r="C27" s="109" t="e">
        <f>VLOOKUP(Table257519913140106110151155170178204249[[#This Row],[PEG]],Table1016[#All],2,FALSE)</f>
        <v>#N/A</v>
      </c>
      <c r="D27" s="117"/>
      <c r="E27" s="125" t="e">
        <f>VLOOKUP(Table257519913140106110151155170178204249[[#This Row],[PEG]],Table1016[#All],3,FALSE)</f>
        <v>#N/A</v>
      </c>
    </row>
    <row r="28" spans="1:5" x14ac:dyDescent="0.35">
      <c r="A28" s="118">
        <v>21</v>
      </c>
      <c r="B28" s="114" t="s">
        <v>114</v>
      </c>
      <c r="C28" s="109" t="e">
        <f>VLOOKUP(Table257519913140106110151155170178204249[[#This Row],[PEG]],Table1016[#All],2,FALSE)</f>
        <v>#N/A</v>
      </c>
      <c r="D28" s="117"/>
      <c r="E28" s="125" t="e">
        <f>VLOOKUP(Table257519913140106110151155170178204249[[#This Row],[PEG]],Table1016[#All],3,FALSE)</f>
        <v>#N/A</v>
      </c>
    </row>
    <row r="29" spans="1:5" x14ac:dyDescent="0.35">
      <c r="A29" s="118">
        <v>22</v>
      </c>
      <c r="B29" s="114" t="s">
        <v>12</v>
      </c>
      <c r="C29" s="109" t="e">
        <f>VLOOKUP(Table257519913140106110151155170178204249[[#This Row],[PEG]],Table1016[#All],2,FALSE)</f>
        <v>#N/A</v>
      </c>
      <c r="D29" s="117"/>
      <c r="E29" s="125" t="e">
        <f>VLOOKUP(Table257519913140106110151155170178204249[[#This Row],[PEG]],Table1016[#All],3,FALSE)</f>
        <v>#N/A</v>
      </c>
    </row>
    <row r="30" spans="1:5" x14ac:dyDescent="0.35">
      <c r="A30" s="118">
        <v>23</v>
      </c>
      <c r="B30" s="114" t="s">
        <v>12</v>
      </c>
      <c r="C30" s="109" t="e">
        <f>VLOOKUP(Table257519913140106110151155170178204249[[#This Row],[PEG]],Table1016[#All],2,FALSE)</f>
        <v>#N/A</v>
      </c>
      <c r="D30" s="117"/>
      <c r="E30" s="125" t="e">
        <f>VLOOKUP(Table257519913140106110151155170178204249[[#This Row],[PEG]],Table1016[#All],3,FALSE)</f>
        <v>#N/A</v>
      </c>
    </row>
    <row r="31" spans="1:5" x14ac:dyDescent="0.35">
      <c r="A31" s="118">
        <v>24</v>
      </c>
      <c r="B31" s="114" t="s">
        <v>115</v>
      </c>
      <c r="C31" s="109" t="e">
        <f>VLOOKUP(Table257519913140106110151155170178204249[[#This Row],[PEG]],Table1016[#All],2,FALSE)</f>
        <v>#N/A</v>
      </c>
      <c r="D31" s="117"/>
      <c r="E31" s="125" t="e">
        <f>VLOOKUP(Table257519913140106110151155170178204249[[#This Row],[PEG]],Table1016[#All],3,FALSE)</f>
        <v>#N/A</v>
      </c>
    </row>
    <row r="32" spans="1:5" x14ac:dyDescent="0.35">
      <c r="A32" s="118">
        <v>25</v>
      </c>
      <c r="B32" s="114" t="s">
        <v>115</v>
      </c>
      <c r="C32" s="109" t="e">
        <f>VLOOKUP(Table257519913140106110151155170178204249[[#This Row],[PEG]],Table1016[#All],2,FALSE)</f>
        <v>#N/A</v>
      </c>
      <c r="D32" s="117"/>
      <c r="E32" s="125" t="e">
        <f>VLOOKUP(Table257519913140106110151155170178204249[[#This Row],[PEG]],Table1016[#All],3,FALSE)</f>
        <v>#N/A</v>
      </c>
    </row>
    <row r="33" spans="1:5" x14ac:dyDescent="0.35">
      <c r="A33" s="118">
        <v>26</v>
      </c>
      <c r="B33" s="114" t="s">
        <v>124</v>
      </c>
      <c r="C33" s="109" t="e">
        <f>VLOOKUP(Table257519913140106110151155170178204249[[#This Row],[PEG]],Table1016[#All],2,FALSE)</f>
        <v>#N/A</v>
      </c>
      <c r="D33" s="117"/>
      <c r="E33" s="125" t="e">
        <f>VLOOKUP(Table257519913140106110151155170178204249[[#This Row],[PEG]],Table1016[#All],3,FALSE)</f>
        <v>#N/A</v>
      </c>
    </row>
    <row r="34" spans="1:5" x14ac:dyDescent="0.35">
      <c r="A34" s="118">
        <v>27</v>
      </c>
      <c r="B34" s="114" t="s">
        <v>115</v>
      </c>
      <c r="C34" s="109" t="e">
        <f>VLOOKUP(Table257519913140106110151155170178204249[[#This Row],[PEG]],Table1016[#All],2,FALSE)</f>
        <v>#N/A</v>
      </c>
      <c r="D34" s="117"/>
      <c r="E34" s="125" t="e">
        <f>VLOOKUP(Table257519913140106110151155170178204249[[#This Row],[PEG]],Table1016[#All],3,FALSE)</f>
        <v>#N/A</v>
      </c>
    </row>
    <row r="35" spans="1:5" x14ac:dyDescent="0.35">
      <c r="A35" s="118">
        <v>28</v>
      </c>
      <c r="B35" s="114" t="s">
        <v>124</v>
      </c>
      <c r="C35" s="109" t="e">
        <f>VLOOKUP(Table257519913140106110151155170178204249[[#This Row],[PEG]],Table1016[#All],2,FALSE)</f>
        <v>#N/A</v>
      </c>
      <c r="D35" s="117"/>
      <c r="E35" s="125" t="e">
        <f>VLOOKUP(Table257519913140106110151155170178204249[[#This Row],[PEG]],Table1016[#All],3,FALSE)</f>
        <v>#N/A</v>
      </c>
    </row>
    <row r="36" spans="1:5" x14ac:dyDescent="0.35">
      <c r="A36" s="118">
        <v>29</v>
      </c>
      <c r="B36" s="114" t="s">
        <v>115</v>
      </c>
      <c r="C36" s="109" t="e">
        <f>VLOOKUP(Table257519913140106110151155170178204249[[#This Row],[PEG]],Table1016[#All],2,FALSE)</f>
        <v>#N/A</v>
      </c>
      <c r="D36" s="117"/>
      <c r="E36" s="125" t="e">
        <f>VLOOKUP(Table257519913140106110151155170178204249[[#This Row],[PEG]],Table1016[#All],3,FALSE)</f>
        <v>#N/A</v>
      </c>
    </row>
    <row r="37" spans="1:5" x14ac:dyDescent="0.35">
      <c r="A37" s="118">
        <v>30</v>
      </c>
      <c r="B37" s="114" t="s">
        <v>12</v>
      </c>
      <c r="C37" s="109" t="e">
        <f>VLOOKUP(Table257519913140106110151155170178204249[[#This Row],[PEG]],Table1016[#All],2,FALSE)</f>
        <v>#N/A</v>
      </c>
      <c r="D37" s="117"/>
      <c r="E37" s="125" t="e">
        <f>VLOOKUP(Table257519913140106110151155170178204249[[#This Row],[PEG]],Table1016[#All],3,FALSE)</f>
        <v>#N/A</v>
      </c>
    </row>
    <row r="38" spans="1:5" x14ac:dyDescent="0.35">
      <c r="A38" s="118">
        <v>31</v>
      </c>
      <c r="B38" s="114" t="s">
        <v>12</v>
      </c>
      <c r="C38" s="109" t="e">
        <f>VLOOKUP(Table257519913140106110151155170178204249[[#This Row],[PEG]],Table1016[#All],2,FALSE)</f>
        <v>#N/A</v>
      </c>
      <c r="D38" s="117"/>
      <c r="E38" s="125" t="e">
        <f>VLOOKUP(Table257519913140106110151155170178204249[[#This Row],[PEG]],Table1016[#All],3,FALSE)</f>
        <v>#N/A</v>
      </c>
    </row>
    <row r="39" spans="1:5" x14ac:dyDescent="0.35">
      <c r="A39" s="118">
        <v>32</v>
      </c>
      <c r="B39" s="114" t="s">
        <v>12</v>
      </c>
      <c r="C39" s="109" t="e">
        <f>VLOOKUP(Table257519913140106110151155170178204249[[#This Row],[PEG]],Table1016[#All],2,FALSE)</f>
        <v>#N/A</v>
      </c>
      <c r="D39" s="117"/>
      <c r="E39" s="125" t="e">
        <f>VLOOKUP(Table257519913140106110151155170178204249[[#This Row],[PEG]],Table1016[#All],3,FALSE)</f>
        <v>#N/A</v>
      </c>
    </row>
    <row r="40" spans="1:5" x14ac:dyDescent="0.35">
      <c r="A40" s="118">
        <v>33</v>
      </c>
      <c r="B40" s="114" t="s">
        <v>12</v>
      </c>
      <c r="C40" s="109" t="e">
        <f>VLOOKUP(Table257519913140106110151155170178204249[[#This Row],[PEG]],Table1016[#All],2,FALSE)</f>
        <v>#N/A</v>
      </c>
      <c r="D40" s="117"/>
      <c r="E40" s="125" t="e">
        <f>VLOOKUP(Table257519913140106110151155170178204249[[#This Row],[PEG]],Table1016[#All],3,FALSE)</f>
        <v>#N/A</v>
      </c>
    </row>
    <row r="41" spans="1:5" x14ac:dyDescent="0.35">
      <c r="A41" s="118">
        <v>34</v>
      </c>
      <c r="B41" s="114" t="s">
        <v>115</v>
      </c>
      <c r="C41" s="109" t="e">
        <f>VLOOKUP(Table257519913140106110151155170178204249[[#This Row],[PEG]],Table1016[#All],2,FALSE)</f>
        <v>#N/A</v>
      </c>
      <c r="D41" s="117"/>
      <c r="E41" s="125" t="e">
        <f>VLOOKUP(Table257519913140106110151155170178204249[[#This Row],[PEG]],Table1016[#All],3,FALSE)</f>
        <v>#N/A</v>
      </c>
    </row>
    <row r="42" spans="1:5" x14ac:dyDescent="0.35">
      <c r="A42" s="118">
        <v>35</v>
      </c>
      <c r="B42" s="114" t="s">
        <v>12</v>
      </c>
      <c r="C42" s="109" t="e">
        <f>VLOOKUP(Table257519913140106110151155170178204249[[#This Row],[PEG]],Table1016[#All],2,FALSE)</f>
        <v>#N/A</v>
      </c>
      <c r="D42" s="115"/>
      <c r="E42" s="125" t="e">
        <f>VLOOKUP(Table257519913140106110151155170178204249[[#This Row],[PEG]],Table1016[#All],3,FALSE)</f>
        <v>#N/A</v>
      </c>
    </row>
    <row r="43" spans="1:5" x14ac:dyDescent="0.35">
      <c r="A43" s="118">
        <v>36</v>
      </c>
      <c r="B43" s="114" t="s">
        <v>115</v>
      </c>
      <c r="C43" s="109" t="e">
        <f>VLOOKUP(Table257519913140106110151155170178204249[[#This Row],[PEG]],Table1016[#All],2,FALSE)</f>
        <v>#N/A</v>
      </c>
      <c r="D43" s="115"/>
      <c r="E43" s="125" t="e">
        <f>VLOOKUP(Table257519913140106110151155170178204249[[#This Row],[PEG]],Table1016[#All],3,FALSE)</f>
        <v>#N/A</v>
      </c>
    </row>
    <row r="44" spans="1:5" x14ac:dyDescent="0.35">
      <c r="A44" s="118">
        <v>37</v>
      </c>
      <c r="B44" s="114" t="s">
        <v>13</v>
      </c>
      <c r="C44" s="18" t="s">
        <v>13</v>
      </c>
      <c r="D44" s="115"/>
      <c r="E44" s="32"/>
    </row>
  </sheetData>
  <mergeCells count="1">
    <mergeCell ref="A1:B1"/>
  </mergeCells>
  <conditionalFormatting sqref="B8:B18">
    <cfRule type="containsText" dxfId="551" priority="1" operator="containsText" text="Hear">
      <formula>NOT(ISERROR(SEARCH("Hear",B8)))</formula>
    </cfRule>
  </conditionalFormatting>
  <conditionalFormatting sqref="B30">
    <cfRule type="containsText" dxfId="550" priority="4" operator="containsText" text="Hear">
      <formula>NOT(ISERROR(SEARCH("Hear",B30)))</formula>
    </cfRule>
  </conditionalFormatting>
  <conditionalFormatting sqref="B43:B44">
    <cfRule type="containsText" dxfId="549" priority="8" operator="containsText" text="Hear">
      <formula>NOT(ISERROR(SEARCH("Hear",B43)))</formula>
    </cfRule>
  </conditionalFormatting>
  <conditionalFormatting sqref="E44">
    <cfRule type="containsText" dxfId="548" priority="6" operator="containsText" text="WEB SERVICE">
      <formula>NOT(ISERROR(SEARCH("WEB SERVICE",E44)))</formula>
    </cfRule>
    <cfRule type="containsText" dxfId="547" priority="7" operator="containsText" text="DB">
      <formula>NOT(ISERROR(SEARCH("DB",E44)))</formula>
    </cfRule>
  </conditionalFormatting>
  <conditionalFormatting sqref="C44">
    <cfRule type="expression" dxfId="546" priority="9">
      <formula>$B44="Dial"</formula>
    </cfRule>
  </conditionalFormatting>
  <conditionalFormatting sqref="C44">
    <cfRule type="expression" dxfId="545" priority="3">
      <formula>$B44="Speak"</formula>
    </cfRule>
  </conditionalFormatting>
  <conditionalFormatting sqref="B19:B29 B31:B35 B42">
    <cfRule type="containsText" dxfId="544" priority="5" operator="containsText" text="Hear">
      <formula>NOT(ISERROR(SEARCH("Hear",B19)))</formula>
    </cfRule>
  </conditionalFormatting>
  <hyperlinks>
    <hyperlink ref="A1" location="'Test Case Overview'!A1" display="Return to Test Case Overview" xr:uid="{B1921A7A-A6DC-49C5-9E2E-E9282827CF27}"/>
  </hyperlinks>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expression" priority="2" id="{D65D722B-FCFE-4447-91AC-B210CD89A2CC}">
            <xm:f>'TC1'!$B8="HANGUP"</xm:f>
            <x14:dxf>
              <font>
                <b/>
                <i val="0"/>
              </font>
            </x14:dxf>
          </x14:cfRule>
          <xm:sqref>C8</xm:sqref>
        </x14:conditionalFormatting>
        <x14:conditionalFormatting xmlns:xm="http://schemas.microsoft.com/office/excel/2006/main">
          <x14:cfRule type="expression" priority="3326" id="{D65D722B-FCFE-4447-91AC-B210CD89A2CC}">
            <xm:f>'TC1'!$B16="HANGUP"</xm:f>
            <x14:dxf>
              <font>
                <b/>
                <i val="0"/>
              </font>
            </x14:dxf>
          </x14:cfRule>
          <xm:sqref>C34:C43</xm:sqref>
        </x14:conditionalFormatting>
        <x14:conditionalFormatting xmlns:xm="http://schemas.microsoft.com/office/excel/2006/main">
          <x14:cfRule type="expression" priority="3327" id="{D65D722B-FCFE-4447-91AC-B210CD89A2CC}">
            <xm:f>'TC1'!#REF!="HANGUP"</xm:f>
            <x14:dxf>
              <font>
                <b/>
                <i val="0"/>
              </font>
            </x14:dxf>
          </x14:cfRule>
          <xm:sqref>C17:C33</xm:sqref>
        </x14:conditionalFormatting>
        <x14:conditionalFormatting xmlns:xm="http://schemas.microsoft.com/office/excel/2006/main">
          <x14:cfRule type="expression" priority="5940" id="{D65D722B-FCFE-4447-91AC-B210CD89A2CC}">
            <xm:f>'TC1'!$B9="HANGUP"</xm:f>
            <x14:dxf>
              <font>
                <b/>
                <i val="0"/>
              </font>
            </x14:dxf>
          </x14:cfRule>
          <xm:sqref>C12:C15</xm:sqref>
        </x14:conditionalFormatting>
        <x14:conditionalFormatting xmlns:xm="http://schemas.microsoft.com/office/excel/2006/main">
          <x14:cfRule type="expression" priority="5941" id="{D65D722B-FCFE-4447-91AC-B210CD89A2CC}">
            <xm:f>'TC1'!#REF!="HANGUP"</xm:f>
            <x14:dxf>
              <font>
                <b/>
                <i val="0"/>
              </font>
            </x14:dxf>
          </x14:cfRule>
          <xm:sqref>C9:C11</xm:sqref>
        </x14:conditionalFormatting>
        <x14:conditionalFormatting xmlns:xm="http://schemas.microsoft.com/office/excel/2006/main">
          <x14:cfRule type="expression" priority="8118" id="{D65D722B-FCFE-4447-91AC-B210CD89A2CC}">
            <xm:f>'TC1'!$B15="HANGUP"</xm:f>
            <x14:dxf>
              <font>
                <b/>
                <i val="0"/>
              </font>
            </x14:dxf>
          </x14:cfRule>
          <xm:sqref>C16</xm:sqref>
        </x14:conditionalFormatting>
      </x14:conditionalFormattings>
    </ext>
  </extLst>
</worksheet>
</file>

<file path=xl/worksheets/sheet1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B00-000000000000}">
  <sheetPr codeName="Sheet173"/>
  <dimension ref="A1:E44"/>
  <sheetViews>
    <sheetView zoomScaleNormal="100" workbookViewId="0">
      <selection sqref="A1:E44"/>
    </sheetView>
  </sheetViews>
  <sheetFormatPr defaultRowHeight="14.5" x14ac:dyDescent="0.35"/>
  <cols>
    <col min="1" max="1" width="14.453125" bestFit="1" customWidth="1"/>
    <col min="2" max="2" width="42.6328125" customWidth="1"/>
    <col min="3" max="3" width="106.1796875" customWidth="1"/>
    <col min="4" max="4" width="21.81640625" bestFit="1" customWidth="1"/>
    <col min="5" max="5" width="20.6328125" customWidth="1"/>
  </cols>
  <sheetData>
    <row r="1" spans="1:5" ht="18.5" x14ac:dyDescent="0.35">
      <c r="A1" s="192" t="s">
        <v>4</v>
      </c>
      <c r="B1" s="192"/>
      <c r="C1" s="105"/>
      <c r="D1" s="111"/>
      <c r="E1" s="97"/>
    </row>
    <row r="2" spans="1:5" x14ac:dyDescent="0.35">
      <c r="A2" s="106" t="s">
        <v>5</v>
      </c>
      <c r="B2" s="107" t="str">
        <f ca="1">MID(CELL("filename",A1),FIND("]",CELL("filename",A1))+1,LEN(CELL("filename",A1))-FIND("]",CELL("filename",A1)))</f>
        <v>TC171</v>
      </c>
      <c r="C2" s="98"/>
      <c r="D2" s="111"/>
      <c r="E2" s="97"/>
    </row>
    <row r="3" spans="1:5" x14ac:dyDescent="0.35">
      <c r="A3" s="104" t="s">
        <v>19</v>
      </c>
      <c r="B3" s="112" t="e">
        <f ca="1">VLOOKUP(B2,Table53[#All],2,FALSE)</f>
        <v>#N/A</v>
      </c>
      <c r="C3" s="98"/>
      <c r="D3" s="111"/>
      <c r="E3" s="97"/>
    </row>
    <row r="4" spans="1:5" ht="29" x14ac:dyDescent="0.35">
      <c r="A4" s="113" t="s">
        <v>20</v>
      </c>
      <c r="B4" s="99" t="e">
        <f ca="1">VLOOKUP(B2,Table53[#All],4,FALSE)</f>
        <v>#N/A</v>
      </c>
      <c r="C4" s="98"/>
      <c r="D4" s="111"/>
      <c r="E4" s="97"/>
    </row>
    <row r="5" spans="1:5" x14ac:dyDescent="0.35">
      <c r="A5" s="104" t="s">
        <v>6</v>
      </c>
      <c r="B5" s="77" t="e">
        <f ca="1">VLOOKUP(B2,Table53[#All],3,FALSE)</f>
        <v>#N/A</v>
      </c>
      <c r="C5" s="98"/>
      <c r="D5" s="111"/>
      <c r="E5" s="97"/>
    </row>
    <row r="6" spans="1:5" x14ac:dyDescent="0.35">
      <c r="A6" s="97"/>
      <c r="B6" s="97"/>
      <c r="C6" s="98"/>
      <c r="D6" s="111"/>
      <c r="E6" s="97"/>
    </row>
    <row r="7" spans="1:5" ht="15.5" x14ac:dyDescent="0.35">
      <c r="A7" s="100" t="s">
        <v>7</v>
      </c>
      <c r="B7" s="101" t="s">
        <v>8</v>
      </c>
      <c r="C7" s="102" t="s">
        <v>9</v>
      </c>
      <c r="D7" s="102" t="s">
        <v>14</v>
      </c>
      <c r="E7" s="103" t="s">
        <v>10</v>
      </c>
    </row>
    <row r="8" spans="1:5" x14ac:dyDescent="0.35">
      <c r="A8" s="118">
        <v>1</v>
      </c>
      <c r="B8" s="114" t="s">
        <v>114</v>
      </c>
      <c r="C8" s="109" t="s">
        <v>125</v>
      </c>
      <c r="D8" s="128"/>
      <c r="E8" s="125" t="s">
        <v>11</v>
      </c>
    </row>
    <row r="9" spans="1:5" x14ac:dyDescent="0.35">
      <c r="A9" s="118">
        <v>2</v>
      </c>
      <c r="B9" s="114" t="s">
        <v>12</v>
      </c>
      <c r="C9" s="109" t="e">
        <f>VLOOKUP(Table257519913140106110151155170178204251[[#This Row],[PEG]],Table1016[#All],2,FALSE)</f>
        <v>#N/A</v>
      </c>
      <c r="D9" s="128"/>
      <c r="E9" s="125" t="e">
        <f>VLOOKUP(Table257519913140106110151155170178204251[[#This Row],[PEG]],Table1016[#All],3,FALSE)</f>
        <v>#N/A</v>
      </c>
    </row>
    <row r="10" spans="1:5" x14ac:dyDescent="0.35">
      <c r="A10" s="118">
        <v>3</v>
      </c>
      <c r="B10" s="114" t="s">
        <v>115</v>
      </c>
      <c r="C10" s="109" t="e">
        <f>VLOOKUP(Table257519913140106110151155170178204251[[#This Row],[PEG]],Table1016[#All],2,FALSE)</f>
        <v>#N/A</v>
      </c>
      <c r="D10" s="128"/>
      <c r="E10" s="125" t="e">
        <f>VLOOKUP(Table257519913140106110151155170178204251[[#This Row],[PEG]],Table1016[#All],3,FALSE)</f>
        <v>#N/A</v>
      </c>
    </row>
    <row r="11" spans="1:5" x14ac:dyDescent="0.35">
      <c r="A11" s="118">
        <v>4</v>
      </c>
      <c r="B11" s="114" t="s">
        <v>115</v>
      </c>
      <c r="C11" s="109" t="e">
        <f>VLOOKUP(Table257519913140106110151155170178204251[[#This Row],[PEG]],Table1016[#All],2,FALSE)</f>
        <v>#N/A</v>
      </c>
      <c r="D11" s="128"/>
      <c r="E11" s="125" t="e">
        <f>VLOOKUP(Table257519913140106110151155170178204251[[#This Row],[PEG]],Table1016[#All],3,FALSE)</f>
        <v>#N/A</v>
      </c>
    </row>
    <row r="12" spans="1:5" x14ac:dyDescent="0.35">
      <c r="A12" s="118">
        <v>5</v>
      </c>
      <c r="B12" s="114" t="s">
        <v>114</v>
      </c>
      <c r="C12" s="109" t="e">
        <f>VLOOKUP(Table257519913140106110151155170178204251[[#This Row],[PEG]],Table1016[#All],2,FALSE)</f>
        <v>#N/A</v>
      </c>
      <c r="D12" s="128"/>
      <c r="E12" s="125" t="e">
        <f>VLOOKUP(Table257519913140106110151155170178204251[[#This Row],[PEG]],Table1016[#All],3,FALSE)</f>
        <v>#N/A</v>
      </c>
    </row>
    <row r="13" spans="1:5" x14ac:dyDescent="0.35">
      <c r="A13" s="118">
        <v>6</v>
      </c>
      <c r="B13" s="114" t="s">
        <v>115</v>
      </c>
      <c r="C13" s="109" t="e">
        <f>VLOOKUP(Table257519913140106110151155170178204251[[#This Row],[PEG]],Table1016[#All],2,FALSE)</f>
        <v>#N/A</v>
      </c>
      <c r="D13" s="128"/>
      <c r="E13" s="125" t="e">
        <f>VLOOKUP(Table257519913140106110151155170178204251[[#This Row],[PEG]],Table1016[#All],3,FALSE)</f>
        <v>#N/A</v>
      </c>
    </row>
    <row r="14" spans="1:5" x14ac:dyDescent="0.35">
      <c r="A14" s="118">
        <v>7</v>
      </c>
      <c r="B14" s="114" t="s">
        <v>114</v>
      </c>
      <c r="C14" s="109" t="e">
        <f>VLOOKUP(Table257519913140106110151155170178204251[[#This Row],[PEG]],Table1016[#All],2,FALSE)</f>
        <v>#N/A</v>
      </c>
      <c r="D14" s="128"/>
      <c r="E14" s="125" t="e">
        <f>VLOOKUP(Table257519913140106110151155170178204251[[#This Row],[PEG]],Table1016[#All],3,FALSE)</f>
        <v>#N/A</v>
      </c>
    </row>
    <row r="15" spans="1:5" x14ac:dyDescent="0.35">
      <c r="A15" s="118">
        <v>8</v>
      </c>
      <c r="B15" s="114" t="s">
        <v>115</v>
      </c>
      <c r="C15" s="109" t="e">
        <f>VLOOKUP(Table257519913140106110151155170178204251[[#This Row],[PEG]],Table1016[#All],2,FALSE)</f>
        <v>#N/A</v>
      </c>
      <c r="D15" s="116"/>
      <c r="E15" s="125" t="e">
        <f>VLOOKUP(Table257519913140106110151155170178204251[[#This Row],[PEG]],Table1016[#All],3,FALSE)</f>
        <v>#N/A</v>
      </c>
    </row>
    <row r="16" spans="1:5" x14ac:dyDescent="0.35">
      <c r="A16" s="118">
        <v>9</v>
      </c>
      <c r="B16" s="114" t="s">
        <v>12</v>
      </c>
      <c r="C16" s="109" t="e">
        <f>VLOOKUP(Table257519913140106110151155170178204251[[#This Row],[PEG]],Table1016[#All],2,FALSE)</f>
        <v>#N/A</v>
      </c>
      <c r="D16" s="116"/>
      <c r="E16" s="125" t="e">
        <f>VLOOKUP(Table257519913140106110151155170178204251[[#This Row],[PEG]],Table1016[#All],3,FALSE)</f>
        <v>#N/A</v>
      </c>
    </row>
    <row r="17" spans="1:5" x14ac:dyDescent="0.35">
      <c r="A17" s="118">
        <v>10</v>
      </c>
      <c r="B17" s="114" t="s">
        <v>12</v>
      </c>
      <c r="C17" s="109" t="e">
        <f>VLOOKUP(Table257519913140106110151155170178204251[[#This Row],[PEG]],Table1016[#All],2,FALSE)</f>
        <v>#N/A</v>
      </c>
      <c r="D17" s="117"/>
      <c r="E17" s="125" t="e">
        <f>VLOOKUP(Table257519913140106110151155170178204251[[#This Row],[PEG]],Table1016[#All],3,FALSE)</f>
        <v>#N/A</v>
      </c>
    </row>
    <row r="18" spans="1:5" x14ac:dyDescent="0.35">
      <c r="A18" s="118">
        <v>11</v>
      </c>
      <c r="B18" s="114" t="s">
        <v>115</v>
      </c>
      <c r="C18" s="109" t="e">
        <f>VLOOKUP(Table257519913140106110151155170178204251[[#This Row],[PEG]],Table1016[#All],2,FALSE)</f>
        <v>#N/A</v>
      </c>
      <c r="D18" s="117"/>
      <c r="E18" s="125" t="e">
        <f>VLOOKUP(Table257519913140106110151155170178204251[[#This Row],[PEG]],Table1016[#All],3,FALSE)</f>
        <v>#N/A</v>
      </c>
    </row>
    <row r="19" spans="1:5" x14ac:dyDescent="0.35">
      <c r="A19" s="118">
        <v>12</v>
      </c>
      <c r="B19" s="114" t="s">
        <v>115</v>
      </c>
      <c r="C19" s="109" t="e">
        <f>VLOOKUP(Table257519913140106110151155170178204251[[#This Row],[PEG]],Table1016[#All],2,FALSE)</f>
        <v>#N/A</v>
      </c>
      <c r="D19" s="117"/>
      <c r="E19" s="125" t="e">
        <f>VLOOKUP(Table257519913140106110151155170178204251[[#This Row],[PEG]],Table1016[#All],3,FALSE)</f>
        <v>#N/A</v>
      </c>
    </row>
    <row r="20" spans="1:5" x14ac:dyDescent="0.35">
      <c r="A20" s="118">
        <v>13</v>
      </c>
      <c r="B20" s="114" t="s">
        <v>114</v>
      </c>
      <c r="C20" s="109" t="e">
        <f>VLOOKUP(Table257519913140106110151155170178204251[[#This Row],[PEG]],Table1016[#All],2,FALSE)</f>
        <v>#N/A</v>
      </c>
      <c r="D20" s="117"/>
      <c r="E20" s="125" t="e">
        <f>VLOOKUP(Table257519913140106110151155170178204251[[#This Row],[PEG]],Table1016[#All],3,FALSE)</f>
        <v>#N/A</v>
      </c>
    </row>
    <row r="21" spans="1:5" x14ac:dyDescent="0.35">
      <c r="A21" s="118">
        <v>14</v>
      </c>
      <c r="B21" s="114" t="s">
        <v>12</v>
      </c>
      <c r="C21" s="109" t="e">
        <f>VLOOKUP(Table257519913140106110151155170178204251[[#This Row],[PEG]],Table1016[#All],2,FALSE)</f>
        <v>#N/A</v>
      </c>
      <c r="D21" s="117"/>
      <c r="E21" s="125" t="e">
        <f>VLOOKUP(Table257519913140106110151155170178204251[[#This Row],[PEG]],Table1016[#All],3,FALSE)</f>
        <v>#N/A</v>
      </c>
    </row>
    <row r="22" spans="1:5" x14ac:dyDescent="0.35">
      <c r="A22" s="118">
        <v>15</v>
      </c>
      <c r="B22" s="114" t="s">
        <v>12</v>
      </c>
      <c r="C22" s="109" t="e">
        <f>VLOOKUP(Table257519913140106110151155170178204251[[#This Row],[PEG]],Table1016[#All],2,FALSE)</f>
        <v>#N/A</v>
      </c>
      <c r="D22" s="117"/>
      <c r="E22" s="125" t="e">
        <f>VLOOKUP(Table257519913140106110151155170178204251[[#This Row],[PEG]],Table1016[#All],3,FALSE)</f>
        <v>#N/A</v>
      </c>
    </row>
    <row r="23" spans="1:5" x14ac:dyDescent="0.35">
      <c r="A23" s="118">
        <v>16</v>
      </c>
      <c r="B23" s="114" t="s">
        <v>115</v>
      </c>
      <c r="C23" s="109" t="e">
        <f>VLOOKUP(Table257519913140106110151155170178204251[[#This Row],[PEG]],Table1016[#All],2,FALSE)</f>
        <v>#N/A</v>
      </c>
      <c r="D23" s="117"/>
      <c r="E23" s="125" t="e">
        <f>VLOOKUP(Table257519913140106110151155170178204251[[#This Row],[PEG]],Table1016[#All],3,FALSE)</f>
        <v>#N/A</v>
      </c>
    </row>
    <row r="24" spans="1:5" x14ac:dyDescent="0.35">
      <c r="A24" s="118">
        <v>17</v>
      </c>
      <c r="B24" s="114" t="s">
        <v>114</v>
      </c>
      <c r="C24" s="109" t="e">
        <f>VLOOKUP(Table257519913140106110151155170178204251[[#This Row],[PEG]],Table1016[#All],2,FALSE)</f>
        <v>#N/A</v>
      </c>
      <c r="D24" s="117"/>
      <c r="E24" s="125" t="e">
        <f>VLOOKUP(Table257519913140106110151155170178204251[[#This Row],[PEG]],Table1016[#All],3,FALSE)</f>
        <v>#N/A</v>
      </c>
    </row>
    <row r="25" spans="1:5" x14ac:dyDescent="0.35">
      <c r="A25" s="118">
        <v>18</v>
      </c>
      <c r="B25" s="114" t="s">
        <v>12</v>
      </c>
      <c r="C25" s="109" t="e">
        <f>VLOOKUP(Table257519913140106110151155170178204251[[#This Row],[PEG]],Table1016[#All],2,FALSE)</f>
        <v>#N/A</v>
      </c>
      <c r="D25" s="117"/>
      <c r="E25" s="125" t="e">
        <f>VLOOKUP(Table257519913140106110151155170178204251[[#This Row],[PEG]],Table1016[#All],3,FALSE)</f>
        <v>#N/A</v>
      </c>
    </row>
    <row r="26" spans="1:5" x14ac:dyDescent="0.35">
      <c r="A26" s="118">
        <v>19</v>
      </c>
      <c r="B26" s="114" t="s">
        <v>12</v>
      </c>
      <c r="C26" s="109" t="e">
        <f>VLOOKUP(Table257519913140106110151155170178204251[[#This Row],[PEG]],Table1016[#All],2,FALSE)</f>
        <v>#N/A</v>
      </c>
      <c r="D26" s="117"/>
      <c r="E26" s="125" t="e">
        <f>VLOOKUP(Table257519913140106110151155170178204251[[#This Row],[PEG]],Table1016[#All],3,FALSE)</f>
        <v>#N/A</v>
      </c>
    </row>
    <row r="27" spans="1:5" x14ac:dyDescent="0.35">
      <c r="A27" s="118">
        <v>20</v>
      </c>
      <c r="B27" s="114" t="s">
        <v>115</v>
      </c>
      <c r="C27" s="109" t="e">
        <f>VLOOKUP(Table257519913140106110151155170178204251[[#This Row],[PEG]],Table1016[#All],2,FALSE)</f>
        <v>#N/A</v>
      </c>
      <c r="D27" s="117"/>
      <c r="E27" s="125" t="e">
        <f>VLOOKUP(Table257519913140106110151155170178204251[[#This Row],[PEG]],Table1016[#All],3,FALSE)</f>
        <v>#N/A</v>
      </c>
    </row>
    <row r="28" spans="1:5" x14ac:dyDescent="0.35">
      <c r="A28" s="118">
        <v>21</v>
      </c>
      <c r="B28" s="114" t="s">
        <v>114</v>
      </c>
      <c r="C28" s="109" t="e">
        <f>VLOOKUP(Table257519913140106110151155170178204251[[#This Row],[PEG]],Table1016[#All],2,FALSE)</f>
        <v>#N/A</v>
      </c>
      <c r="D28" s="117"/>
      <c r="E28" s="125" t="e">
        <f>VLOOKUP(Table257519913140106110151155170178204251[[#This Row],[PEG]],Table1016[#All],3,FALSE)</f>
        <v>#N/A</v>
      </c>
    </row>
    <row r="29" spans="1:5" x14ac:dyDescent="0.35">
      <c r="A29" s="118">
        <v>22</v>
      </c>
      <c r="B29" s="114" t="s">
        <v>12</v>
      </c>
      <c r="C29" s="109" t="e">
        <f>VLOOKUP(Table257519913140106110151155170178204251[[#This Row],[PEG]],Table1016[#All],2,FALSE)</f>
        <v>#N/A</v>
      </c>
      <c r="D29" s="117"/>
      <c r="E29" s="125" t="e">
        <f>VLOOKUP(Table257519913140106110151155170178204251[[#This Row],[PEG]],Table1016[#All],3,FALSE)</f>
        <v>#N/A</v>
      </c>
    </row>
    <row r="30" spans="1:5" x14ac:dyDescent="0.35">
      <c r="A30" s="118">
        <v>23</v>
      </c>
      <c r="B30" s="114" t="s">
        <v>12</v>
      </c>
      <c r="C30" s="109" t="e">
        <f>VLOOKUP(Table257519913140106110151155170178204251[[#This Row],[PEG]],Table1016[#All],2,FALSE)</f>
        <v>#N/A</v>
      </c>
      <c r="D30" s="117"/>
      <c r="E30" s="125" t="e">
        <f>VLOOKUP(Table257519913140106110151155170178204251[[#This Row],[PEG]],Table1016[#All],3,FALSE)</f>
        <v>#N/A</v>
      </c>
    </row>
    <row r="31" spans="1:5" x14ac:dyDescent="0.35">
      <c r="A31" s="118">
        <v>24</v>
      </c>
      <c r="B31" s="114" t="s">
        <v>115</v>
      </c>
      <c r="C31" s="109" t="e">
        <f>VLOOKUP(Table257519913140106110151155170178204251[[#This Row],[PEG]],Table1016[#All],2,FALSE)</f>
        <v>#N/A</v>
      </c>
      <c r="D31" s="117"/>
      <c r="E31" s="125" t="e">
        <f>VLOOKUP(Table257519913140106110151155170178204251[[#This Row],[PEG]],Table1016[#All],3,FALSE)</f>
        <v>#N/A</v>
      </c>
    </row>
    <row r="32" spans="1:5" x14ac:dyDescent="0.35">
      <c r="A32" s="118">
        <v>25</v>
      </c>
      <c r="B32" s="114" t="s">
        <v>115</v>
      </c>
      <c r="C32" s="109" t="e">
        <f>VLOOKUP(Table257519913140106110151155170178204251[[#This Row],[PEG]],Table1016[#All],2,FALSE)</f>
        <v>#N/A</v>
      </c>
      <c r="D32" s="117"/>
      <c r="E32" s="125" t="e">
        <f>VLOOKUP(Table257519913140106110151155170178204251[[#This Row],[PEG]],Table1016[#All],3,FALSE)</f>
        <v>#N/A</v>
      </c>
    </row>
    <row r="33" spans="1:5" x14ac:dyDescent="0.35">
      <c r="A33" s="118">
        <v>26</v>
      </c>
      <c r="B33" s="114" t="s">
        <v>124</v>
      </c>
      <c r="C33" s="109" t="e">
        <f>VLOOKUP(Table257519913140106110151155170178204251[[#This Row],[PEG]],Table1016[#All],2,FALSE)</f>
        <v>#N/A</v>
      </c>
      <c r="D33" s="117"/>
      <c r="E33" s="125" t="e">
        <f>VLOOKUP(Table257519913140106110151155170178204251[[#This Row],[PEG]],Table1016[#All],3,FALSE)</f>
        <v>#N/A</v>
      </c>
    </row>
    <row r="34" spans="1:5" x14ac:dyDescent="0.35">
      <c r="A34" s="118">
        <v>27</v>
      </c>
      <c r="B34" s="114" t="s">
        <v>115</v>
      </c>
      <c r="C34" s="109" t="e">
        <f>VLOOKUP(Table257519913140106110151155170178204251[[#This Row],[PEG]],Table1016[#All],2,FALSE)</f>
        <v>#N/A</v>
      </c>
      <c r="D34" s="117"/>
      <c r="E34" s="125" t="e">
        <f>VLOOKUP(Table257519913140106110151155170178204251[[#This Row],[PEG]],Table1016[#All],3,FALSE)</f>
        <v>#N/A</v>
      </c>
    </row>
    <row r="35" spans="1:5" x14ac:dyDescent="0.35">
      <c r="A35" s="118">
        <v>28</v>
      </c>
      <c r="B35" s="114" t="s">
        <v>124</v>
      </c>
      <c r="C35" s="109" t="e">
        <f>VLOOKUP(Table257519913140106110151155170178204251[[#This Row],[PEG]],Table1016[#All],2,FALSE)</f>
        <v>#N/A</v>
      </c>
      <c r="D35" s="117"/>
      <c r="E35" s="125" t="e">
        <f>VLOOKUP(Table257519913140106110151155170178204251[[#This Row],[PEG]],Table1016[#All],3,FALSE)</f>
        <v>#N/A</v>
      </c>
    </row>
    <row r="36" spans="1:5" x14ac:dyDescent="0.35">
      <c r="A36" s="118">
        <v>29</v>
      </c>
      <c r="B36" s="114" t="s">
        <v>115</v>
      </c>
      <c r="C36" s="109" t="e">
        <f>VLOOKUP(Table257519913140106110151155170178204251[[#This Row],[PEG]],Table1016[#All],2,FALSE)</f>
        <v>#N/A</v>
      </c>
      <c r="D36" s="117"/>
      <c r="E36" s="125" t="e">
        <f>VLOOKUP(Table257519913140106110151155170178204251[[#This Row],[PEG]],Table1016[#All],3,FALSE)</f>
        <v>#N/A</v>
      </c>
    </row>
    <row r="37" spans="1:5" x14ac:dyDescent="0.35">
      <c r="A37" s="118">
        <v>30</v>
      </c>
      <c r="B37" s="114" t="s">
        <v>12</v>
      </c>
      <c r="C37" s="109" t="e">
        <f>VLOOKUP(Table257519913140106110151155170178204251[[#This Row],[PEG]],Table1016[#All],2,FALSE)</f>
        <v>#N/A</v>
      </c>
      <c r="D37" s="117"/>
      <c r="E37" s="125" t="e">
        <f>VLOOKUP(Table257519913140106110151155170178204251[[#This Row],[PEG]],Table1016[#All],3,FALSE)</f>
        <v>#N/A</v>
      </c>
    </row>
    <row r="38" spans="1:5" x14ac:dyDescent="0.35">
      <c r="A38" s="118">
        <v>31</v>
      </c>
      <c r="B38" s="114" t="s">
        <v>12</v>
      </c>
      <c r="C38" s="109" t="e">
        <f>VLOOKUP(Table257519913140106110151155170178204251[[#This Row],[PEG]],Table1016[#All],2,FALSE)</f>
        <v>#N/A</v>
      </c>
      <c r="D38" s="117"/>
      <c r="E38" s="125" t="e">
        <f>VLOOKUP(Table257519913140106110151155170178204251[[#This Row],[PEG]],Table1016[#All],3,FALSE)</f>
        <v>#N/A</v>
      </c>
    </row>
    <row r="39" spans="1:5" x14ac:dyDescent="0.35">
      <c r="A39" s="118">
        <v>32</v>
      </c>
      <c r="B39" s="114" t="s">
        <v>12</v>
      </c>
      <c r="C39" s="109" t="e">
        <f>VLOOKUP(Table257519913140106110151155170178204251[[#This Row],[PEG]],Table1016[#All],2,FALSE)</f>
        <v>#N/A</v>
      </c>
      <c r="D39" s="117"/>
      <c r="E39" s="125" t="e">
        <f>VLOOKUP(Table257519913140106110151155170178204251[[#This Row],[PEG]],Table1016[#All],3,FALSE)</f>
        <v>#N/A</v>
      </c>
    </row>
    <row r="40" spans="1:5" x14ac:dyDescent="0.35">
      <c r="A40" s="118">
        <v>33</v>
      </c>
      <c r="B40" s="114" t="s">
        <v>12</v>
      </c>
      <c r="C40" s="109" t="e">
        <f>VLOOKUP(Table257519913140106110151155170178204251[[#This Row],[PEG]],Table1016[#All],2,FALSE)</f>
        <v>#N/A</v>
      </c>
      <c r="D40" s="117"/>
      <c r="E40" s="125" t="e">
        <f>VLOOKUP(Table257519913140106110151155170178204251[[#This Row],[PEG]],Table1016[#All],3,FALSE)</f>
        <v>#N/A</v>
      </c>
    </row>
    <row r="41" spans="1:5" x14ac:dyDescent="0.35">
      <c r="A41" s="118">
        <v>34</v>
      </c>
      <c r="B41" s="114" t="s">
        <v>115</v>
      </c>
      <c r="C41" s="109" t="e">
        <f>VLOOKUP(Table257519913140106110151155170178204251[[#This Row],[PEG]],Table1016[#All],2,FALSE)</f>
        <v>#N/A</v>
      </c>
      <c r="D41" s="117"/>
      <c r="E41" s="125" t="e">
        <f>VLOOKUP(Table257519913140106110151155170178204251[[#This Row],[PEG]],Table1016[#All],3,FALSE)</f>
        <v>#N/A</v>
      </c>
    </row>
    <row r="42" spans="1:5" x14ac:dyDescent="0.35">
      <c r="A42" s="118">
        <v>35</v>
      </c>
      <c r="B42" s="114" t="s">
        <v>12</v>
      </c>
      <c r="C42" s="109" t="e">
        <f>VLOOKUP(Table257519913140106110151155170178204251[[#This Row],[PEG]],Table1016[#All],2,FALSE)</f>
        <v>#N/A</v>
      </c>
      <c r="D42" s="115"/>
      <c r="E42" s="125" t="e">
        <f>VLOOKUP(Table257519913140106110151155170178204251[[#This Row],[PEG]],Table1016[#All],3,FALSE)</f>
        <v>#N/A</v>
      </c>
    </row>
    <row r="43" spans="1:5" x14ac:dyDescent="0.35">
      <c r="A43" s="118">
        <v>36</v>
      </c>
      <c r="B43" s="114" t="s">
        <v>115</v>
      </c>
      <c r="C43" s="109" t="e">
        <f>VLOOKUP(Table257519913140106110151155170178204251[[#This Row],[PEG]],Table1016[#All],2,FALSE)</f>
        <v>#N/A</v>
      </c>
      <c r="D43" s="115"/>
      <c r="E43" s="125" t="e">
        <f>VLOOKUP(Table257519913140106110151155170178204251[[#This Row],[PEG]],Table1016[#All],3,FALSE)</f>
        <v>#N/A</v>
      </c>
    </row>
    <row r="44" spans="1:5" x14ac:dyDescent="0.35">
      <c r="A44" s="118">
        <v>37</v>
      </c>
      <c r="B44" s="114" t="s">
        <v>13</v>
      </c>
      <c r="C44" s="18" t="s">
        <v>13</v>
      </c>
      <c r="D44" s="115"/>
      <c r="E44" s="32"/>
    </row>
  </sheetData>
  <mergeCells count="1">
    <mergeCell ref="A1:B1"/>
  </mergeCells>
  <conditionalFormatting sqref="B8:B18">
    <cfRule type="containsText" dxfId="537" priority="1" operator="containsText" text="Hear">
      <formula>NOT(ISERROR(SEARCH("Hear",B8)))</formula>
    </cfRule>
  </conditionalFormatting>
  <conditionalFormatting sqref="B30">
    <cfRule type="containsText" dxfId="536" priority="4" operator="containsText" text="Hear">
      <formula>NOT(ISERROR(SEARCH("Hear",B30)))</formula>
    </cfRule>
  </conditionalFormatting>
  <conditionalFormatting sqref="B43:B44">
    <cfRule type="containsText" dxfId="535" priority="8" operator="containsText" text="Hear">
      <formula>NOT(ISERROR(SEARCH("Hear",B43)))</formula>
    </cfRule>
  </conditionalFormatting>
  <conditionalFormatting sqref="E44">
    <cfRule type="containsText" dxfId="534" priority="6" operator="containsText" text="WEB SERVICE">
      <formula>NOT(ISERROR(SEARCH("WEB SERVICE",E44)))</formula>
    </cfRule>
    <cfRule type="containsText" dxfId="533" priority="7" operator="containsText" text="DB">
      <formula>NOT(ISERROR(SEARCH("DB",E44)))</formula>
    </cfRule>
  </conditionalFormatting>
  <conditionalFormatting sqref="C44">
    <cfRule type="expression" dxfId="532" priority="9">
      <formula>$B44="Dial"</formula>
    </cfRule>
  </conditionalFormatting>
  <conditionalFormatting sqref="C44">
    <cfRule type="expression" dxfId="531" priority="3">
      <formula>$B44="Speak"</formula>
    </cfRule>
  </conditionalFormatting>
  <conditionalFormatting sqref="B19:B29 B31:B35 B42">
    <cfRule type="containsText" dxfId="530" priority="5" operator="containsText" text="Hear">
      <formula>NOT(ISERROR(SEARCH("Hear",B19)))</formula>
    </cfRule>
  </conditionalFormatting>
  <hyperlinks>
    <hyperlink ref="A1" location="'Test Case Overview'!A1" display="Return to Test Case Overview" xr:uid="{7528B931-167D-4F11-8046-E6B31B23BB48}"/>
  </hyperlinks>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expression" priority="2" id="{FA20E984-09A7-4915-8368-50D599F0F440}">
            <xm:f>'TC1'!$B8="HANGUP"</xm:f>
            <x14:dxf>
              <font>
                <b/>
                <i val="0"/>
              </font>
            </x14:dxf>
          </x14:cfRule>
          <xm:sqref>C8</xm:sqref>
        </x14:conditionalFormatting>
        <x14:conditionalFormatting xmlns:xm="http://schemas.microsoft.com/office/excel/2006/main">
          <x14:cfRule type="expression" priority="3330" id="{FA20E984-09A7-4915-8368-50D599F0F440}">
            <xm:f>'TC1'!$B16="HANGUP"</xm:f>
            <x14:dxf>
              <font>
                <b/>
                <i val="0"/>
              </font>
            </x14:dxf>
          </x14:cfRule>
          <xm:sqref>C34:C43</xm:sqref>
        </x14:conditionalFormatting>
        <x14:conditionalFormatting xmlns:xm="http://schemas.microsoft.com/office/excel/2006/main">
          <x14:cfRule type="expression" priority="3331" id="{FA20E984-09A7-4915-8368-50D599F0F440}">
            <xm:f>'TC1'!#REF!="HANGUP"</xm:f>
            <x14:dxf>
              <font>
                <b/>
                <i val="0"/>
              </font>
            </x14:dxf>
          </x14:cfRule>
          <xm:sqref>C17:C33</xm:sqref>
        </x14:conditionalFormatting>
        <x14:conditionalFormatting xmlns:xm="http://schemas.microsoft.com/office/excel/2006/main">
          <x14:cfRule type="expression" priority="5944" id="{FA20E984-09A7-4915-8368-50D599F0F440}">
            <xm:f>'TC1'!$B9="HANGUP"</xm:f>
            <x14:dxf>
              <font>
                <b/>
                <i val="0"/>
              </font>
            </x14:dxf>
          </x14:cfRule>
          <xm:sqref>C12:C15</xm:sqref>
        </x14:conditionalFormatting>
        <x14:conditionalFormatting xmlns:xm="http://schemas.microsoft.com/office/excel/2006/main">
          <x14:cfRule type="expression" priority="5945" id="{FA20E984-09A7-4915-8368-50D599F0F440}">
            <xm:f>'TC1'!#REF!="HANGUP"</xm:f>
            <x14:dxf>
              <font>
                <b/>
                <i val="0"/>
              </font>
            </x14:dxf>
          </x14:cfRule>
          <xm:sqref>C9:C11</xm:sqref>
        </x14:conditionalFormatting>
        <x14:conditionalFormatting xmlns:xm="http://schemas.microsoft.com/office/excel/2006/main">
          <x14:cfRule type="expression" priority="8121" id="{FA20E984-09A7-4915-8368-50D599F0F440}">
            <xm:f>'TC1'!$B15="HANGUP"</xm:f>
            <x14:dxf>
              <font>
                <b/>
                <i val="0"/>
              </font>
            </x14:dxf>
          </x14:cfRule>
          <xm:sqref>C16</xm:sqref>
        </x14:conditionalFormatting>
      </x14:conditionalFormattings>
    </ext>
  </extLst>
</worksheet>
</file>

<file path=xl/worksheets/sheet1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C00-000000000000}">
  <sheetPr codeName="Sheet174"/>
  <dimension ref="A1:E44"/>
  <sheetViews>
    <sheetView zoomScaleNormal="100" workbookViewId="0">
      <selection sqref="A1:E44"/>
    </sheetView>
  </sheetViews>
  <sheetFormatPr defaultRowHeight="14.5" x14ac:dyDescent="0.35"/>
  <cols>
    <col min="1" max="1" width="14.453125" bestFit="1" customWidth="1"/>
    <col min="2" max="2" width="42.6328125" customWidth="1"/>
    <col min="3" max="3" width="106.1796875" customWidth="1"/>
    <col min="4" max="4" width="21.81640625" bestFit="1" customWidth="1"/>
    <col min="5" max="5" width="20.6328125" customWidth="1"/>
  </cols>
  <sheetData>
    <row r="1" spans="1:5" ht="18.5" x14ac:dyDescent="0.35">
      <c r="A1" s="192" t="s">
        <v>4</v>
      </c>
      <c r="B1" s="192"/>
      <c r="C1" s="105"/>
      <c r="D1" s="111"/>
      <c r="E1" s="97"/>
    </row>
    <row r="2" spans="1:5" x14ac:dyDescent="0.35">
      <c r="A2" s="106" t="s">
        <v>5</v>
      </c>
      <c r="B2" s="107" t="str">
        <f ca="1">MID(CELL("filename",A1),FIND("]",CELL("filename",A1))+1,LEN(CELL("filename",A1))-FIND("]",CELL("filename",A1)))</f>
        <v>TC172</v>
      </c>
      <c r="C2" s="98"/>
      <c r="D2" s="111"/>
      <c r="E2" s="97"/>
    </row>
    <row r="3" spans="1:5" x14ac:dyDescent="0.35">
      <c r="A3" s="104" t="s">
        <v>19</v>
      </c>
      <c r="B3" s="112" t="e">
        <f ca="1">VLOOKUP(B2,Table53[#All],2,FALSE)</f>
        <v>#N/A</v>
      </c>
      <c r="C3" s="98"/>
      <c r="D3" s="111"/>
      <c r="E3" s="97"/>
    </row>
    <row r="4" spans="1:5" ht="29" x14ac:dyDescent="0.35">
      <c r="A4" s="113" t="s">
        <v>20</v>
      </c>
      <c r="B4" s="99" t="e">
        <f ca="1">VLOOKUP(B2,Table53[#All],4,FALSE)</f>
        <v>#N/A</v>
      </c>
      <c r="C4" s="98"/>
      <c r="D4" s="111"/>
      <c r="E4" s="97"/>
    </row>
    <row r="5" spans="1:5" x14ac:dyDescent="0.35">
      <c r="A5" s="104" t="s">
        <v>6</v>
      </c>
      <c r="B5" s="77" t="e">
        <f ca="1">VLOOKUP(B2,Table53[#All],3,FALSE)</f>
        <v>#N/A</v>
      </c>
      <c r="C5" s="98"/>
      <c r="D5" s="111"/>
      <c r="E5" s="97"/>
    </row>
    <row r="6" spans="1:5" x14ac:dyDescent="0.35">
      <c r="A6" s="97"/>
      <c r="B6" s="97"/>
      <c r="C6" s="98"/>
      <c r="D6" s="111"/>
      <c r="E6" s="97"/>
    </row>
    <row r="7" spans="1:5" ht="15.5" x14ac:dyDescent="0.35">
      <c r="A7" s="100" t="s">
        <v>7</v>
      </c>
      <c r="B7" s="101" t="s">
        <v>8</v>
      </c>
      <c r="C7" s="102" t="s">
        <v>9</v>
      </c>
      <c r="D7" s="102" t="s">
        <v>14</v>
      </c>
      <c r="E7" s="103" t="s">
        <v>10</v>
      </c>
    </row>
    <row r="8" spans="1:5" x14ac:dyDescent="0.35">
      <c r="A8" s="118">
        <v>1</v>
      </c>
      <c r="B8" s="114" t="s">
        <v>114</v>
      </c>
      <c r="C8" s="109" t="s">
        <v>125</v>
      </c>
      <c r="D8" s="128"/>
      <c r="E8" s="125" t="s">
        <v>11</v>
      </c>
    </row>
    <row r="9" spans="1:5" x14ac:dyDescent="0.35">
      <c r="A9" s="118">
        <v>2</v>
      </c>
      <c r="B9" s="114" t="s">
        <v>12</v>
      </c>
      <c r="C9" s="109" t="e">
        <f>VLOOKUP(Table257519913140106110151155170178204253[[#This Row],[PEG]],Table1016[#All],2,FALSE)</f>
        <v>#N/A</v>
      </c>
      <c r="D9" s="128"/>
      <c r="E9" s="125" t="e">
        <f>VLOOKUP(Table257519913140106110151155170178204253[[#This Row],[PEG]],Table1016[#All],3,FALSE)</f>
        <v>#N/A</v>
      </c>
    </row>
    <row r="10" spans="1:5" x14ac:dyDescent="0.35">
      <c r="A10" s="118">
        <v>3</v>
      </c>
      <c r="B10" s="114" t="s">
        <v>115</v>
      </c>
      <c r="C10" s="109" t="e">
        <f>VLOOKUP(Table257519913140106110151155170178204253[[#This Row],[PEG]],Table1016[#All],2,FALSE)</f>
        <v>#N/A</v>
      </c>
      <c r="D10" s="128"/>
      <c r="E10" s="125" t="e">
        <f>VLOOKUP(Table257519913140106110151155170178204253[[#This Row],[PEG]],Table1016[#All],3,FALSE)</f>
        <v>#N/A</v>
      </c>
    </row>
    <row r="11" spans="1:5" x14ac:dyDescent="0.35">
      <c r="A11" s="118">
        <v>4</v>
      </c>
      <c r="B11" s="114" t="s">
        <v>115</v>
      </c>
      <c r="C11" s="109" t="e">
        <f>VLOOKUP(Table257519913140106110151155170178204253[[#This Row],[PEG]],Table1016[#All],2,FALSE)</f>
        <v>#N/A</v>
      </c>
      <c r="D11" s="128"/>
      <c r="E11" s="125" t="e">
        <f>VLOOKUP(Table257519913140106110151155170178204253[[#This Row],[PEG]],Table1016[#All],3,FALSE)</f>
        <v>#N/A</v>
      </c>
    </row>
    <row r="12" spans="1:5" x14ac:dyDescent="0.35">
      <c r="A12" s="118">
        <v>5</v>
      </c>
      <c r="B12" s="114" t="s">
        <v>114</v>
      </c>
      <c r="C12" s="109" t="e">
        <f>VLOOKUP(Table257519913140106110151155170178204253[[#This Row],[PEG]],Table1016[#All],2,FALSE)</f>
        <v>#N/A</v>
      </c>
      <c r="D12" s="128"/>
      <c r="E12" s="125" t="e">
        <f>VLOOKUP(Table257519913140106110151155170178204253[[#This Row],[PEG]],Table1016[#All],3,FALSE)</f>
        <v>#N/A</v>
      </c>
    </row>
    <row r="13" spans="1:5" x14ac:dyDescent="0.35">
      <c r="A13" s="118">
        <v>6</v>
      </c>
      <c r="B13" s="114" t="s">
        <v>115</v>
      </c>
      <c r="C13" s="109" t="e">
        <f>VLOOKUP(Table257519913140106110151155170178204253[[#This Row],[PEG]],Table1016[#All],2,FALSE)</f>
        <v>#N/A</v>
      </c>
      <c r="D13" s="128"/>
      <c r="E13" s="125" t="e">
        <f>VLOOKUP(Table257519913140106110151155170178204253[[#This Row],[PEG]],Table1016[#All],3,FALSE)</f>
        <v>#N/A</v>
      </c>
    </row>
    <row r="14" spans="1:5" x14ac:dyDescent="0.35">
      <c r="A14" s="118">
        <v>7</v>
      </c>
      <c r="B14" s="114" t="s">
        <v>114</v>
      </c>
      <c r="C14" s="109" t="e">
        <f>VLOOKUP(Table257519913140106110151155170178204253[[#This Row],[PEG]],Table1016[#All],2,FALSE)</f>
        <v>#N/A</v>
      </c>
      <c r="D14" s="128"/>
      <c r="E14" s="125" t="e">
        <f>VLOOKUP(Table257519913140106110151155170178204253[[#This Row],[PEG]],Table1016[#All],3,FALSE)</f>
        <v>#N/A</v>
      </c>
    </row>
    <row r="15" spans="1:5" x14ac:dyDescent="0.35">
      <c r="A15" s="118">
        <v>8</v>
      </c>
      <c r="B15" s="114" t="s">
        <v>115</v>
      </c>
      <c r="C15" s="109" t="e">
        <f>VLOOKUP(Table257519913140106110151155170178204253[[#This Row],[PEG]],Table1016[#All],2,FALSE)</f>
        <v>#N/A</v>
      </c>
      <c r="D15" s="116"/>
      <c r="E15" s="125" t="e">
        <f>VLOOKUP(Table257519913140106110151155170178204253[[#This Row],[PEG]],Table1016[#All],3,FALSE)</f>
        <v>#N/A</v>
      </c>
    </row>
    <row r="16" spans="1:5" x14ac:dyDescent="0.35">
      <c r="A16" s="118">
        <v>9</v>
      </c>
      <c r="B16" s="114" t="s">
        <v>12</v>
      </c>
      <c r="C16" s="109" t="e">
        <f>VLOOKUP(Table257519913140106110151155170178204253[[#This Row],[PEG]],Table1016[#All],2,FALSE)</f>
        <v>#N/A</v>
      </c>
      <c r="D16" s="116"/>
      <c r="E16" s="125" t="e">
        <f>VLOOKUP(Table257519913140106110151155170178204253[[#This Row],[PEG]],Table1016[#All],3,FALSE)</f>
        <v>#N/A</v>
      </c>
    </row>
    <row r="17" spans="1:5" x14ac:dyDescent="0.35">
      <c r="A17" s="118">
        <v>10</v>
      </c>
      <c r="B17" s="114" t="s">
        <v>12</v>
      </c>
      <c r="C17" s="109" t="e">
        <f>VLOOKUP(Table257519913140106110151155170178204253[[#This Row],[PEG]],Table1016[#All],2,FALSE)</f>
        <v>#N/A</v>
      </c>
      <c r="D17" s="117"/>
      <c r="E17" s="125" t="e">
        <f>VLOOKUP(Table257519913140106110151155170178204253[[#This Row],[PEG]],Table1016[#All],3,FALSE)</f>
        <v>#N/A</v>
      </c>
    </row>
    <row r="18" spans="1:5" x14ac:dyDescent="0.35">
      <c r="A18" s="118">
        <v>11</v>
      </c>
      <c r="B18" s="114" t="s">
        <v>115</v>
      </c>
      <c r="C18" s="109" t="e">
        <f>VLOOKUP(Table257519913140106110151155170178204253[[#This Row],[PEG]],Table1016[#All],2,FALSE)</f>
        <v>#N/A</v>
      </c>
      <c r="D18" s="117"/>
      <c r="E18" s="125" t="e">
        <f>VLOOKUP(Table257519913140106110151155170178204253[[#This Row],[PEG]],Table1016[#All],3,FALSE)</f>
        <v>#N/A</v>
      </c>
    </row>
    <row r="19" spans="1:5" x14ac:dyDescent="0.35">
      <c r="A19" s="118">
        <v>12</v>
      </c>
      <c r="B19" s="114" t="s">
        <v>115</v>
      </c>
      <c r="C19" s="109" t="e">
        <f>VLOOKUP(Table257519913140106110151155170178204253[[#This Row],[PEG]],Table1016[#All],2,FALSE)</f>
        <v>#N/A</v>
      </c>
      <c r="D19" s="117"/>
      <c r="E19" s="125" t="e">
        <f>VLOOKUP(Table257519913140106110151155170178204253[[#This Row],[PEG]],Table1016[#All],3,FALSE)</f>
        <v>#N/A</v>
      </c>
    </row>
    <row r="20" spans="1:5" x14ac:dyDescent="0.35">
      <c r="A20" s="118">
        <v>13</v>
      </c>
      <c r="B20" s="114" t="s">
        <v>114</v>
      </c>
      <c r="C20" s="109" t="e">
        <f>VLOOKUP(Table257519913140106110151155170178204253[[#This Row],[PEG]],Table1016[#All],2,FALSE)</f>
        <v>#N/A</v>
      </c>
      <c r="D20" s="117"/>
      <c r="E20" s="125" t="e">
        <f>VLOOKUP(Table257519913140106110151155170178204253[[#This Row],[PEG]],Table1016[#All],3,FALSE)</f>
        <v>#N/A</v>
      </c>
    </row>
    <row r="21" spans="1:5" x14ac:dyDescent="0.35">
      <c r="A21" s="118">
        <v>14</v>
      </c>
      <c r="B21" s="114" t="s">
        <v>12</v>
      </c>
      <c r="C21" s="109" t="e">
        <f>VLOOKUP(Table257519913140106110151155170178204253[[#This Row],[PEG]],Table1016[#All],2,FALSE)</f>
        <v>#N/A</v>
      </c>
      <c r="D21" s="117"/>
      <c r="E21" s="125" t="e">
        <f>VLOOKUP(Table257519913140106110151155170178204253[[#This Row],[PEG]],Table1016[#All],3,FALSE)</f>
        <v>#N/A</v>
      </c>
    </row>
    <row r="22" spans="1:5" x14ac:dyDescent="0.35">
      <c r="A22" s="118">
        <v>15</v>
      </c>
      <c r="B22" s="114" t="s">
        <v>12</v>
      </c>
      <c r="C22" s="109" t="e">
        <f>VLOOKUP(Table257519913140106110151155170178204253[[#This Row],[PEG]],Table1016[#All],2,FALSE)</f>
        <v>#N/A</v>
      </c>
      <c r="D22" s="117"/>
      <c r="E22" s="125" t="e">
        <f>VLOOKUP(Table257519913140106110151155170178204253[[#This Row],[PEG]],Table1016[#All],3,FALSE)</f>
        <v>#N/A</v>
      </c>
    </row>
    <row r="23" spans="1:5" x14ac:dyDescent="0.35">
      <c r="A23" s="118">
        <v>16</v>
      </c>
      <c r="B23" s="114" t="s">
        <v>115</v>
      </c>
      <c r="C23" s="109" t="e">
        <f>VLOOKUP(Table257519913140106110151155170178204253[[#This Row],[PEG]],Table1016[#All],2,FALSE)</f>
        <v>#N/A</v>
      </c>
      <c r="D23" s="117"/>
      <c r="E23" s="125" t="e">
        <f>VLOOKUP(Table257519913140106110151155170178204253[[#This Row],[PEG]],Table1016[#All],3,FALSE)</f>
        <v>#N/A</v>
      </c>
    </row>
    <row r="24" spans="1:5" x14ac:dyDescent="0.35">
      <c r="A24" s="118">
        <v>17</v>
      </c>
      <c r="B24" s="114" t="s">
        <v>114</v>
      </c>
      <c r="C24" s="109" t="e">
        <f>VLOOKUP(Table257519913140106110151155170178204253[[#This Row],[PEG]],Table1016[#All],2,FALSE)</f>
        <v>#N/A</v>
      </c>
      <c r="D24" s="117"/>
      <c r="E24" s="125" t="e">
        <f>VLOOKUP(Table257519913140106110151155170178204253[[#This Row],[PEG]],Table1016[#All],3,FALSE)</f>
        <v>#N/A</v>
      </c>
    </row>
    <row r="25" spans="1:5" x14ac:dyDescent="0.35">
      <c r="A25" s="118">
        <v>18</v>
      </c>
      <c r="B25" s="114" t="s">
        <v>12</v>
      </c>
      <c r="C25" s="109" t="e">
        <f>VLOOKUP(Table257519913140106110151155170178204253[[#This Row],[PEG]],Table1016[#All],2,FALSE)</f>
        <v>#N/A</v>
      </c>
      <c r="D25" s="117"/>
      <c r="E25" s="125" t="e">
        <f>VLOOKUP(Table257519913140106110151155170178204253[[#This Row],[PEG]],Table1016[#All],3,FALSE)</f>
        <v>#N/A</v>
      </c>
    </row>
    <row r="26" spans="1:5" x14ac:dyDescent="0.35">
      <c r="A26" s="118">
        <v>19</v>
      </c>
      <c r="B26" s="114" t="s">
        <v>12</v>
      </c>
      <c r="C26" s="109" t="e">
        <f>VLOOKUP(Table257519913140106110151155170178204253[[#This Row],[PEG]],Table1016[#All],2,FALSE)</f>
        <v>#N/A</v>
      </c>
      <c r="D26" s="117"/>
      <c r="E26" s="125" t="e">
        <f>VLOOKUP(Table257519913140106110151155170178204253[[#This Row],[PEG]],Table1016[#All],3,FALSE)</f>
        <v>#N/A</v>
      </c>
    </row>
    <row r="27" spans="1:5" x14ac:dyDescent="0.35">
      <c r="A27" s="118">
        <v>20</v>
      </c>
      <c r="B27" s="114" t="s">
        <v>115</v>
      </c>
      <c r="C27" s="109" t="e">
        <f>VLOOKUP(Table257519913140106110151155170178204253[[#This Row],[PEG]],Table1016[#All],2,FALSE)</f>
        <v>#N/A</v>
      </c>
      <c r="D27" s="117"/>
      <c r="E27" s="125" t="e">
        <f>VLOOKUP(Table257519913140106110151155170178204253[[#This Row],[PEG]],Table1016[#All],3,FALSE)</f>
        <v>#N/A</v>
      </c>
    </row>
    <row r="28" spans="1:5" x14ac:dyDescent="0.35">
      <c r="A28" s="118">
        <v>21</v>
      </c>
      <c r="B28" s="114" t="s">
        <v>114</v>
      </c>
      <c r="C28" s="109" t="e">
        <f>VLOOKUP(Table257519913140106110151155170178204253[[#This Row],[PEG]],Table1016[#All],2,FALSE)</f>
        <v>#N/A</v>
      </c>
      <c r="D28" s="117"/>
      <c r="E28" s="125" t="e">
        <f>VLOOKUP(Table257519913140106110151155170178204253[[#This Row],[PEG]],Table1016[#All],3,FALSE)</f>
        <v>#N/A</v>
      </c>
    </row>
    <row r="29" spans="1:5" x14ac:dyDescent="0.35">
      <c r="A29" s="118">
        <v>22</v>
      </c>
      <c r="B29" s="114" t="s">
        <v>12</v>
      </c>
      <c r="C29" s="109" t="e">
        <f>VLOOKUP(Table257519913140106110151155170178204253[[#This Row],[PEG]],Table1016[#All],2,FALSE)</f>
        <v>#N/A</v>
      </c>
      <c r="D29" s="117"/>
      <c r="E29" s="125" t="e">
        <f>VLOOKUP(Table257519913140106110151155170178204253[[#This Row],[PEG]],Table1016[#All],3,FALSE)</f>
        <v>#N/A</v>
      </c>
    </row>
    <row r="30" spans="1:5" x14ac:dyDescent="0.35">
      <c r="A30" s="118">
        <v>23</v>
      </c>
      <c r="B30" s="114" t="s">
        <v>12</v>
      </c>
      <c r="C30" s="109" t="e">
        <f>VLOOKUP(Table257519913140106110151155170178204253[[#This Row],[PEG]],Table1016[#All],2,FALSE)</f>
        <v>#N/A</v>
      </c>
      <c r="D30" s="117"/>
      <c r="E30" s="125" t="e">
        <f>VLOOKUP(Table257519913140106110151155170178204253[[#This Row],[PEG]],Table1016[#All],3,FALSE)</f>
        <v>#N/A</v>
      </c>
    </row>
    <row r="31" spans="1:5" x14ac:dyDescent="0.35">
      <c r="A31" s="118">
        <v>24</v>
      </c>
      <c r="B31" s="114" t="s">
        <v>115</v>
      </c>
      <c r="C31" s="109" t="e">
        <f>VLOOKUP(Table257519913140106110151155170178204253[[#This Row],[PEG]],Table1016[#All],2,FALSE)</f>
        <v>#N/A</v>
      </c>
      <c r="D31" s="117"/>
      <c r="E31" s="125" t="e">
        <f>VLOOKUP(Table257519913140106110151155170178204253[[#This Row],[PEG]],Table1016[#All],3,FALSE)</f>
        <v>#N/A</v>
      </c>
    </row>
    <row r="32" spans="1:5" x14ac:dyDescent="0.35">
      <c r="A32" s="118">
        <v>25</v>
      </c>
      <c r="B32" s="114" t="s">
        <v>115</v>
      </c>
      <c r="C32" s="109" t="e">
        <f>VLOOKUP(Table257519913140106110151155170178204253[[#This Row],[PEG]],Table1016[#All],2,FALSE)</f>
        <v>#N/A</v>
      </c>
      <c r="D32" s="117"/>
      <c r="E32" s="125" t="e">
        <f>VLOOKUP(Table257519913140106110151155170178204253[[#This Row],[PEG]],Table1016[#All],3,FALSE)</f>
        <v>#N/A</v>
      </c>
    </row>
    <row r="33" spans="1:5" x14ac:dyDescent="0.35">
      <c r="A33" s="118">
        <v>26</v>
      </c>
      <c r="B33" s="114" t="s">
        <v>124</v>
      </c>
      <c r="C33" s="109" t="e">
        <f>VLOOKUP(Table257519913140106110151155170178204253[[#This Row],[PEG]],Table1016[#All],2,FALSE)</f>
        <v>#N/A</v>
      </c>
      <c r="D33" s="117"/>
      <c r="E33" s="125" t="e">
        <f>VLOOKUP(Table257519913140106110151155170178204253[[#This Row],[PEG]],Table1016[#All],3,FALSE)</f>
        <v>#N/A</v>
      </c>
    </row>
    <row r="34" spans="1:5" x14ac:dyDescent="0.35">
      <c r="A34" s="118">
        <v>27</v>
      </c>
      <c r="B34" s="114" t="s">
        <v>115</v>
      </c>
      <c r="C34" s="109" t="e">
        <f>VLOOKUP(Table257519913140106110151155170178204253[[#This Row],[PEG]],Table1016[#All],2,FALSE)</f>
        <v>#N/A</v>
      </c>
      <c r="D34" s="117"/>
      <c r="E34" s="125" t="e">
        <f>VLOOKUP(Table257519913140106110151155170178204253[[#This Row],[PEG]],Table1016[#All],3,FALSE)</f>
        <v>#N/A</v>
      </c>
    </row>
    <row r="35" spans="1:5" x14ac:dyDescent="0.35">
      <c r="A35" s="118">
        <v>28</v>
      </c>
      <c r="B35" s="114" t="s">
        <v>124</v>
      </c>
      <c r="C35" s="109" t="e">
        <f>VLOOKUP(Table257519913140106110151155170178204253[[#This Row],[PEG]],Table1016[#All],2,FALSE)</f>
        <v>#N/A</v>
      </c>
      <c r="D35" s="117"/>
      <c r="E35" s="125" t="e">
        <f>VLOOKUP(Table257519913140106110151155170178204253[[#This Row],[PEG]],Table1016[#All],3,FALSE)</f>
        <v>#N/A</v>
      </c>
    </row>
    <row r="36" spans="1:5" x14ac:dyDescent="0.35">
      <c r="A36" s="118">
        <v>29</v>
      </c>
      <c r="B36" s="114" t="s">
        <v>115</v>
      </c>
      <c r="C36" s="109" t="e">
        <f>VLOOKUP(Table257519913140106110151155170178204253[[#This Row],[PEG]],Table1016[#All],2,FALSE)</f>
        <v>#N/A</v>
      </c>
      <c r="D36" s="117"/>
      <c r="E36" s="125" t="e">
        <f>VLOOKUP(Table257519913140106110151155170178204253[[#This Row],[PEG]],Table1016[#All],3,FALSE)</f>
        <v>#N/A</v>
      </c>
    </row>
    <row r="37" spans="1:5" x14ac:dyDescent="0.35">
      <c r="A37" s="118">
        <v>30</v>
      </c>
      <c r="B37" s="114" t="s">
        <v>12</v>
      </c>
      <c r="C37" s="109" t="e">
        <f>VLOOKUP(Table257519913140106110151155170178204253[[#This Row],[PEG]],Table1016[#All],2,FALSE)</f>
        <v>#N/A</v>
      </c>
      <c r="D37" s="117"/>
      <c r="E37" s="125" t="e">
        <f>VLOOKUP(Table257519913140106110151155170178204253[[#This Row],[PEG]],Table1016[#All],3,FALSE)</f>
        <v>#N/A</v>
      </c>
    </row>
    <row r="38" spans="1:5" x14ac:dyDescent="0.35">
      <c r="A38" s="118">
        <v>31</v>
      </c>
      <c r="B38" s="114" t="s">
        <v>12</v>
      </c>
      <c r="C38" s="109" t="e">
        <f>VLOOKUP(Table257519913140106110151155170178204253[[#This Row],[PEG]],Table1016[#All],2,FALSE)</f>
        <v>#N/A</v>
      </c>
      <c r="D38" s="117"/>
      <c r="E38" s="125" t="e">
        <f>VLOOKUP(Table257519913140106110151155170178204253[[#This Row],[PEG]],Table1016[#All],3,FALSE)</f>
        <v>#N/A</v>
      </c>
    </row>
    <row r="39" spans="1:5" x14ac:dyDescent="0.35">
      <c r="A39" s="118">
        <v>32</v>
      </c>
      <c r="B39" s="114" t="s">
        <v>12</v>
      </c>
      <c r="C39" s="109" t="e">
        <f>VLOOKUP(Table257519913140106110151155170178204253[[#This Row],[PEG]],Table1016[#All],2,FALSE)</f>
        <v>#N/A</v>
      </c>
      <c r="D39" s="117"/>
      <c r="E39" s="125" t="e">
        <f>VLOOKUP(Table257519913140106110151155170178204253[[#This Row],[PEG]],Table1016[#All],3,FALSE)</f>
        <v>#N/A</v>
      </c>
    </row>
    <row r="40" spans="1:5" x14ac:dyDescent="0.35">
      <c r="A40" s="118">
        <v>33</v>
      </c>
      <c r="B40" s="114" t="s">
        <v>12</v>
      </c>
      <c r="C40" s="109" t="e">
        <f>VLOOKUP(Table257519913140106110151155170178204253[[#This Row],[PEG]],Table1016[#All],2,FALSE)</f>
        <v>#N/A</v>
      </c>
      <c r="D40" s="117"/>
      <c r="E40" s="125" t="e">
        <f>VLOOKUP(Table257519913140106110151155170178204253[[#This Row],[PEG]],Table1016[#All],3,FALSE)</f>
        <v>#N/A</v>
      </c>
    </row>
    <row r="41" spans="1:5" x14ac:dyDescent="0.35">
      <c r="A41" s="118">
        <v>34</v>
      </c>
      <c r="B41" s="114" t="s">
        <v>115</v>
      </c>
      <c r="C41" s="109" t="e">
        <f>VLOOKUP(Table257519913140106110151155170178204253[[#This Row],[PEG]],Table1016[#All],2,FALSE)</f>
        <v>#N/A</v>
      </c>
      <c r="D41" s="117"/>
      <c r="E41" s="125" t="e">
        <f>VLOOKUP(Table257519913140106110151155170178204253[[#This Row],[PEG]],Table1016[#All],3,FALSE)</f>
        <v>#N/A</v>
      </c>
    </row>
    <row r="42" spans="1:5" x14ac:dyDescent="0.35">
      <c r="A42" s="118">
        <v>35</v>
      </c>
      <c r="B42" s="114" t="s">
        <v>12</v>
      </c>
      <c r="C42" s="109" t="e">
        <f>VLOOKUP(Table257519913140106110151155170178204253[[#This Row],[PEG]],Table1016[#All],2,FALSE)</f>
        <v>#N/A</v>
      </c>
      <c r="D42" s="115"/>
      <c r="E42" s="125" t="e">
        <f>VLOOKUP(Table257519913140106110151155170178204253[[#This Row],[PEG]],Table1016[#All],3,FALSE)</f>
        <v>#N/A</v>
      </c>
    </row>
    <row r="43" spans="1:5" x14ac:dyDescent="0.35">
      <c r="A43" s="118">
        <v>36</v>
      </c>
      <c r="B43" s="114" t="s">
        <v>115</v>
      </c>
      <c r="C43" s="109" t="e">
        <f>VLOOKUP(Table257519913140106110151155170178204253[[#This Row],[PEG]],Table1016[#All],2,FALSE)</f>
        <v>#N/A</v>
      </c>
      <c r="D43" s="115"/>
      <c r="E43" s="125" t="e">
        <f>VLOOKUP(Table257519913140106110151155170178204253[[#This Row],[PEG]],Table1016[#All],3,FALSE)</f>
        <v>#N/A</v>
      </c>
    </row>
    <row r="44" spans="1:5" x14ac:dyDescent="0.35">
      <c r="A44" s="118">
        <v>37</v>
      </c>
      <c r="B44" s="114" t="s">
        <v>13</v>
      </c>
      <c r="C44" s="18" t="s">
        <v>13</v>
      </c>
      <c r="D44" s="115"/>
      <c r="E44" s="32"/>
    </row>
  </sheetData>
  <mergeCells count="1">
    <mergeCell ref="A1:B1"/>
  </mergeCells>
  <conditionalFormatting sqref="B8:B18">
    <cfRule type="containsText" dxfId="523" priority="1" operator="containsText" text="Hear">
      <formula>NOT(ISERROR(SEARCH("Hear",B8)))</formula>
    </cfRule>
  </conditionalFormatting>
  <conditionalFormatting sqref="B30">
    <cfRule type="containsText" dxfId="522" priority="4" operator="containsText" text="Hear">
      <formula>NOT(ISERROR(SEARCH("Hear",B30)))</formula>
    </cfRule>
  </conditionalFormatting>
  <conditionalFormatting sqref="B43:B44">
    <cfRule type="containsText" dxfId="521" priority="8" operator="containsText" text="Hear">
      <formula>NOT(ISERROR(SEARCH("Hear",B43)))</formula>
    </cfRule>
  </conditionalFormatting>
  <conditionalFormatting sqref="E44">
    <cfRule type="containsText" dxfId="520" priority="6" operator="containsText" text="WEB SERVICE">
      <formula>NOT(ISERROR(SEARCH("WEB SERVICE",E44)))</formula>
    </cfRule>
    <cfRule type="containsText" dxfId="519" priority="7" operator="containsText" text="DB">
      <formula>NOT(ISERROR(SEARCH("DB",E44)))</formula>
    </cfRule>
  </conditionalFormatting>
  <conditionalFormatting sqref="C44">
    <cfRule type="expression" dxfId="518" priority="9">
      <formula>$B44="Dial"</formula>
    </cfRule>
  </conditionalFormatting>
  <conditionalFormatting sqref="C44">
    <cfRule type="expression" dxfId="517" priority="3">
      <formula>$B44="Speak"</formula>
    </cfRule>
  </conditionalFormatting>
  <conditionalFormatting sqref="B19:B29 B31:B35 B42">
    <cfRule type="containsText" dxfId="516" priority="5" operator="containsText" text="Hear">
      <formula>NOT(ISERROR(SEARCH("Hear",B19)))</formula>
    </cfRule>
  </conditionalFormatting>
  <hyperlinks>
    <hyperlink ref="A1" location="'Test Case Overview'!A1" display="Return to Test Case Overview" xr:uid="{D640CC19-4B72-4C84-95F4-DCC9CDA5923F}"/>
  </hyperlinks>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expression" priority="2" id="{F86F4C3D-F942-439F-9849-45860B8EC290}">
            <xm:f>'TC1'!$B8="HANGUP"</xm:f>
            <x14:dxf>
              <font>
                <b/>
                <i val="0"/>
              </font>
            </x14:dxf>
          </x14:cfRule>
          <xm:sqref>C8</xm:sqref>
        </x14:conditionalFormatting>
        <x14:conditionalFormatting xmlns:xm="http://schemas.microsoft.com/office/excel/2006/main">
          <x14:cfRule type="expression" priority="3334" id="{F86F4C3D-F942-439F-9849-45860B8EC290}">
            <xm:f>'TC1'!$B16="HANGUP"</xm:f>
            <x14:dxf>
              <font>
                <b/>
                <i val="0"/>
              </font>
            </x14:dxf>
          </x14:cfRule>
          <xm:sqref>C34:C43</xm:sqref>
        </x14:conditionalFormatting>
        <x14:conditionalFormatting xmlns:xm="http://schemas.microsoft.com/office/excel/2006/main">
          <x14:cfRule type="expression" priority="3335" id="{F86F4C3D-F942-439F-9849-45860B8EC290}">
            <xm:f>'TC1'!#REF!="HANGUP"</xm:f>
            <x14:dxf>
              <font>
                <b/>
                <i val="0"/>
              </font>
            </x14:dxf>
          </x14:cfRule>
          <xm:sqref>C17:C33</xm:sqref>
        </x14:conditionalFormatting>
        <x14:conditionalFormatting xmlns:xm="http://schemas.microsoft.com/office/excel/2006/main">
          <x14:cfRule type="expression" priority="5948" id="{F86F4C3D-F942-439F-9849-45860B8EC290}">
            <xm:f>'TC1'!$B9="HANGUP"</xm:f>
            <x14:dxf>
              <font>
                <b/>
                <i val="0"/>
              </font>
            </x14:dxf>
          </x14:cfRule>
          <xm:sqref>C12:C15</xm:sqref>
        </x14:conditionalFormatting>
        <x14:conditionalFormatting xmlns:xm="http://schemas.microsoft.com/office/excel/2006/main">
          <x14:cfRule type="expression" priority="5949" id="{F86F4C3D-F942-439F-9849-45860B8EC290}">
            <xm:f>'TC1'!#REF!="HANGUP"</xm:f>
            <x14:dxf>
              <font>
                <b/>
                <i val="0"/>
              </font>
            </x14:dxf>
          </x14:cfRule>
          <xm:sqref>C9:C11</xm:sqref>
        </x14:conditionalFormatting>
        <x14:conditionalFormatting xmlns:xm="http://schemas.microsoft.com/office/excel/2006/main">
          <x14:cfRule type="expression" priority="8124" id="{F86F4C3D-F942-439F-9849-45860B8EC290}">
            <xm:f>'TC1'!$B15="HANGUP"</xm:f>
            <x14:dxf>
              <font>
                <b/>
                <i val="0"/>
              </font>
            </x14:dxf>
          </x14:cfRule>
          <xm:sqref>C16</xm:sqref>
        </x14:conditionalFormatting>
      </x14:conditionalFormattings>
    </ext>
  </extLst>
</worksheet>
</file>

<file path=xl/worksheets/sheet1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D00-000000000000}">
  <sheetPr codeName="Sheet175"/>
  <dimension ref="A1:E44"/>
  <sheetViews>
    <sheetView zoomScaleNormal="100" workbookViewId="0">
      <selection sqref="A1:E44"/>
    </sheetView>
  </sheetViews>
  <sheetFormatPr defaultRowHeight="14.5" x14ac:dyDescent="0.35"/>
  <cols>
    <col min="1" max="1" width="14.453125" bestFit="1" customWidth="1"/>
    <col min="2" max="2" width="42.6328125" customWidth="1"/>
    <col min="3" max="3" width="106.1796875" customWidth="1"/>
    <col min="4" max="4" width="21.81640625" bestFit="1" customWidth="1"/>
    <col min="5" max="5" width="20.6328125" customWidth="1"/>
  </cols>
  <sheetData>
    <row r="1" spans="1:5" ht="18.5" x14ac:dyDescent="0.35">
      <c r="A1" s="192" t="s">
        <v>4</v>
      </c>
      <c r="B1" s="192"/>
      <c r="C1" s="105"/>
      <c r="D1" s="111"/>
      <c r="E1" s="97"/>
    </row>
    <row r="2" spans="1:5" x14ac:dyDescent="0.35">
      <c r="A2" s="106" t="s">
        <v>5</v>
      </c>
      <c r="B2" s="107" t="str">
        <f ca="1">MID(CELL("filename",A1),FIND("]",CELL("filename",A1))+1,LEN(CELL("filename",A1))-FIND("]",CELL("filename",A1)))</f>
        <v>TC173</v>
      </c>
      <c r="C2" s="98"/>
      <c r="D2" s="111"/>
      <c r="E2" s="97"/>
    </row>
    <row r="3" spans="1:5" x14ac:dyDescent="0.35">
      <c r="A3" s="104" t="s">
        <v>19</v>
      </c>
      <c r="B3" s="112" t="e">
        <f ca="1">VLOOKUP(B2,Table53[#All],2,FALSE)</f>
        <v>#N/A</v>
      </c>
      <c r="C3" s="98"/>
      <c r="D3" s="111"/>
      <c r="E3" s="97"/>
    </row>
    <row r="4" spans="1:5" ht="29" x14ac:dyDescent="0.35">
      <c r="A4" s="113" t="s">
        <v>20</v>
      </c>
      <c r="B4" s="99" t="e">
        <f ca="1">VLOOKUP(B2,Table53[#All],4,FALSE)</f>
        <v>#N/A</v>
      </c>
      <c r="C4" s="98"/>
      <c r="D4" s="111"/>
      <c r="E4" s="97"/>
    </row>
    <row r="5" spans="1:5" x14ac:dyDescent="0.35">
      <c r="A5" s="104" t="s">
        <v>6</v>
      </c>
      <c r="B5" s="77" t="e">
        <f ca="1">VLOOKUP(B2,Table53[#All],3,FALSE)</f>
        <v>#N/A</v>
      </c>
      <c r="C5" s="98"/>
      <c r="D5" s="111"/>
      <c r="E5" s="97"/>
    </row>
    <row r="6" spans="1:5" x14ac:dyDescent="0.35">
      <c r="A6" s="97"/>
      <c r="B6" s="97"/>
      <c r="C6" s="98"/>
      <c r="D6" s="111"/>
      <c r="E6" s="97"/>
    </row>
    <row r="7" spans="1:5" ht="15.5" x14ac:dyDescent="0.35">
      <c r="A7" s="100" t="s">
        <v>7</v>
      </c>
      <c r="B7" s="101" t="s">
        <v>8</v>
      </c>
      <c r="C7" s="102" t="s">
        <v>9</v>
      </c>
      <c r="D7" s="102" t="s">
        <v>14</v>
      </c>
      <c r="E7" s="103" t="s">
        <v>10</v>
      </c>
    </row>
    <row r="8" spans="1:5" x14ac:dyDescent="0.35">
      <c r="A8" s="118">
        <v>1</v>
      </c>
      <c r="B8" s="114" t="s">
        <v>114</v>
      </c>
      <c r="C8" s="109" t="s">
        <v>125</v>
      </c>
      <c r="D8" s="128"/>
      <c r="E8" s="125" t="s">
        <v>11</v>
      </c>
    </row>
    <row r="9" spans="1:5" x14ac:dyDescent="0.35">
      <c r="A9" s="118">
        <v>2</v>
      </c>
      <c r="B9" s="114" t="s">
        <v>12</v>
      </c>
      <c r="C9" s="109" t="e">
        <f>VLOOKUP(Table257519913140106110151155170178204255[[#This Row],[PEG]],Table1016[#All],2,FALSE)</f>
        <v>#N/A</v>
      </c>
      <c r="D9" s="128"/>
      <c r="E9" s="125" t="e">
        <f>VLOOKUP(Table257519913140106110151155170178204255[[#This Row],[PEG]],Table1016[#All],3,FALSE)</f>
        <v>#N/A</v>
      </c>
    </row>
    <row r="10" spans="1:5" x14ac:dyDescent="0.35">
      <c r="A10" s="118">
        <v>3</v>
      </c>
      <c r="B10" s="114" t="s">
        <v>115</v>
      </c>
      <c r="C10" s="109" t="e">
        <f>VLOOKUP(Table257519913140106110151155170178204255[[#This Row],[PEG]],Table1016[#All],2,FALSE)</f>
        <v>#N/A</v>
      </c>
      <c r="D10" s="128"/>
      <c r="E10" s="125" t="e">
        <f>VLOOKUP(Table257519913140106110151155170178204255[[#This Row],[PEG]],Table1016[#All],3,FALSE)</f>
        <v>#N/A</v>
      </c>
    </row>
    <row r="11" spans="1:5" x14ac:dyDescent="0.35">
      <c r="A11" s="118">
        <v>4</v>
      </c>
      <c r="B11" s="114" t="s">
        <v>115</v>
      </c>
      <c r="C11" s="109" t="e">
        <f>VLOOKUP(Table257519913140106110151155170178204255[[#This Row],[PEG]],Table1016[#All],2,FALSE)</f>
        <v>#N/A</v>
      </c>
      <c r="D11" s="128"/>
      <c r="E11" s="125" t="e">
        <f>VLOOKUP(Table257519913140106110151155170178204255[[#This Row],[PEG]],Table1016[#All],3,FALSE)</f>
        <v>#N/A</v>
      </c>
    </row>
    <row r="12" spans="1:5" x14ac:dyDescent="0.35">
      <c r="A12" s="118">
        <v>5</v>
      </c>
      <c r="B12" s="114" t="s">
        <v>114</v>
      </c>
      <c r="C12" s="109" t="e">
        <f>VLOOKUP(Table257519913140106110151155170178204255[[#This Row],[PEG]],Table1016[#All],2,FALSE)</f>
        <v>#N/A</v>
      </c>
      <c r="D12" s="128"/>
      <c r="E12" s="125" t="e">
        <f>VLOOKUP(Table257519913140106110151155170178204255[[#This Row],[PEG]],Table1016[#All],3,FALSE)</f>
        <v>#N/A</v>
      </c>
    </row>
    <row r="13" spans="1:5" x14ac:dyDescent="0.35">
      <c r="A13" s="118">
        <v>6</v>
      </c>
      <c r="B13" s="114" t="s">
        <v>115</v>
      </c>
      <c r="C13" s="109" t="e">
        <f>VLOOKUP(Table257519913140106110151155170178204255[[#This Row],[PEG]],Table1016[#All],2,FALSE)</f>
        <v>#N/A</v>
      </c>
      <c r="D13" s="128"/>
      <c r="E13" s="125" t="e">
        <f>VLOOKUP(Table257519913140106110151155170178204255[[#This Row],[PEG]],Table1016[#All],3,FALSE)</f>
        <v>#N/A</v>
      </c>
    </row>
    <row r="14" spans="1:5" x14ac:dyDescent="0.35">
      <c r="A14" s="118">
        <v>7</v>
      </c>
      <c r="B14" s="114" t="s">
        <v>114</v>
      </c>
      <c r="C14" s="109" t="e">
        <f>VLOOKUP(Table257519913140106110151155170178204255[[#This Row],[PEG]],Table1016[#All],2,FALSE)</f>
        <v>#N/A</v>
      </c>
      <c r="D14" s="128"/>
      <c r="E14" s="125" t="e">
        <f>VLOOKUP(Table257519913140106110151155170178204255[[#This Row],[PEG]],Table1016[#All],3,FALSE)</f>
        <v>#N/A</v>
      </c>
    </row>
    <row r="15" spans="1:5" x14ac:dyDescent="0.35">
      <c r="A15" s="118">
        <v>8</v>
      </c>
      <c r="B15" s="114" t="s">
        <v>115</v>
      </c>
      <c r="C15" s="109" t="e">
        <f>VLOOKUP(Table257519913140106110151155170178204255[[#This Row],[PEG]],Table1016[#All],2,FALSE)</f>
        <v>#N/A</v>
      </c>
      <c r="D15" s="116"/>
      <c r="E15" s="125" t="e">
        <f>VLOOKUP(Table257519913140106110151155170178204255[[#This Row],[PEG]],Table1016[#All],3,FALSE)</f>
        <v>#N/A</v>
      </c>
    </row>
    <row r="16" spans="1:5" x14ac:dyDescent="0.35">
      <c r="A16" s="118">
        <v>9</v>
      </c>
      <c r="B16" s="114" t="s">
        <v>12</v>
      </c>
      <c r="C16" s="109" t="e">
        <f>VLOOKUP(Table257519913140106110151155170178204255[[#This Row],[PEG]],Table1016[#All],2,FALSE)</f>
        <v>#N/A</v>
      </c>
      <c r="D16" s="116"/>
      <c r="E16" s="125" t="e">
        <f>VLOOKUP(Table257519913140106110151155170178204255[[#This Row],[PEG]],Table1016[#All],3,FALSE)</f>
        <v>#N/A</v>
      </c>
    </row>
    <row r="17" spans="1:5" x14ac:dyDescent="0.35">
      <c r="A17" s="118">
        <v>10</v>
      </c>
      <c r="B17" s="114" t="s">
        <v>12</v>
      </c>
      <c r="C17" s="109" t="e">
        <f>VLOOKUP(Table257519913140106110151155170178204255[[#This Row],[PEG]],Table1016[#All],2,FALSE)</f>
        <v>#N/A</v>
      </c>
      <c r="D17" s="117"/>
      <c r="E17" s="125" t="e">
        <f>VLOOKUP(Table257519913140106110151155170178204255[[#This Row],[PEG]],Table1016[#All],3,FALSE)</f>
        <v>#N/A</v>
      </c>
    </row>
    <row r="18" spans="1:5" x14ac:dyDescent="0.35">
      <c r="A18" s="118">
        <v>11</v>
      </c>
      <c r="B18" s="114" t="s">
        <v>115</v>
      </c>
      <c r="C18" s="109" t="e">
        <f>VLOOKUP(Table257519913140106110151155170178204255[[#This Row],[PEG]],Table1016[#All],2,FALSE)</f>
        <v>#N/A</v>
      </c>
      <c r="D18" s="117"/>
      <c r="E18" s="125" t="e">
        <f>VLOOKUP(Table257519913140106110151155170178204255[[#This Row],[PEG]],Table1016[#All],3,FALSE)</f>
        <v>#N/A</v>
      </c>
    </row>
    <row r="19" spans="1:5" x14ac:dyDescent="0.35">
      <c r="A19" s="118">
        <v>12</v>
      </c>
      <c r="B19" s="114" t="s">
        <v>115</v>
      </c>
      <c r="C19" s="109" t="e">
        <f>VLOOKUP(Table257519913140106110151155170178204255[[#This Row],[PEG]],Table1016[#All],2,FALSE)</f>
        <v>#N/A</v>
      </c>
      <c r="D19" s="117"/>
      <c r="E19" s="125" t="e">
        <f>VLOOKUP(Table257519913140106110151155170178204255[[#This Row],[PEG]],Table1016[#All],3,FALSE)</f>
        <v>#N/A</v>
      </c>
    </row>
    <row r="20" spans="1:5" x14ac:dyDescent="0.35">
      <c r="A20" s="118">
        <v>13</v>
      </c>
      <c r="B20" s="114" t="s">
        <v>114</v>
      </c>
      <c r="C20" s="109" t="e">
        <f>VLOOKUP(Table257519913140106110151155170178204255[[#This Row],[PEG]],Table1016[#All],2,FALSE)</f>
        <v>#N/A</v>
      </c>
      <c r="D20" s="117"/>
      <c r="E20" s="125" t="e">
        <f>VLOOKUP(Table257519913140106110151155170178204255[[#This Row],[PEG]],Table1016[#All],3,FALSE)</f>
        <v>#N/A</v>
      </c>
    </row>
    <row r="21" spans="1:5" x14ac:dyDescent="0.35">
      <c r="A21" s="118">
        <v>14</v>
      </c>
      <c r="B21" s="114" t="s">
        <v>12</v>
      </c>
      <c r="C21" s="109" t="e">
        <f>VLOOKUP(Table257519913140106110151155170178204255[[#This Row],[PEG]],Table1016[#All],2,FALSE)</f>
        <v>#N/A</v>
      </c>
      <c r="D21" s="117"/>
      <c r="E21" s="125" t="e">
        <f>VLOOKUP(Table257519913140106110151155170178204255[[#This Row],[PEG]],Table1016[#All],3,FALSE)</f>
        <v>#N/A</v>
      </c>
    </row>
    <row r="22" spans="1:5" x14ac:dyDescent="0.35">
      <c r="A22" s="118">
        <v>15</v>
      </c>
      <c r="B22" s="114" t="s">
        <v>12</v>
      </c>
      <c r="C22" s="109" t="e">
        <f>VLOOKUP(Table257519913140106110151155170178204255[[#This Row],[PEG]],Table1016[#All],2,FALSE)</f>
        <v>#N/A</v>
      </c>
      <c r="D22" s="117"/>
      <c r="E22" s="125" t="e">
        <f>VLOOKUP(Table257519913140106110151155170178204255[[#This Row],[PEG]],Table1016[#All],3,FALSE)</f>
        <v>#N/A</v>
      </c>
    </row>
    <row r="23" spans="1:5" x14ac:dyDescent="0.35">
      <c r="A23" s="118">
        <v>16</v>
      </c>
      <c r="B23" s="114" t="s">
        <v>115</v>
      </c>
      <c r="C23" s="109" t="e">
        <f>VLOOKUP(Table257519913140106110151155170178204255[[#This Row],[PEG]],Table1016[#All],2,FALSE)</f>
        <v>#N/A</v>
      </c>
      <c r="D23" s="117"/>
      <c r="E23" s="125" t="e">
        <f>VLOOKUP(Table257519913140106110151155170178204255[[#This Row],[PEG]],Table1016[#All],3,FALSE)</f>
        <v>#N/A</v>
      </c>
    </row>
    <row r="24" spans="1:5" x14ac:dyDescent="0.35">
      <c r="A24" s="118">
        <v>17</v>
      </c>
      <c r="B24" s="114" t="s">
        <v>114</v>
      </c>
      <c r="C24" s="109" t="e">
        <f>VLOOKUP(Table257519913140106110151155170178204255[[#This Row],[PEG]],Table1016[#All],2,FALSE)</f>
        <v>#N/A</v>
      </c>
      <c r="D24" s="117"/>
      <c r="E24" s="125" t="e">
        <f>VLOOKUP(Table257519913140106110151155170178204255[[#This Row],[PEG]],Table1016[#All],3,FALSE)</f>
        <v>#N/A</v>
      </c>
    </row>
    <row r="25" spans="1:5" x14ac:dyDescent="0.35">
      <c r="A25" s="118">
        <v>18</v>
      </c>
      <c r="B25" s="114" t="s">
        <v>12</v>
      </c>
      <c r="C25" s="109" t="e">
        <f>VLOOKUP(Table257519913140106110151155170178204255[[#This Row],[PEG]],Table1016[#All],2,FALSE)</f>
        <v>#N/A</v>
      </c>
      <c r="D25" s="117"/>
      <c r="E25" s="125" t="e">
        <f>VLOOKUP(Table257519913140106110151155170178204255[[#This Row],[PEG]],Table1016[#All],3,FALSE)</f>
        <v>#N/A</v>
      </c>
    </row>
    <row r="26" spans="1:5" x14ac:dyDescent="0.35">
      <c r="A26" s="118">
        <v>19</v>
      </c>
      <c r="B26" s="114" t="s">
        <v>12</v>
      </c>
      <c r="C26" s="109" t="e">
        <f>VLOOKUP(Table257519913140106110151155170178204255[[#This Row],[PEG]],Table1016[#All],2,FALSE)</f>
        <v>#N/A</v>
      </c>
      <c r="D26" s="117"/>
      <c r="E26" s="125" t="e">
        <f>VLOOKUP(Table257519913140106110151155170178204255[[#This Row],[PEG]],Table1016[#All],3,FALSE)</f>
        <v>#N/A</v>
      </c>
    </row>
    <row r="27" spans="1:5" x14ac:dyDescent="0.35">
      <c r="A27" s="118">
        <v>20</v>
      </c>
      <c r="B27" s="114" t="s">
        <v>115</v>
      </c>
      <c r="C27" s="109" t="e">
        <f>VLOOKUP(Table257519913140106110151155170178204255[[#This Row],[PEG]],Table1016[#All],2,FALSE)</f>
        <v>#N/A</v>
      </c>
      <c r="D27" s="117"/>
      <c r="E27" s="125" t="e">
        <f>VLOOKUP(Table257519913140106110151155170178204255[[#This Row],[PEG]],Table1016[#All],3,FALSE)</f>
        <v>#N/A</v>
      </c>
    </row>
    <row r="28" spans="1:5" x14ac:dyDescent="0.35">
      <c r="A28" s="118">
        <v>21</v>
      </c>
      <c r="B28" s="114" t="s">
        <v>114</v>
      </c>
      <c r="C28" s="109" t="e">
        <f>VLOOKUP(Table257519913140106110151155170178204255[[#This Row],[PEG]],Table1016[#All],2,FALSE)</f>
        <v>#N/A</v>
      </c>
      <c r="D28" s="117"/>
      <c r="E28" s="125" t="e">
        <f>VLOOKUP(Table257519913140106110151155170178204255[[#This Row],[PEG]],Table1016[#All],3,FALSE)</f>
        <v>#N/A</v>
      </c>
    </row>
    <row r="29" spans="1:5" x14ac:dyDescent="0.35">
      <c r="A29" s="118">
        <v>22</v>
      </c>
      <c r="B29" s="114" t="s">
        <v>12</v>
      </c>
      <c r="C29" s="109" t="e">
        <f>VLOOKUP(Table257519913140106110151155170178204255[[#This Row],[PEG]],Table1016[#All],2,FALSE)</f>
        <v>#N/A</v>
      </c>
      <c r="D29" s="117"/>
      <c r="E29" s="125" t="e">
        <f>VLOOKUP(Table257519913140106110151155170178204255[[#This Row],[PEG]],Table1016[#All],3,FALSE)</f>
        <v>#N/A</v>
      </c>
    </row>
    <row r="30" spans="1:5" x14ac:dyDescent="0.35">
      <c r="A30" s="118">
        <v>23</v>
      </c>
      <c r="B30" s="114" t="s">
        <v>12</v>
      </c>
      <c r="C30" s="109" t="e">
        <f>VLOOKUP(Table257519913140106110151155170178204255[[#This Row],[PEG]],Table1016[#All],2,FALSE)</f>
        <v>#N/A</v>
      </c>
      <c r="D30" s="117"/>
      <c r="E30" s="125" t="e">
        <f>VLOOKUP(Table257519913140106110151155170178204255[[#This Row],[PEG]],Table1016[#All],3,FALSE)</f>
        <v>#N/A</v>
      </c>
    </row>
    <row r="31" spans="1:5" x14ac:dyDescent="0.35">
      <c r="A31" s="118">
        <v>24</v>
      </c>
      <c r="B31" s="114" t="s">
        <v>115</v>
      </c>
      <c r="C31" s="109" t="e">
        <f>VLOOKUP(Table257519913140106110151155170178204255[[#This Row],[PEG]],Table1016[#All],2,FALSE)</f>
        <v>#N/A</v>
      </c>
      <c r="D31" s="117"/>
      <c r="E31" s="125" t="e">
        <f>VLOOKUP(Table257519913140106110151155170178204255[[#This Row],[PEG]],Table1016[#All],3,FALSE)</f>
        <v>#N/A</v>
      </c>
    </row>
    <row r="32" spans="1:5" x14ac:dyDescent="0.35">
      <c r="A32" s="118">
        <v>25</v>
      </c>
      <c r="B32" s="114" t="s">
        <v>115</v>
      </c>
      <c r="C32" s="109" t="e">
        <f>VLOOKUP(Table257519913140106110151155170178204255[[#This Row],[PEG]],Table1016[#All],2,FALSE)</f>
        <v>#N/A</v>
      </c>
      <c r="D32" s="117"/>
      <c r="E32" s="125" t="e">
        <f>VLOOKUP(Table257519913140106110151155170178204255[[#This Row],[PEG]],Table1016[#All],3,FALSE)</f>
        <v>#N/A</v>
      </c>
    </row>
    <row r="33" spans="1:5" x14ac:dyDescent="0.35">
      <c r="A33" s="118">
        <v>26</v>
      </c>
      <c r="B33" s="114" t="s">
        <v>124</v>
      </c>
      <c r="C33" s="109" t="e">
        <f>VLOOKUP(Table257519913140106110151155170178204255[[#This Row],[PEG]],Table1016[#All],2,FALSE)</f>
        <v>#N/A</v>
      </c>
      <c r="D33" s="117"/>
      <c r="E33" s="125" t="e">
        <f>VLOOKUP(Table257519913140106110151155170178204255[[#This Row],[PEG]],Table1016[#All],3,FALSE)</f>
        <v>#N/A</v>
      </c>
    </row>
    <row r="34" spans="1:5" x14ac:dyDescent="0.35">
      <c r="A34" s="118">
        <v>27</v>
      </c>
      <c r="B34" s="114" t="s">
        <v>115</v>
      </c>
      <c r="C34" s="109" t="e">
        <f>VLOOKUP(Table257519913140106110151155170178204255[[#This Row],[PEG]],Table1016[#All],2,FALSE)</f>
        <v>#N/A</v>
      </c>
      <c r="D34" s="117"/>
      <c r="E34" s="125" t="e">
        <f>VLOOKUP(Table257519913140106110151155170178204255[[#This Row],[PEG]],Table1016[#All],3,FALSE)</f>
        <v>#N/A</v>
      </c>
    </row>
    <row r="35" spans="1:5" x14ac:dyDescent="0.35">
      <c r="A35" s="118">
        <v>28</v>
      </c>
      <c r="B35" s="114" t="s">
        <v>124</v>
      </c>
      <c r="C35" s="109" t="e">
        <f>VLOOKUP(Table257519913140106110151155170178204255[[#This Row],[PEG]],Table1016[#All],2,FALSE)</f>
        <v>#N/A</v>
      </c>
      <c r="D35" s="117"/>
      <c r="E35" s="125" t="e">
        <f>VLOOKUP(Table257519913140106110151155170178204255[[#This Row],[PEG]],Table1016[#All],3,FALSE)</f>
        <v>#N/A</v>
      </c>
    </row>
    <row r="36" spans="1:5" x14ac:dyDescent="0.35">
      <c r="A36" s="118">
        <v>29</v>
      </c>
      <c r="B36" s="114" t="s">
        <v>115</v>
      </c>
      <c r="C36" s="109" t="e">
        <f>VLOOKUP(Table257519913140106110151155170178204255[[#This Row],[PEG]],Table1016[#All],2,FALSE)</f>
        <v>#N/A</v>
      </c>
      <c r="D36" s="117"/>
      <c r="E36" s="125" t="e">
        <f>VLOOKUP(Table257519913140106110151155170178204255[[#This Row],[PEG]],Table1016[#All],3,FALSE)</f>
        <v>#N/A</v>
      </c>
    </row>
    <row r="37" spans="1:5" x14ac:dyDescent="0.35">
      <c r="A37" s="118">
        <v>30</v>
      </c>
      <c r="B37" s="114" t="s">
        <v>12</v>
      </c>
      <c r="C37" s="109" t="e">
        <f>VLOOKUP(Table257519913140106110151155170178204255[[#This Row],[PEG]],Table1016[#All],2,FALSE)</f>
        <v>#N/A</v>
      </c>
      <c r="D37" s="117"/>
      <c r="E37" s="125" t="e">
        <f>VLOOKUP(Table257519913140106110151155170178204255[[#This Row],[PEG]],Table1016[#All],3,FALSE)</f>
        <v>#N/A</v>
      </c>
    </row>
    <row r="38" spans="1:5" x14ac:dyDescent="0.35">
      <c r="A38" s="118">
        <v>31</v>
      </c>
      <c r="B38" s="114" t="s">
        <v>12</v>
      </c>
      <c r="C38" s="109" t="e">
        <f>VLOOKUP(Table257519913140106110151155170178204255[[#This Row],[PEG]],Table1016[#All],2,FALSE)</f>
        <v>#N/A</v>
      </c>
      <c r="D38" s="117"/>
      <c r="E38" s="125" t="e">
        <f>VLOOKUP(Table257519913140106110151155170178204255[[#This Row],[PEG]],Table1016[#All],3,FALSE)</f>
        <v>#N/A</v>
      </c>
    </row>
    <row r="39" spans="1:5" x14ac:dyDescent="0.35">
      <c r="A39" s="118">
        <v>32</v>
      </c>
      <c r="B39" s="114" t="s">
        <v>12</v>
      </c>
      <c r="C39" s="109" t="e">
        <f>VLOOKUP(Table257519913140106110151155170178204255[[#This Row],[PEG]],Table1016[#All],2,FALSE)</f>
        <v>#N/A</v>
      </c>
      <c r="D39" s="117"/>
      <c r="E39" s="125" t="e">
        <f>VLOOKUP(Table257519913140106110151155170178204255[[#This Row],[PEG]],Table1016[#All],3,FALSE)</f>
        <v>#N/A</v>
      </c>
    </row>
    <row r="40" spans="1:5" x14ac:dyDescent="0.35">
      <c r="A40" s="118">
        <v>33</v>
      </c>
      <c r="B40" s="114" t="s">
        <v>12</v>
      </c>
      <c r="C40" s="109" t="e">
        <f>VLOOKUP(Table257519913140106110151155170178204255[[#This Row],[PEG]],Table1016[#All],2,FALSE)</f>
        <v>#N/A</v>
      </c>
      <c r="D40" s="117"/>
      <c r="E40" s="125" t="e">
        <f>VLOOKUP(Table257519913140106110151155170178204255[[#This Row],[PEG]],Table1016[#All],3,FALSE)</f>
        <v>#N/A</v>
      </c>
    </row>
    <row r="41" spans="1:5" x14ac:dyDescent="0.35">
      <c r="A41" s="118">
        <v>34</v>
      </c>
      <c r="B41" s="114" t="s">
        <v>115</v>
      </c>
      <c r="C41" s="109" t="e">
        <f>VLOOKUP(Table257519913140106110151155170178204255[[#This Row],[PEG]],Table1016[#All],2,FALSE)</f>
        <v>#N/A</v>
      </c>
      <c r="D41" s="117"/>
      <c r="E41" s="125" t="e">
        <f>VLOOKUP(Table257519913140106110151155170178204255[[#This Row],[PEG]],Table1016[#All],3,FALSE)</f>
        <v>#N/A</v>
      </c>
    </row>
    <row r="42" spans="1:5" x14ac:dyDescent="0.35">
      <c r="A42" s="118">
        <v>35</v>
      </c>
      <c r="B42" s="114" t="s">
        <v>12</v>
      </c>
      <c r="C42" s="109" t="e">
        <f>VLOOKUP(Table257519913140106110151155170178204255[[#This Row],[PEG]],Table1016[#All],2,FALSE)</f>
        <v>#N/A</v>
      </c>
      <c r="D42" s="115"/>
      <c r="E42" s="125" t="e">
        <f>VLOOKUP(Table257519913140106110151155170178204255[[#This Row],[PEG]],Table1016[#All],3,FALSE)</f>
        <v>#N/A</v>
      </c>
    </row>
    <row r="43" spans="1:5" x14ac:dyDescent="0.35">
      <c r="A43" s="118">
        <v>36</v>
      </c>
      <c r="B43" s="114" t="s">
        <v>115</v>
      </c>
      <c r="C43" s="109" t="e">
        <f>VLOOKUP(Table257519913140106110151155170178204255[[#This Row],[PEG]],Table1016[#All],2,FALSE)</f>
        <v>#N/A</v>
      </c>
      <c r="D43" s="115"/>
      <c r="E43" s="125" t="e">
        <f>VLOOKUP(Table257519913140106110151155170178204255[[#This Row],[PEG]],Table1016[#All],3,FALSE)</f>
        <v>#N/A</v>
      </c>
    </row>
    <row r="44" spans="1:5" x14ac:dyDescent="0.35">
      <c r="A44" s="118">
        <v>37</v>
      </c>
      <c r="B44" s="114" t="s">
        <v>13</v>
      </c>
      <c r="C44" s="18" t="s">
        <v>13</v>
      </c>
      <c r="D44" s="115"/>
      <c r="E44" s="32"/>
    </row>
  </sheetData>
  <mergeCells count="1">
    <mergeCell ref="A1:B1"/>
  </mergeCells>
  <conditionalFormatting sqref="B8:B18">
    <cfRule type="containsText" dxfId="509" priority="1" operator="containsText" text="Hear">
      <formula>NOT(ISERROR(SEARCH("Hear",B8)))</formula>
    </cfRule>
  </conditionalFormatting>
  <conditionalFormatting sqref="B30">
    <cfRule type="containsText" dxfId="508" priority="4" operator="containsText" text="Hear">
      <formula>NOT(ISERROR(SEARCH("Hear",B30)))</formula>
    </cfRule>
  </conditionalFormatting>
  <conditionalFormatting sqref="B43:B44">
    <cfRule type="containsText" dxfId="507" priority="8" operator="containsText" text="Hear">
      <formula>NOT(ISERROR(SEARCH("Hear",B43)))</formula>
    </cfRule>
  </conditionalFormatting>
  <conditionalFormatting sqref="E44">
    <cfRule type="containsText" dxfId="506" priority="6" operator="containsText" text="WEB SERVICE">
      <formula>NOT(ISERROR(SEARCH("WEB SERVICE",E44)))</formula>
    </cfRule>
    <cfRule type="containsText" dxfId="505" priority="7" operator="containsText" text="DB">
      <formula>NOT(ISERROR(SEARCH("DB",E44)))</formula>
    </cfRule>
  </conditionalFormatting>
  <conditionalFormatting sqref="C44">
    <cfRule type="expression" dxfId="504" priority="9">
      <formula>$B44="Dial"</formula>
    </cfRule>
  </conditionalFormatting>
  <conditionalFormatting sqref="C44">
    <cfRule type="expression" dxfId="503" priority="3">
      <formula>$B44="Speak"</formula>
    </cfRule>
  </conditionalFormatting>
  <conditionalFormatting sqref="B19:B29 B31:B35 B42">
    <cfRule type="containsText" dxfId="502" priority="5" operator="containsText" text="Hear">
      <formula>NOT(ISERROR(SEARCH("Hear",B19)))</formula>
    </cfRule>
  </conditionalFormatting>
  <hyperlinks>
    <hyperlink ref="A1" location="'Test Case Overview'!A1" display="Return to Test Case Overview" xr:uid="{90FEA1EF-E31A-4820-84D9-C8B7B3356DE9}"/>
  </hyperlinks>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expression" priority="2" id="{8C2DB42B-3961-4A22-88AB-F8B9C44B34BA}">
            <xm:f>'TC1'!$B8="HANGUP"</xm:f>
            <x14:dxf>
              <font>
                <b/>
                <i val="0"/>
              </font>
            </x14:dxf>
          </x14:cfRule>
          <xm:sqref>C8</xm:sqref>
        </x14:conditionalFormatting>
        <x14:conditionalFormatting xmlns:xm="http://schemas.microsoft.com/office/excel/2006/main">
          <x14:cfRule type="expression" priority="3338" id="{8C2DB42B-3961-4A22-88AB-F8B9C44B34BA}">
            <xm:f>'TC1'!$B16="HANGUP"</xm:f>
            <x14:dxf>
              <font>
                <b/>
                <i val="0"/>
              </font>
            </x14:dxf>
          </x14:cfRule>
          <xm:sqref>C34:C43</xm:sqref>
        </x14:conditionalFormatting>
        <x14:conditionalFormatting xmlns:xm="http://schemas.microsoft.com/office/excel/2006/main">
          <x14:cfRule type="expression" priority="3339" id="{8C2DB42B-3961-4A22-88AB-F8B9C44B34BA}">
            <xm:f>'TC1'!#REF!="HANGUP"</xm:f>
            <x14:dxf>
              <font>
                <b/>
                <i val="0"/>
              </font>
            </x14:dxf>
          </x14:cfRule>
          <xm:sqref>C17:C33</xm:sqref>
        </x14:conditionalFormatting>
        <x14:conditionalFormatting xmlns:xm="http://schemas.microsoft.com/office/excel/2006/main">
          <x14:cfRule type="expression" priority="5952" id="{8C2DB42B-3961-4A22-88AB-F8B9C44B34BA}">
            <xm:f>'TC1'!$B9="HANGUP"</xm:f>
            <x14:dxf>
              <font>
                <b/>
                <i val="0"/>
              </font>
            </x14:dxf>
          </x14:cfRule>
          <xm:sqref>C12:C15</xm:sqref>
        </x14:conditionalFormatting>
        <x14:conditionalFormatting xmlns:xm="http://schemas.microsoft.com/office/excel/2006/main">
          <x14:cfRule type="expression" priority="5953" id="{8C2DB42B-3961-4A22-88AB-F8B9C44B34BA}">
            <xm:f>'TC1'!#REF!="HANGUP"</xm:f>
            <x14:dxf>
              <font>
                <b/>
                <i val="0"/>
              </font>
            </x14:dxf>
          </x14:cfRule>
          <xm:sqref>C9:C11</xm:sqref>
        </x14:conditionalFormatting>
        <x14:conditionalFormatting xmlns:xm="http://schemas.microsoft.com/office/excel/2006/main">
          <x14:cfRule type="expression" priority="8127" id="{8C2DB42B-3961-4A22-88AB-F8B9C44B34BA}">
            <xm:f>'TC1'!$B15="HANGUP"</xm:f>
            <x14:dxf>
              <font>
                <b/>
                <i val="0"/>
              </font>
            </x14:dxf>
          </x14:cfRule>
          <xm:sqref>C16</xm:sqref>
        </x14:conditionalFormatting>
      </x14:conditionalFormattings>
    </ext>
  </extLst>
</worksheet>
</file>

<file path=xl/worksheets/sheet1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E00-000000000000}">
  <sheetPr codeName="Sheet176"/>
  <dimension ref="A1:E44"/>
  <sheetViews>
    <sheetView zoomScaleNormal="100" workbookViewId="0">
      <selection sqref="A1:E44"/>
    </sheetView>
  </sheetViews>
  <sheetFormatPr defaultRowHeight="14.5" x14ac:dyDescent="0.35"/>
  <cols>
    <col min="1" max="1" width="14.453125" bestFit="1" customWidth="1"/>
    <col min="2" max="2" width="42.6328125" customWidth="1"/>
    <col min="3" max="3" width="106.1796875" customWidth="1"/>
    <col min="4" max="4" width="21.81640625" bestFit="1" customWidth="1"/>
    <col min="5" max="5" width="20.6328125" customWidth="1"/>
  </cols>
  <sheetData>
    <row r="1" spans="1:5" ht="18.5" x14ac:dyDescent="0.35">
      <c r="A1" s="192" t="s">
        <v>4</v>
      </c>
      <c r="B1" s="192"/>
      <c r="C1" s="105"/>
      <c r="D1" s="111"/>
      <c r="E1" s="97"/>
    </row>
    <row r="2" spans="1:5" x14ac:dyDescent="0.35">
      <c r="A2" s="106" t="s">
        <v>5</v>
      </c>
      <c r="B2" s="107" t="str">
        <f ca="1">MID(CELL("filename",A1),FIND("]",CELL("filename",A1))+1,LEN(CELL("filename",A1))-FIND("]",CELL("filename",A1)))</f>
        <v>TC174</v>
      </c>
      <c r="C2" s="98"/>
      <c r="D2" s="111"/>
      <c r="E2" s="97"/>
    </row>
    <row r="3" spans="1:5" x14ac:dyDescent="0.35">
      <c r="A3" s="104" t="s">
        <v>19</v>
      </c>
      <c r="B3" s="112" t="e">
        <f ca="1">VLOOKUP(B2,Table53[#All],2,FALSE)</f>
        <v>#N/A</v>
      </c>
      <c r="C3" s="98"/>
      <c r="D3" s="111"/>
      <c r="E3" s="97"/>
    </row>
    <row r="4" spans="1:5" ht="29" x14ac:dyDescent="0.35">
      <c r="A4" s="113" t="s">
        <v>20</v>
      </c>
      <c r="B4" s="99" t="e">
        <f ca="1">VLOOKUP(B2,Table53[#All],4,FALSE)</f>
        <v>#N/A</v>
      </c>
      <c r="C4" s="98"/>
      <c r="D4" s="111"/>
      <c r="E4" s="97"/>
    </row>
    <row r="5" spans="1:5" x14ac:dyDescent="0.35">
      <c r="A5" s="104" t="s">
        <v>6</v>
      </c>
      <c r="B5" s="77" t="e">
        <f ca="1">VLOOKUP(B2,Table53[#All],3,FALSE)</f>
        <v>#N/A</v>
      </c>
      <c r="C5" s="98"/>
      <c r="D5" s="111"/>
      <c r="E5" s="97"/>
    </row>
    <row r="6" spans="1:5" x14ac:dyDescent="0.35">
      <c r="A6" s="97"/>
      <c r="B6" s="97"/>
      <c r="C6" s="98"/>
      <c r="D6" s="111"/>
      <c r="E6" s="97"/>
    </row>
    <row r="7" spans="1:5" ht="15.5" x14ac:dyDescent="0.35">
      <c r="A7" s="100" t="s">
        <v>7</v>
      </c>
      <c r="B7" s="101" t="s">
        <v>8</v>
      </c>
      <c r="C7" s="102" t="s">
        <v>9</v>
      </c>
      <c r="D7" s="102" t="s">
        <v>14</v>
      </c>
      <c r="E7" s="103" t="s">
        <v>10</v>
      </c>
    </row>
    <row r="8" spans="1:5" x14ac:dyDescent="0.35">
      <c r="A8" s="118">
        <v>1</v>
      </c>
      <c r="B8" s="114" t="s">
        <v>114</v>
      </c>
      <c r="C8" s="109" t="s">
        <v>125</v>
      </c>
      <c r="D8" s="128"/>
      <c r="E8" s="125" t="s">
        <v>11</v>
      </c>
    </row>
    <row r="9" spans="1:5" x14ac:dyDescent="0.35">
      <c r="A9" s="118">
        <v>2</v>
      </c>
      <c r="B9" s="114" t="s">
        <v>12</v>
      </c>
      <c r="C9" s="109" t="e">
        <f>VLOOKUP(Table257519913140106110151155170178204257[[#This Row],[PEG]],Table1016[#All],2,FALSE)</f>
        <v>#N/A</v>
      </c>
      <c r="D9" s="128"/>
      <c r="E9" s="125" t="e">
        <f>VLOOKUP(Table257519913140106110151155170178204257[[#This Row],[PEG]],Table1016[#All],3,FALSE)</f>
        <v>#N/A</v>
      </c>
    </row>
    <row r="10" spans="1:5" x14ac:dyDescent="0.35">
      <c r="A10" s="118">
        <v>3</v>
      </c>
      <c r="B10" s="114" t="s">
        <v>115</v>
      </c>
      <c r="C10" s="109" t="e">
        <f>VLOOKUP(Table257519913140106110151155170178204257[[#This Row],[PEG]],Table1016[#All],2,FALSE)</f>
        <v>#N/A</v>
      </c>
      <c r="D10" s="128"/>
      <c r="E10" s="125" t="e">
        <f>VLOOKUP(Table257519913140106110151155170178204257[[#This Row],[PEG]],Table1016[#All],3,FALSE)</f>
        <v>#N/A</v>
      </c>
    </row>
    <row r="11" spans="1:5" x14ac:dyDescent="0.35">
      <c r="A11" s="118">
        <v>4</v>
      </c>
      <c r="B11" s="114" t="s">
        <v>115</v>
      </c>
      <c r="C11" s="109" t="e">
        <f>VLOOKUP(Table257519913140106110151155170178204257[[#This Row],[PEG]],Table1016[#All],2,FALSE)</f>
        <v>#N/A</v>
      </c>
      <c r="D11" s="128"/>
      <c r="E11" s="125" t="e">
        <f>VLOOKUP(Table257519913140106110151155170178204257[[#This Row],[PEG]],Table1016[#All],3,FALSE)</f>
        <v>#N/A</v>
      </c>
    </row>
    <row r="12" spans="1:5" x14ac:dyDescent="0.35">
      <c r="A12" s="118">
        <v>5</v>
      </c>
      <c r="B12" s="114" t="s">
        <v>114</v>
      </c>
      <c r="C12" s="109" t="e">
        <f>VLOOKUP(Table257519913140106110151155170178204257[[#This Row],[PEG]],Table1016[#All],2,FALSE)</f>
        <v>#N/A</v>
      </c>
      <c r="D12" s="128"/>
      <c r="E12" s="125" t="e">
        <f>VLOOKUP(Table257519913140106110151155170178204257[[#This Row],[PEG]],Table1016[#All],3,FALSE)</f>
        <v>#N/A</v>
      </c>
    </row>
    <row r="13" spans="1:5" x14ac:dyDescent="0.35">
      <c r="A13" s="118">
        <v>6</v>
      </c>
      <c r="B13" s="114" t="s">
        <v>115</v>
      </c>
      <c r="C13" s="109" t="e">
        <f>VLOOKUP(Table257519913140106110151155170178204257[[#This Row],[PEG]],Table1016[#All],2,FALSE)</f>
        <v>#N/A</v>
      </c>
      <c r="D13" s="128"/>
      <c r="E13" s="125" t="e">
        <f>VLOOKUP(Table257519913140106110151155170178204257[[#This Row],[PEG]],Table1016[#All],3,FALSE)</f>
        <v>#N/A</v>
      </c>
    </row>
    <row r="14" spans="1:5" x14ac:dyDescent="0.35">
      <c r="A14" s="118">
        <v>7</v>
      </c>
      <c r="B14" s="114" t="s">
        <v>114</v>
      </c>
      <c r="C14" s="109" t="e">
        <f>VLOOKUP(Table257519913140106110151155170178204257[[#This Row],[PEG]],Table1016[#All],2,FALSE)</f>
        <v>#N/A</v>
      </c>
      <c r="D14" s="128"/>
      <c r="E14" s="125" t="e">
        <f>VLOOKUP(Table257519913140106110151155170178204257[[#This Row],[PEG]],Table1016[#All],3,FALSE)</f>
        <v>#N/A</v>
      </c>
    </row>
    <row r="15" spans="1:5" x14ac:dyDescent="0.35">
      <c r="A15" s="118">
        <v>8</v>
      </c>
      <c r="B15" s="114" t="s">
        <v>115</v>
      </c>
      <c r="C15" s="109" t="e">
        <f>VLOOKUP(Table257519913140106110151155170178204257[[#This Row],[PEG]],Table1016[#All],2,FALSE)</f>
        <v>#N/A</v>
      </c>
      <c r="D15" s="116"/>
      <c r="E15" s="125" t="e">
        <f>VLOOKUP(Table257519913140106110151155170178204257[[#This Row],[PEG]],Table1016[#All],3,FALSE)</f>
        <v>#N/A</v>
      </c>
    </row>
    <row r="16" spans="1:5" x14ac:dyDescent="0.35">
      <c r="A16" s="118">
        <v>9</v>
      </c>
      <c r="B16" s="114" t="s">
        <v>12</v>
      </c>
      <c r="C16" s="109" t="e">
        <f>VLOOKUP(Table257519913140106110151155170178204257[[#This Row],[PEG]],Table1016[#All],2,FALSE)</f>
        <v>#N/A</v>
      </c>
      <c r="D16" s="116"/>
      <c r="E16" s="125" t="e">
        <f>VLOOKUP(Table257519913140106110151155170178204257[[#This Row],[PEG]],Table1016[#All],3,FALSE)</f>
        <v>#N/A</v>
      </c>
    </row>
    <row r="17" spans="1:5" x14ac:dyDescent="0.35">
      <c r="A17" s="118">
        <v>10</v>
      </c>
      <c r="B17" s="114" t="s">
        <v>12</v>
      </c>
      <c r="C17" s="109" t="e">
        <f>VLOOKUP(Table257519913140106110151155170178204257[[#This Row],[PEG]],Table1016[#All],2,FALSE)</f>
        <v>#N/A</v>
      </c>
      <c r="D17" s="117"/>
      <c r="E17" s="125" t="e">
        <f>VLOOKUP(Table257519913140106110151155170178204257[[#This Row],[PEG]],Table1016[#All],3,FALSE)</f>
        <v>#N/A</v>
      </c>
    </row>
    <row r="18" spans="1:5" x14ac:dyDescent="0.35">
      <c r="A18" s="118">
        <v>11</v>
      </c>
      <c r="B18" s="114" t="s">
        <v>115</v>
      </c>
      <c r="C18" s="109" t="e">
        <f>VLOOKUP(Table257519913140106110151155170178204257[[#This Row],[PEG]],Table1016[#All],2,FALSE)</f>
        <v>#N/A</v>
      </c>
      <c r="D18" s="117"/>
      <c r="E18" s="125" t="e">
        <f>VLOOKUP(Table257519913140106110151155170178204257[[#This Row],[PEG]],Table1016[#All],3,FALSE)</f>
        <v>#N/A</v>
      </c>
    </row>
    <row r="19" spans="1:5" x14ac:dyDescent="0.35">
      <c r="A19" s="118">
        <v>12</v>
      </c>
      <c r="B19" s="114" t="s">
        <v>115</v>
      </c>
      <c r="C19" s="109" t="e">
        <f>VLOOKUP(Table257519913140106110151155170178204257[[#This Row],[PEG]],Table1016[#All],2,FALSE)</f>
        <v>#N/A</v>
      </c>
      <c r="D19" s="117"/>
      <c r="E19" s="125" t="e">
        <f>VLOOKUP(Table257519913140106110151155170178204257[[#This Row],[PEG]],Table1016[#All],3,FALSE)</f>
        <v>#N/A</v>
      </c>
    </row>
    <row r="20" spans="1:5" x14ac:dyDescent="0.35">
      <c r="A20" s="118">
        <v>13</v>
      </c>
      <c r="B20" s="114" t="s">
        <v>114</v>
      </c>
      <c r="C20" s="109" t="e">
        <f>VLOOKUP(Table257519913140106110151155170178204257[[#This Row],[PEG]],Table1016[#All],2,FALSE)</f>
        <v>#N/A</v>
      </c>
      <c r="D20" s="117"/>
      <c r="E20" s="125" t="e">
        <f>VLOOKUP(Table257519913140106110151155170178204257[[#This Row],[PEG]],Table1016[#All],3,FALSE)</f>
        <v>#N/A</v>
      </c>
    </row>
    <row r="21" spans="1:5" x14ac:dyDescent="0.35">
      <c r="A21" s="118">
        <v>14</v>
      </c>
      <c r="B21" s="114" t="s">
        <v>12</v>
      </c>
      <c r="C21" s="109" t="e">
        <f>VLOOKUP(Table257519913140106110151155170178204257[[#This Row],[PEG]],Table1016[#All],2,FALSE)</f>
        <v>#N/A</v>
      </c>
      <c r="D21" s="117"/>
      <c r="E21" s="125" t="e">
        <f>VLOOKUP(Table257519913140106110151155170178204257[[#This Row],[PEG]],Table1016[#All],3,FALSE)</f>
        <v>#N/A</v>
      </c>
    </row>
    <row r="22" spans="1:5" x14ac:dyDescent="0.35">
      <c r="A22" s="118">
        <v>15</v>
      </c>
      <c r="B22" s="114" t="s">
        <v>12</v>
      </c>
      <c r="C22" s="109" t="e">
        <f>VLOOKUP(Table257519913140106110151155170178204257[[#This Row],[PEG]],Table1016[#All],2,FALSE)</f>
        <v>#N/A</v>
      </c>
      <c r="D22" s="117"/>
      <c r="E22" s="125" t="e">
        <f>VLOOKUP(Table257519913140106110151155170178204257[[#This Row],[PEG]],Table1016[#All],3,FALSE)</f>
        <v>#N/A</v>
      </c>
    </row>
    <row r="23" spans="1:5" x14ac:dyDescent="0.35">
      <c r="A23" s="118">
        <v>16</v>
      </c>
      <c r="B23" s="114" t="s">
        <v>115</v>
      </c>
      <c r="C23" s="109" t="e">
        <f>VLOOKUP(Table257519913140106110151155170178204257[[#This Row],[PEG]],Table1016[#All],2,FALSE)</f>
        <v>#N/A</v>
      </c>
      <c r="D23" s="117"/>
      <c r="E23" s="125" t="e">
        <f>VLOOKUP(Table257519913140106110151155170178204257[[#This Row],[PEG]],Table1016[#All],3,FALSE)</f>
        <v>#N/A</v>
      </c>
    </row>
    <row r="24" spans="1:5" x14ac:dyDescent="0.35">
      <c r="A24" s="118">
        <v>17</v>
      </c>
      <c r="B24" s="114" t="s">
        <v>114</v>
      </c>
      <c r="C24" s="109" t="e">
        <f>VLOOKUP(Table257519913140106110151155170178204257[[#This Row],[PEG]],Table1016[#All],2,FALSE)</f>
        <v>#N/A</v>
      </c>
      <c r="D24" s="117"/>
      <c r="E24" s="125" t="e">
        <f>VLOOKUP(Table257519913140106110151155170178204257[[#This Row],[PEG]],Table1016[#All],3,FALSE)</f>
        <v>#N/A</v>
      </c>
    </row>
    <row r="25" spans="1:5" x14ac:dyDescent="0.35">
      <c r="A25" s="118">
        <v>18</v>
      </c>
      <c r="B25" s="114" t="s">
        <v>12</v>
      </c>
      <c r="C25" s="109" t="e">
        <f>VLOOKUP(Table257519913140106110151155170178204257[[#This Row],[PEG]],Table1016[#All],2,FALSE)</f>
        <v>#N/A</v>
      </c>
      <c r="D25" s="117"/>
      <c r="E25" s="125" t="e">
        <f>VLOOKUP(Table257519913140106110151155170178204257[[#This Row],[PEG]],Table1016[#All],3,FALSE)</f>
        <v>#N/A</v>
      </c>
    </row>
    <row r="26" spans="1:5" x14ac:dyDescent="0.35">
      <c r="A26" s="118">
        <v>19</v>
      </c>
      <c r="B26" s="114" t="s">
        <v>12</v>
      </c>
      <c r="C26" s="109" t="e">
        <f>VLOOKUP(Table257519913140106110151155170178204257[[#This Row],[PEG]],Table1016[#All],2,FALSE)</f>
        <v>#N/A</v>
      </c>
      <c r="D26" s="117"/>
      <c r="E26" s="125" t="e">
        <f>VLOOKUP(Table257519913140106110151155170178204257[[#This Row],[PEG]],Table1016[#All],3,FALSE)</f>
        <v>#N/A</v>
      </c>
    </row>
    <row r="27" spans="1:5" x14ac:dyDescent="0.35">
      <c r="A27" s="118">
        <v>20</v>
      </c>
      <c r="B27" s="114" t="s">
        <v>115</v>
      </c>
      <c r="C27" s="109" t="e">
        <f>VLOOKUP(Table257519913140106110151155170178204257[[#This Row],[PEG]],Table1016[#All],2,FALSE)</f>
        <v>#N/A</v>
      </c>
      <c r="D27" s="117"/>
      <c r="E27" s="125" t="e">
        <f>VLOOKUP(Table257519913140106110151155170178204257[[#This Row],[PEG]],Table1016[#All],3,FALSE)</f>
        <v>#N/A</v>
      </c>
    </row>
    <row r="28" spans="1:5" x14ac:dyDescent="0.35">
      <c r="A28" s="118">
        <v>21</v>
      </c>
      <c r="B28" s="114" t="s">
        <v>114</v>
      </c>
      <c r="C28" s="109" t="e">
        <f>VLOOKUP(Table257519913140106110151155170178204257[[#This Row],[PEG]],Table1016[#All],2,FALSE)</f>
        <v>#N/A</v>
      </c>
      <c r="D28" s="117"/>
      <c r="E28" s="125" t="e">
        <f>VLOOKUP(Table257519913140106110151155170178204257[[#This Row],[PEG]],Table1016[#All],3,FALSE)</f>
        <v>#N/A</v>
      </c>
    </row>
    <row r="29" spans="1:5" x14ac:dyDescent="0.35">
      <c r="A29" s="118">
        <v>22</v>
      </c>
      <c r="B29" s="114" t="s">
        <v>12</v>
      </c>
      <c r="C29" s="109" t="e">
        <f>VLOOKUP(Table257519913140106110151155170178204257[[#This Row],[PEG]],Table1016[#All],2,FALSE)</f>
        <v>#N/A</v>
      </c>
      <c r="D29" s="117"/>
      <c r="E29" s="125" t="e">
        <f>VLOOKUP(Table257519913140106110151155170178204257[[#This Row],[PEG]],Table1016[#All],3,FALSE)</f>
        <v>#N/A</v>
      </c>
    </row>
    <row r="30" spans="1:5" x14ac:dyDescent="0.35">
      <c r="A30" s="118">
        <v>23</v>
      </c>
      <c r="B30" s="114" t="s">
        <v>12</v>
      </c>
      <c r="C30" s="109" t="e">
        <f>VLOOKUP(Table257519913140106110151155170178204257[[#This Row],[PEG]],Table1016[#All],2,FALSE)</f>
        <v>#N/A</v>
      </c>
      <c r="D30" s="117"/>
      <c r="E30" s="125" t="e">
        <f>VLOOKUP(Table257519913140106110151155170178204257[[#This Row],[PEG]],Table1016[#All],3,FALSE)</f>
        <v>#N/A</v>
      </c>
    </row>
    <row r="31" spans="1:5" x14ac:dyDescent="0.35">
      <c r="A31" s="118">
        <v>24</v>
      </c>
      <c r="B31" s="114" t="s">
        <v>115</v>
      </c>
      <c r="C31" s="109" t="e">
        <f>VLOOKUP(Table257519913140106110151155170178204257[[#This Row],[PEG]],Table1016[#All],2,FALSE)</f>
        <v>#N/A</v>
      </c>
      <c r="D31" s="117"/>
      <c r="E31" s="125" t="e">
        <f>VLOOKUP(Table257519913140106110151155170178204257[[#This Row],[PEG]],Table1016[#All],3,FALSE)</f>
        <v>#N/A</v>
      </c>
    </row>
    <row r="32" spans="1:5" x14ac:dyDescent="0.35">
      <c r="A32" s="118">
        <v>25</v>
      </c>
      <c r="B32" s="114" t="s">
        <v>115</v>
      </c>
      <c r="C32" s="109" t="e">
        <f>VLOOKUP(Table257519913140106110151155170178204257[[#This Row],[PEG]],Table1016[#All],2,FALSE)</f>
        <v>#N/A</v>
      </c>
      <c r="D32" s="117"/>
      <c r="E32" s="125" t="e">
        <f>VLOOKUP(Table257519913140106110151155170178204257[[#This Row],[PEG]],Table1016[#All],3,FALSE)</f>
        <v>#N/A</v>
      </c>
    </row>
    <row r="33" spans="1:5" x14ac:dyDescent="0.35">
      <c r="A33" s="118">
        <v>26</v>
      </c>
      <c r="B33" s="114" t="s">
        <v>124</v>
      </c>
      <c r="C33" s="109" t="e">
        <f>VLOOKUP(Table257519913140106110151155170178204257[[#This Row],[PEG]],Table1016[#All],2,FALSE)</f>
        <v>#N/A</v>
      </c>
      <c r="D33" s="117"/>
      <c r="E33" s="125" t="e">
        <f>VLOOKUP(Table257519913140106110151155170178204257[[#This Row],[PEG]],Table1016[#All],3,FALSE)</f>
        <v>#N/A</v>
      </c>
    </row>
    <row r="34" spans="1:5" x14ac:dyDescent="0.35">
      <c r="A34" s="118">
        <v>27</v>
      </c>
      <c r="B34" s="114" t="s">
        <v>115</v>
      </c>
      <c r="C34" s="109" t="e">
        <f>VLOOKUP(Table257519913140106110151155170178204257[[#This Row],[PEG]],Table1016[#All],2,FALSE)</f>
        <v>#N/A</v>
      </c>
      <c r="D34" s="117"/>
      <c r="E34" s="125" t="e">
        <f>VLOOKUP(Table257519913140106110151155170178204257[[#This Row],[PEG]],Table1016[#All],3,FALSE)</f>
        <v>#N/A</v>
      </c>
    </row>
    <row r="35" spans="1:5" x14ac:dyDescent="0.35">
      <c r="A35" s="118">
        <v>28</v>
      </c>
      <c r="B35" s="114" t="s">
        <v>124</v>
      </c>
      <c r="C35" s="109" t="e">
        <f>VLOOKUP(Table257519913140106110151155170178204257[[#This Row],[PEG]],Table1016[#All],2,FALSE)</f>
        <v>#N/A</v>
      </c>
      <c r="D35" s="117"/>
      <c r="E35" s="125" t="e">
        <f>VLOOKUP(Table257519913140106110151155170178204257[[#This Row],[PEG]],Table1016[#All],3,FALSE)</f>
        <v>#N/A</v>
      </c>
    </row>
    <row r="36" spans="1:5" x14ac:dyDescent="0.35">
      <c r="A36" s="118">
        <v>29</v>
      </c>
      <c r="B36" s="114" t="s">
        <v>115</v>
      </c>
      <c r="C36" s="109" t="e">
        <f>VLOOKUP(Table257519913140106110151155170178204257[[#This Row],[PEG]],Table1016[#All],2,FALSE)</f>
        <v>#N/A</v>
      </c>
      <c r="D36" s="117"/>
      <c r="E36" s="125" t="e">
        <f>VLOOKUP(Table257519913140106110151155170178204257[[#This Row],[PEG]],Table1016[#All],3,FALSE)</f>
        <v>#N/A</v>
      </c>
    </row>
    <row r="37" spans="1:5" x14ac:dyDescent="0.35">
      <c r="A37" s="118">
        <v>30</v>
      </c>
      <c r="B37" s="114" t="s">
        <v>12</v>
      </c>
      <c r="C37" s="109" t="e">
        <f>VLOOKUP(Table257519913140106110151155170178204257[[#This Row],[PEG]],Table1016[#All],2,FALSE)</f>
        <v>#N/A</v>
      </c>
      <c r="D37" s="117"/>
      <c r="E37" s="125" t="e">
        <f>VLOOKUP(Table257519913140106110151155170178204257[[#This Row],[PEG]],Table1016[#All],3,FALSE)</f>
        <v>#N/A</v>
      </c>
    </row>
    <row r="38" spans="1:5" x14ac:dyDescent="0.35">
      <c r="A38" s="118">
        <v>31</v>
      </c>
      <c r="B38" s="114" t="s">
        <v>12</v>
      </c>
      <c r="C38" s="109" t="e">
        <f>VLOOKUP(Table257519913140106110151155170178204257[[#This Row],[PEG]],Table1016[#All],2,FALSE)</f>
        <v>#N/A</v>
      </c>
      <c r="D38" s="117"/>
      <c r="E38" s="125" t="e">
        <f>VLOOKUP(Table257519913140106110151155170178204257[[#This Row],[PEG]],Table1016[#All],3,FALSE)</f>
        <v>#N/A</v>
      </c>
    </row>
    <row r="39" spans="1:5" x14ac:dyDescent="0.35">
      <c r="A39" s="118">
        <v>32</v>
      </c>
      <c r="B39" s="114" t="s">
        <v>12</v>
      </c>
      <c r="C39" s="109" t="e">
        <f>VLOOKUP(Table257519913140106110151155170178204257[[#This Row],[PEG]],Table1016[#All],2,FALSE)</f>
        <v>#N/A</v>
      </c>
      <c r="D39" s="117"/>
      <c r="E39" s="125" t="e">
        <f>VLOOKUP(Table257519913140106110151155170178204257[[#This Row],[PEG]],Table1016[#All],3,FALSE)</f>
        <v>#N/A</v>
      </c>
    </row>
    <row r="40" spans="1:5" x14ac:dyDescent="0.35">
      <c r="A40" s="118">
        <v>33</v>
      </c>
      <c r="B40" s="114" t="s">
        <v>12</v>
      </c>
      <c r="C40" s="109" t="e">
        <f>VLOOKUP(Table257519913140106110151155170178204257[[#This Row],[PEG]],Table1016[#All],2,FALSE)</f>
        <v>#N/A</v>
      </c>
      <c r="D40" s="117"/>
      <c r="E40" s="125" t="e">
        <f>VLOOKUP(Table257519913140106110151155170178204257[[#This Row],[PEG]],Table1016[#All],3,FALSE)</f>
        <v>#N/A</v>
      </c>
    </row>
    <row r="41" spans="1:5" x14ac:dyDescent="0.35">
      <c r="A41" s="118">
        <v>34</v>
      </c>
      <c r="B41" s="114" t="s">
        <v>115</v>
      </c>
      <c r="C41" s="109" t="e">
        <f>VLOOKUP(Table257519913140106110151155170178204257[[#This Row],[PEG]],Table1016[#All],2,FALSE)</f>
        <v>#N/A</v>
      </c>
      <c r="D41" s="117"/>
      <c r="E41" s="125" t="e">
        <f>VLOOKUP(Table257519913140106110151155170178204257[[#This Row],[PEG]],Table1016[#All],3,FALSE)</f>
        <v>#N/A</v>
      </c>
    </row>
    <row r="42" spans="1:5" x14ac:dyDescent="0.35">
      <c r="A42" s="118">
        <v>35</v>
      </c>
      <c r="B42" s="114" t="s">
        <v>12</v>
      </c>
      <c r="C42" s="109" t="e">
        <f>VLOOKUP(Table257519913140106110151155170178204257[[#This Row],[PEG]],Table1016[#All],2,FALSE)</f>
        <v>#N/A</v>
      </c>
      <c r="D42" s="115"/>
      <c r="E42" s="125" t="e">
        <f>VLOOKUP(Table257519913140106110151155170178204257[[#This Row],[PEG]],Table1016[#All],3,FALSE)</f>
        <v>#N/A</v>
      </c>
    </row>
    <row r="43" spans="1:5" x14ac:dyDescent="0.35">
      <c r="A43" s="118">
        <v>36</v>
      </c>
      <c r="B43" s="114" t="s">
        <v>115</v>
      </c>
      <c r="C43" s="109" t="e">
        <f>VLOOKUP(Table257519913140106110151155170178204257[[#This Row],[PEG]],Table1016[#All],2,FALSE)</f>
        <v>#N/A</v>
      </c>
      <c r="D43" s="115"/>
      <c r="E43" s="125" t="e">
        <f>VLOOKUP(Table257519913140106110151155170178204257[[#This Row],[PEG]],Table1016[#All],3,FALSE)</f>
        <v>#N/A</v>
      </c>
    </row>
    <row r="44" spans="1:5" x14ac:dyDescent="0.35">
      <c r="A44" s="118">
        <v>37</v>
      </c>
      <c r="B44" s="114" t="s">
        <v>13</v>
      </c>
      <c r="C44" s="18" t="s">
        <v>13</v>
      </c>
      <c r="D44" s="115"/>
      <c r="E44" s="32"/>
    </row>
  </sheetData>
  <mergeCells count="1">
    <mergeCell ref="A1:B1"/>
  </mergeCells>
  <conditionalFormatting sqref="B8:B18">
    <cfRule type="containsText" dxfId="495" priority="1" operator="containsText" text="Hear">
      <formula>NOT(ISERROR(SEARCH("Hear",B8)))</formula>
    </cfRule>
  </conditionalFormatting>
  <conditionalFormatting sqref="B30">
    <cfRule type="containsText" dxfId="494" priority="4" operator="containsText" text="Hear">
      <formula>NOT(ISERROR(SEARCH("Hear",B30)))</formula>
    </cfRule>
  </conditionalFormatting>
  <conditionalFormatting sqref="B43:B44">
    <cfRule type="containsText" dxfId="493" priority="8" operator="containsText" text="Hear">
      <formula>NOT(ISERROR(SEARCH("Hear",B43)))</formula>
    </cfRule>
  </conditionalFormatting>
  <conditionalFormatting sqref="E44">
    <cfRule type="containsText" dxfId="492" priority="6" operator="containsText" text="WEB SERVICE">
      <formula>NOT(ISERROR(SEARCH("WEB SERVICE",E44)))</formula>
    </cfRule>
    <cfRule type="containsText" dxfId="491" priority="7" operator="containsText" text="DB">
      <formula>NOT(ISERROR(SEARCH("DB",E44)))</formula>
    </cfRule>
  </conditionalFormatting>
  <conditionalFormatting sqref="C44">
    <cfRule type="expression" dxfId="490" priority="9">
      <formula>$B44="Dial"</formula>
    </cfRule>
  </conditionalFormatting>
  <conditionalFormatting sqref="C44">
    <cfRule type="expression" dxfId="489" priority="3">
      <formula>$B44="Speak"</formula>
    </cfRule>
  </conditionalFormatting>
  <conditionalFormatting sqref="B19:B29 B31:B35 B42">
    <cfRule type="containsText" dxfId="488" priority="5" operator="containsText" text="Hear">
      <formula>NOT(ISERROR(SEARCH("Hear",B19)))</formula>
    </cfRule>
  </conditionalFormatting>
  <hyperlinks>
    <hyperlink ref="A1" location="'Test Case Overview'!A1" display="Return to Test Case Overview" xr:uid="{6563E22E-C8B8-4228-84B2-E8FE1EE1D11E}"/>
  </hyperlinks>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expression" priority="2" id="{E7EFE1A8-92F3-444C-96D5-605B86DC6768}">
            <xm:f>'TC1'!$B8="HANGUP"</xm:f>
            <x14:dxf>
              <font>
                <b/>
                <i val="0"/>
              </font>
            </x14:dxf>
          </x14:cfRule>
          <xm:sqref>C8</xm:sqref>
        </x14:conditionalFormatting>
        <x14:conditionalFormatting xmlns:xm="http://schemas.microsoft.com/office/excel/2006/main">
          <x14:cfRule type="expression" priority="3342" id="{E7EFE1A8-92F3-444C-96D5-605B86DC6768}">
            <xm:f>'TC1'!$B16="HANGUP"</xm:f>
            <x14:dxf>
              <font>
                <b/>
                <i val="0"/>
              </font>
            </x14:dxf>
          </x14:cfRule>
          <xm:sqref>C34:C43</xm:sqref>
        </x14:conditionalFormatting>
        <x14:conditionalFormatting xmlns:xm="http://schemas.microsoft.com/office/excel/2006/main">
          <x14:cfRule type="expression" priority="3343" id="{E7EFE1A8-92F3-444C-96D5-605B86DC6768}">
            <xm:f>'TC1'!#REF!="HANGUP"</xm:f>
            <x14:dxf>
              <font>
                <b/>
                <i val="0"/>
              </font>
            </x14:dxf>
          </x14:cfRule>
          <xm:sqref>C17:C33</xm:sqref>
        </x14:conditionalFormatting>
        <x14:conditionalFormatting xmlns:xm="http://schemas.microsoft.com/office/excel/2006/main">
          <x14:cfRule type="expression" priority="5956" id="{E7EFE1A8-92F3-444C-96D5-605B86DC6768}">
            <xm:f>'TC1'!$B9="HANGUP"</xm:f>
            <x14:dxf>
              <font>
                <b/>
                <i val="0"/>
              </font>
            </x14:dxf>
          </x14:cfRule>
          <xm:sqref>C12:C15</xm:sqref>
        </x14:conditionalFormatting>
        <x14:conditionalFormatting xmlns:xm="http://schemas.microsoft.com/office/excel/2006/main">
          <x14:cfRule type="expression" priority="5957" id="{E7EFE1A8-92F3-444C-96D5-605B86DC6768}">
            <xm:f>'TC1'!#REF!="HANGUP"</xm:f>
            <x14:dxf>
              <font>
                <b/>
                <i val="0"/>
              </font>
            </x14:dxf>
          </x14:cfRule>
          <xm:sqref>C9:C11</xm:sqref>
        </x14:conditionalFormatting>
        <x14:conditionalFormatting xmlns:xm="http://schemas.microsoft.com/office/excel/2006/main">
          <x14:cfRule type="expression" priority="8130" id="{E7EFE1A8-92F3-444C-96D5-605B86DC6768}">
            <xm:f>'TC1'!$B15="HANGUP"</xm:f>
            <x14:dxf>
              <font>
                <b/>
                <i val="0"/>
              </font>
            </x14:dxf>
          </x14:cfRule>
          <xm:sqref>C16</xm:sqref>
        </x14:conditionalFormatting>
      </x14:conditionalFormattings>
    </ext>
  </extLst>
</worksheet>
</file>

<file path=xl/worksheets/sheet1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F00-000000000000}">
  <sheetPr codeName="Sheet177"/>
  <dimension ref="A1:E44"/>
  <sheetViews>
    <sheetView zoomScaleNormal="100" workbookViewId="0">
      <selection sqref="A1:E44"/>
    </sheetView>
  </sheetViews>
  <sheetFormatPr defaultRowHeight="14.5" x14ac:dyDescent="0.35"/>
  <cols>
    <col min="1" max="1" width="14.453125" bestFit="1" customWidth="1"/>
    <col min="2" max="2" width="42.6328125" customWidth="1"/>
    <col min="3" max="3" width="106.1796875" customWidth="1"/>
    <col min="4" max="4" width="21.81640625" bestFit="1" customWidth="1"/>
    <col min="5" max="5" width="20.6328125" customWidth="1"/>
  </cols>
  <sheetData>
    <row r="1" spans="1:5" ht="18.5" x14ac:dyDescent="0.35">
      <c r="A1" s="192" t="s">
        <v>4</v>
      </c>
      <c r="B1" s="192"/>
      <c r="C1" s="105"/>
      <c r="D1" s="111"/>
      <c r="E1" s="97"/>
    </row>
    <row r="2" spans="1:5" x14ac:dyDescent="0.35">
      <c r="A2" s="106" t="s">
        <v>5</v>
      </c>
      <c r="B2" s="107" t="str">
        <f ca="1">MID(CELL("filename",A1),FIND("]",CELL("filename",A1))+1,LEN(CELL("filename",A1))-FIND("]",CELL("filename",A1)))</f>
        <v>TC175</v>
      </c>
      <c r="C2" s="98"/>
      <c r="D2" s="111"/>
      <c r="E2" s="97"/>
    </row>
    <row r="3" spans="1:5" x14ac:dyDescent="0.35">
      <c r="A3" s="104" t="s">
        <v>19</v>
      </c>
      <c r="B3" s="112" t="e">
        <f ca="1">VLOOKUP(B2,Table53[#All],2,FALSE)</f>
        <v>#N/A</v>
      </c>
      <c r="C3" s="98"/>
      <c r="D3" s="111"/>
      <c r="E3" s="97"/>
    </row>
    <row r="4" spans="1:5" ht="29" x14ac:dyDescent="0.35">
      <c r="A4" s="113" t="s">
        <v>20</v>
      </c>
      <c r="B4" s="99" t="e">
        <f ca="1">VLOOKUP(B2,Table53[#All],4,FALSE)</f>
        <v>#N/A</v>
      </c>
      <c r="C4" s="98"/>
      <c r="D4" s="111"/>
      <c r="E4" s="97"/>
    </row>
    <row r="5" spans="1:5" x14ac:dyDescent="0.35">
      <c r="A5" s="104" t="s">
        <v>6</v>
      </c>
      <c r="B5" s="77" t="e">
        <f ca="1">VLOOKUP(B2,Table53[#All],3,FALSE)</f>
        <v>#N/A</v>
      </c>
      <c r="C5" s="98"/>
      <c r="D5" s="111"/>
      <c r="E5" s="97"/>
    </row>
    <row r="6" spans="1:5" x14ac:dyDescent="0.35">
      <c r="A6" s="97"/>
      <c r="B6" s="97"/>
      <c r="C6" s="98"/>
      <c r="D6" s="111"/>
      <c r="E6" s="97"/>
    </row>
    <row r="7" spans="1:5" ht="15.5" x14ac:dyDescent="0.35">
      <c r="A7" s="100" t="s">
        <v>7</v>
      </c>
      <c r="B7" s="101" t="s">
        <v>8</v>
      </c>
      <c r="C7" s="102" t="s">
        <v>9</v>
      </c>
      <c r="D7" s="102" t="s">
        <v>14</v>
      </c>
      <c r="E7" s="103" t="s">
        <v>10</v>
      </c>
    </row>
    <row r="8" spans="1:5" x14ac:dyDescent="0.35">
      <c r="A8" s="118">
        <v>1</v>
      </c>
      <c r="B8" s="114" t="s">
        <v>114</v>
      </c>
      <c r="C8" s="109" t="s">
        <v>125</v>
      </c>
      <c r="D8" s="128"/>
      <c r="E8" s="125" t="s">
        <v>11</v>
      </c>
    </row>
    <row r="9" spans="1:5" x14ac:dyDescent="0.35">
      <c r="A9" s="118">
        <v>2</v>
      </c>
      <c r="B9" s="114" t="s">
        <v>12</v>
      </c>
      <c r="C9" s="109" t="e">
        <f>VLOOKUP(Table257519913140106110151155170178204259[[#This Row],[PEG]],Table1016[#All],2,FALSE)</f>
        <v>#N/A</v>
      </c>
      <c r="D9" s="128"/>
      <c r="E9" s="125" t="e">
        <f>VLOOKUP(Table257519913140106110151155170178204259[[#This Row],[PEG]],Table1016[#All],3,FALSE)</f>
        <v>#N/A</v>
      </c>
    </row>
    <row r="10" spans="1:5" x14ac:dyDescent="0.35">
      <c r="A10" s="118">
        <v>3</v>
      </c>
      <c r="B10" s="114" t="s">
        <v>115</v>
      </c>
      <c r="C10" s="109" t="e">
        <f>VLOOKUP(Table257519913140106110151155170178204259[[#This Row],[PEG]],Table1016[#All],2,FALSE)</f>
        <v>#N/A</v>
      </c>
      <c r="D10" s="128"/>
      <c r="E10" s="125" t="e">
        <f>VLOOKUP(Table257519913140106110151155170178204259[[#This Row],[PEG]],Table1016[#All],3,FALSE)</f>
        <v>#N/A</v>
      </c>
    </row>
    <row r="11" spans="1:5" x14ac:dyDescent="0.35">
      <c r="A11" s="118">
        <v>4</v>
      </c>
      <c r="B11" s="114" t="s">
        <v>115</v>
      </c>
      <c r="C11" s="109" t="e">
        <f>VLOOKUP(Table257519913140106110151155170178204259[[#This Row],[PEG]],Table1016[#All],2,FALSE)</f>
        <v>#N/A</v>
      </c>
      <c r="D11" s="128"/>
      <c r="E11" s="125" t="e">
        <f>VLOOKUP(Table257519913140106110151155170178204259[[#This Row],[PEG]],Table1016[#All],3,FALSE)</f>
        <v>#N/A</v>
      </c>
    </row>
    <row r="12" spans="1:5" x14ac:dyDescent="0.35">
      <c r="A12" s="118">
        <v>5</v>
      </c>
      <c r="B12" s="114" t="s">
        <v>114</v>
      </c>
      <c r="C12" s="109" t="e">
        <f>VLOOKUP(Table257519913140106110151155170178204259[[#This Row],[PEG]],Table1016[#All],2,FALSE)</f>
        <v>#N/A</v>
      </c>
      <c r="D12" s="128"/>
      <c r="E12" s="125" t="e">
        <f>VLOOKUP(Table257519913140106110151155170178204259[[#This Row],[PEG]],Table1016[#All],3,FALSE)</f>
        <v>#N/A</v>
      </c>
    </row>
    <row r="13" spans="1:5" x14ac:dyDescent="0.35">
      <c r="A13" s="118">
        <v>6</v>
      </c>
      <c r="B13" s="114" t="s">
        <v>115</v>
      </c>
      <c r="C13" s="109" t="e">
        <f>VLOOKUP(Table257519913140106110151155170178204259[[#This Row],[PEG]],Table1016[#All],2,FALSE)</f>
        <v>#N/A</v>
      </c>
      <c r="D13" s="128"/>
      <c r="E13" s="125" t="e">
        <f>VLOOKUP(Table257519913140106110151155170178204259[[#This Row],[PEG]],Table1016[#All],3,FALSE)</f>
        <v>#N/A</v>
      </c>
    </row>
    <row r="14" spans="1:5" x14ac:dyDescent="0.35">
      <c r="A14" s="118">
        <v>7</v>
      </c>
      <c r="B14" s="114" t="s">
        <v>114</v>
      </c>
      <c r="C14" s="109" t="e">
        <f>VLOOKUP(Table257519913140106110151155170178204259[[#This Row],[PEG]],Table1016[#All],2,FALSE)</f>
        <v>#N/A</v>
      </c>
      <c r="D14" s="128"/>
      <c r="E14" s="125" t="e">
        <f>VLOOKUP(Table257519913140106110151155170178204259[[#This Row],[PEG]],Table1016[#All],3,FALSE)</f>
        <v>#N/A</v>
      </c>
    </row>
    <row r="15" spans="1:5" x14ac:dyDescent="0.35">
      <c r="A15" s="118">
        <v>8</v>
      </c>
      <c r="B15" s="114" t="s">
        <v>115</v>
      </c>
      <c r="C15" s="109" t="e">
        <f>VLOOKUP(Table257519913140106110151155170178204259[[#This Row],[PEG]],Table1016[#All],2,FALSE)</f>
        <v>#N/A</v>
      </c>
      <c r="D15" s="116"/>
      <c r="E15" s="125" t="e">
        <f>VLOOKUP(Table257519913140106110151155170178204259[[#This Row],[PEG]],Table1016[#All],3,FALSE)</f>
        <v>#N/A</v>
      </c>
    </row>
    <row r="16" spans="1:5" x14ac:dyDescent="0.35">
      <c r="A16" s="118">
        <v>9</v>
      </c>
      <c r="B16" s="114" t="s">
        <v>12</v>
      </c>
      <c r="C16" s="109" t="e">
        <f>VLOOKUP(Table257519913140106110151155170178204259[[#This Row],[PEG]],Table1016[#All],2,FALSE)</f>
        <v>#N/A</v>
      </c>
      <c r="D16" s="116"/>
      <c r="E16" s="125" t="e">
        <f>VLOOKUP(Table257519913140106110151155170178204259[[#This Row],[PEG]],Table1016[#All],3,FALSE)</f>
        <v>#N/A</v>
      </c>
    </row>
    <row r="17" spans="1:5" x14ac:dyDescent="0.35">
      <c r="A17" s="118">
        <v>10</v>
      </c>
      <c r="B17" s="114" t="s">
        <v>12</v>
      </c>
      <c r="C17" s="109" t="e">
        <f>VLOOKUP(Table257519913140106110151155170178204259[[#This Row],[PEG]],Table1016[#All],2,FALSE)</f>
        <v>#N/A</v>
      </c>
      <c r="D17" s="117"/>
      <c r="E17" s="125" t="e">
        <f>VLOOKUP(Table257519913140106110151155170178204259[[#This Row],[PEG]],Table1016[#All],3,FALSE)</f>
        <v>#N/A</v>
      </c>
    </row>
    <row r="18" spans="1:5" x14ac:dyDescent="0.35">
      <c r="A18" s="118">
        <v>11</v>
      </c>
      <c r="B18" s="114" t="s">
        <v>115</v>
      </c>
      <c r="C18" s="109" t="e">
        <f>VLOOKUP(Table257519913140106110151155170178204259[[#This Row],[PEG]],Table1016[#All],2,FALSE)</f>
        <v>#N/A</v>
      </c>
      <c r="D18" s="117"/>
      <c r="E18" s="125" t="e">
        <f>VLOOKUP(Table257519913140106110151155170178204259[[#This Row],[PEG]],Table1016[#All],3,FALSE)</f>
        <v>#N/A</v>
      </c>
    </row>
    <row r="19" spans="1:5" x14ac:dyDescent="0.35">
      <c r="A19" s="118">
        <v>12</v>
      </c>
      <c r="B19" s="114" t="s">
        <v>115</v>
      </c>
      <c r="C19" s="109" t="e">
        <f>VLOOKUP(Table257519913140106110151155170178204259[[#This Row],[PEG]],Table1016[#All],2,FALSE)</f>
        <v>#N/A</v>
      </c>
      <c r="D19" s="117"/>
      <c r="E19" s="125" t="e">
        <f>VLOOKUP(Table257519913140106110151155170178204259[[#This Row],[PEG]],Table1016[#All],3,FALSE)</f>
        <v>#N/A</v>
      </c>
    </row>
    <row r="20" spans="1:5" x14ac:dyDescent="0.35">
      <c r="A20" s="118">
        <v>13</v>
      </c>
      <c r="B20" s="114" t="s">
        <v>114</v>
      </c>
      <c r="C20" s="109" t="e">
        <f>VLOOKUP(Table257519913140106110151155170178204259[[#This Row],[PEG]],Table1016[#All],2,FALSE)</f>
        <v>#N/A</v>
      </c>
      <c r="D20" s="117"/>
      <c r="E20" s="125" t="e">
        <f>VLOOKUP(Table257519913140106110151155170178204259[[#This Row],[PEG]],Table1016[#All],3,FALSE)</f>
        <v>#N/A</v>
      </c>
    </row>
    <row r="21" spans="1:5" x14ac:dyDescent="0.35">
      <c r="A21" s="118">
        <v>14</v>
      </c>
      <c r="B21" s="114" t="s">
        <v>12</v>
      </c>
      <c r="C21" s="109" t="e">
        <f>VLOOKUP(Table257519913140106110151155170178204259[[#This Row],[PEG]],Table1016[#All],2,FALSE)</f>
        <v>#N/A</v>
      </c>
      <c r="D21" s="117"/>
      <c r="E21" s="125" t="e">
        <f>VLOOKUP(Table257519913140106110151155170178204259[[#This Row],[PEG]],Table1016[#All],3,FALSE)</f>
        <v>#N/A</v>
      </c>
    </row>
    <row r="22" spans="1:5" x14ac:dyDescent="0.35">
      <c r="A22" s="118">
        <v>15</v>
      </c>
      <c r="B22" s="114" t="s">
        <v>12</v>
      </c>
      <c r="C22" s="109" t="e">
        <f>VLOOKUP(Table257519913140106110151155170178204259[[#This Row],[PEG]],Table1016[#All],2,FALSE)</f>
        <v>#N/A</v>
      </c>
      <c r="D22" s="117"/>
      <c r="E22" s="125" t="e">
        <f>VLOOKUP(Table257519913140106110151155170178204259[[#This Row],[PEG]],Table1016[#All],3,FALSE)</f>
        <v>#N/A</v>
      </c>
    </row>
    <row r="23" spans="1:5" x14ac:dyDescent="0.35">
      <c r="A23" s="118">
        <v>16</v>
      </c>
      <c r="B23" s="114" t="s">
        <v>115</v>
      </c>
      <c r="C23" s="109" t="e">
        <f>VLOOKUP(Table257519913140106110151155170178204259[[#This Row],[PEG]],Table1016[#All],2,FALSE)</f>
        <v>#N/A</v>
      </c>
      <c r="D23" s="117"/>
      <c r="E23" s="125" t="e">
        <f>VLOOKUP(Table257519913140106110151155170178204259[[#This Row],[PEG]],Table1016[#All],3,FALSE)</f>
        <v>#N/A</v>
      </c>
    </row>
    <row r="24" spans="1:5" x14ac:dyDescent="0.35">
      <c r="A24" s="118">
        <v>17</v>
      </c>
      <c r="B24" s="114" t="s">
        <v>114</v>
      </c>
      <c r="C24" s="109" t="e">
        <f>VLOOKUP(Table257519913140106110151155170178204259[[#This Row],[PEG]],Table1016[#All],2,FALSE)</f>
        <v>#N/A</v>
      </c>
      <c r="D24" s="117"/>
      <c r="E24" s="125" t="e">
        <f>VLOOKUP(Table257519913140106110151155170178204259[[#This Row],[PEG]],Table1016[#All],3,FALSE)</f>
        <v>#N/A</v>
      </c>
    </row>
    <row r="25" spans="1:5" x14ac:dyDescent="0.35">
      <c r="A25" s="118">
        <v>18</v>
      </c>
      <c r="B25" s="114" t="s">
        <v>12</v>
      </c>
      <c r="C25" s="109" t="e">
        <f>VLOOKUP(Table257519913140106110151155170178204259[[#This Row],[PEG]],Table1016[#All],2,FALSE)</f>
        <v>#N/A</v>
      </c>
      <c r="D25" s="117"/>
      <c r="E25" s="125" t="e">
        <f>VLOOKUP(Table257519913140106110151155170178204259[[#This Row],[PEG]],Table1016[#All],3,FALSE)</f>
        <v>#N/A</v>
      </c>
    </row>
    <row r="26" spans="1:5" x14ac:dyDescent="0.35">
      <c r="A26" s="118">
        <v>19</v>
      </c>
      <c r="B26" s="114" t="s">
        <v>12</v>
      </c>
      <c r="C26" s="109" t="e">
        <f>VLOOKUP(Table257519913140106110151155170178204259[[#This Row],[PEG]],Table1016[#All],2,FALSE)</f>
        <v>#N/A</v>
      </c>
      <c r="D26" s="117"/>
      <c r="E26" s="125" t="e">
        <f>VLOOKUP(Table257519913140106110151155170178204259[[#This Row],[PEG]],Table1016[#All],3,FALSE)</f>
        <v>#N/A</v>
      </c>
    </row>
    <row r="27" spans="1:5" x14ac:dyDescent="0.35">
      <c r="A27" s="118">
        <v>20</v>
      </c>
      <c r="B27" s="114" t="s">
        <v>115</v>
      </c>
      <c r="C27" s="109" t="e">
        <f>VLOOKUP(Table257519913140106110151155170178204259[[#This Row],[PEG]],Table1016[#All],2,FALSE)</f>
        <v>#N/A</v>
      </c>
      <c r="D27" s="117"/>
      <c r="E27" s="125" t="e">
        <f>VLOOKUP(Table257519913140106110151155170178204259[[#This Row],[PEG]],Table1016[#All],3,FALSE)</f>
        <v>#N/A</v>
      </c>
    </row>
    <row r="28" spans="1:5" x14ac:dyDescent="0.35">
      <c r="A28" s="118">
        <v>21</v>
      </c>
      <c r="B28" s="114" t="s">
        <v>114</v>
      </c>
      <c r="C28" s="109" t="e">
        <f>VLOOKUP(Table257519913140106110151155170178204259[[#This Row],[PEG]],Table1016[#All],2,FALSE)</f>
        <v>#N/A</v>
      </c>
      <c r="D28" s="117"/>
      <c r="E28" s="125" t="e">
        <f>VLOOKUP(Table257519913140106110151155170178204259[[#This Row],[PEG]],Table1016[#All],3,FALSE)</f>
        <v>#N/A</v>
      </c>
    </row>
    <row r="29" spans="1:5" x14ac:dyDescent="0.35">
      <c r="A29" s="118">
        <v>22</v>
      </c>
      <c r="B29" s="114" t="s">
        <v>12</v>
      </c>
      <c r="C29" s="109" t="e">
        <f>VLOOKUP(Table257519913140106110151155170178204259[[#This Row],[PEG]],Table1016[#All],2,FALSE)</f>
        <v>#N/A</v>
      </c>
      <c r="D29" s="117"/>
      <c r="E29" s="125" t="e">
        <f>VLOOKUP(Table257519913140106110151155170178204259[[#This Row],[PEG]],Table1016[#All],3,FALSE)</f>
        <v>#N/A</v>
      </c>
    </row>
    <row r="30" spans="1:5" x14ac:dyDescent="0.35">
      <c r="A30" s="118">
        <v>23</v>
      </c>
      <c r="B30" s="114" t="s">
        <v>12</v>
      </c>
      <c r="C30" s="109" t="e">
        <f>VLOOKUP(Table257519913140106110151155170178204259[[#This Row],[PEG]],Table1016[#All],2,FALSE)</f>
        <v>#N/A</v>
      </c>
      <c r="D30" s="117"/>
      <c r="E30" s="125" t="e">
        <f>VLOOKUP(Table257519913140106110151155170178204259[[#This Row],[PEG]],Table1016[#All],3,FALSE)</f>
        <v>#N/A</v>
      </c>
    </row>
    <row r="31" spans="1:5" x14ac:dyDescent="0.35">
      <c r="A31" s="118">
        <v>24</v>
      </c>
      <c r="B31" s="114" t="s">
        <v>115</v>
      </c>
      <c r="C31" s="109" t="e">
        <f>VLOOKUP(Table257519913140106110151155170178204259[[#This Row],[PEG]],Table1016[#All],2,FALSE)</f>
        <v>#N/A</v>
      </c>
      <c r="D31" s="117"/>
      <c r="E31" s="125" t="e">
        <f>VLOOKUP(Table257519913140106110151155170178204259[[#This Row],[PEG]],Table1016[#All],3,FALSE)</f>
        <v>#N/A</v>
      </c>
    </row>
    <row r="32" spans="1:5" x14ac:dyDescent="0.35">
      <c r="A32" s="118">
        <v>25</v>
      </c>
      <c r="B32" s="114" t="s">
        <v>115</v>
      </c>
      <c r="C32" s="109" t="e">
        <f>VLOOKUP(Table257519913140106110151155170178204259[[#This Row],[PEG]],Table1016[#All],2,FALSE)</f>
        <v>#N/A</v>
      </c>
      <c r="D32" s="117"/>
      <c r="E32" s="125" t="e">
        <f>VLOOKUP(Table257519913140106110151155170178204259[[#This Row],[PEG]],Table1016[#All],3,FALSE)</f>
        <v>#N/A</v>
      </c>
    </row>
    <row r="33" spans="1:5" x14ac:dyDescent="0.35">
      <c r="A33" s="118">
        <v>26</v>
      </c>
      <c r="B33" s="114" t="s">
        <v>124</v>
      </c>
      <c r="C33" s="109" t="e">
        <f>VLOOKUP(Table257519913140106110151155170178204259[[#This Row],[PEG]],Table1016[#All],2,FALSE)</f>
        <v>#N/A</v>
      </c>
      <c r="D33" s="117"/>
      <c r="E33" s="125" t="e">
        <f>VLOOKUP(Table257519913140106110151155170178204259[[#This Row],[PEG]],Table1016[#All],3,FALSE)</f>
        <v>#N/A</v>
      </c>
    </row>
    <row r="34" spans="1:5" x14ac:dyDescent="0.35">
      <c r="A34" s="118">
        <v>27</v>
      </c>
      <c r="B34" s="114" t="s">
        <v>115</v>
      </c>
      <c r="C34" s="109" t="e">
        <f>VLOOKUP(Table257519913140106110151155170178204259[[#This Row],[PEG]],Table1016[#All],2,FALSE)</f>
        <v>#N/A</v>
      </c>
      <c r="D34" s="117"/>
      <c r="E34" s="125" t="e">
        <f>VLOOKUP(Table257519913140106110151155170178204259[[#This Row],[PEG]],Table1016[#All],3,FALSE)</f>
        <v>#N/A</v>
      </c>
    </row>
    <row r="35" spans="1:5" x14ac:dyDescent="0.35">
      <c r="A35" s="118">
        <v>28</v>
      </c>
      <c r="B35" s="114" t="s">
        <v>124</v>
      </c>
      <c r="C35" s="109" t="e">
        <f>VLOOKUP(Table257519913140106110151155170178204259[[#This Row],[PEG]],Table1016[#All],2,FALSE)</f>
        <v>#N/A</v>
      </c>
      <c r="D35" s="117"/>
      <c r="E35" s="125" t="e">
        <f>VLOOKUP(Table257519913140106110151155170178204259[[#This Row],[PEG]],Table1016[#All],3,FALSE)</f>
        <v>#N/A</v>
      </c>
    </row>
    <row r="36" spans="1:5" x14ac:dyDescent="0.35">
      <c r="A36" s="118">
        <v>29</v>
      </c>
      <c r="B36" s="114" t="s">
        <v>115</v>
      </c>
      <c r="C36" s="109" t="e">
        <f>VLOOKUP(Table257519913140106110151155170178204259[[#This Row],[PEG]],Table1016[#All],2,FALSE)</f>
        <v>#N/A</v>
      </c>
      <c r="D36" s="117"/>
      <c r="E36" s="125" t="e">
        <f>VLOOKUP(Table257519913140106110151155170178204259[[#This Row],[PEG]],Table1016[#All],3,FALSE)</f>
        <v>#N/A</v>
      </c>
    </row>
    <row r="37" spans="1:5" x14ac:dyDescent="0.35">
      <c r="A37" s="118">
        <v>30</v>
      </c>
      <c r="B37" s="114" t="s">
        <v>12</v>
      </c>
      <c r="C37" s="109" t="e">
        <f>VLOOKUP(Table257519913140106110151155170178204259[[#This Row],[PEG]],Table1016[#All],2,FALSE)</f>
        <v>#N/A</v>
      </c>
      <c r="D37" s="117"/>
      <c r="E37" s="125" t="e">
        <f>VLOOKUP(Table257519913140106110151155170178204259[[#This Row],[PEG]],Table1016[#All],3,FALSE)</f>
        <v>#N/A</v>
      </c>
    </row>
    <row r="38" spans="1:5" x14ac:dyDescent="0.35">
      <c r="A38" s="118">
        <v>31</v>
      </c>
      <c r="B38" s="114" t="s">
        <v>12</v>
      </c>
      <c r="C38" s="109" t="e">
        <f>VLOOKUP(Table257519913140106110151155170178204259[[#This Row],[PEG]],Table1016[#All],2,FALSE)</f>
        <v>#N/A</v>
      </c>
      <c r="D38" s="117"/>
      <c r="E38" s="125" t="e">
        <f>VLOOKUP(Table257519913140106110151155170178204259[[#This Row],[PEG]],Table1016[#All],3,FALSE)</f>
        <v>#N/A</v>
      </c>
    </row>
    <row r="39" spans="1:5" x14ac:dyDescent="0.35">
      <c r="A39" s="118">
        <v>32</v>
      </c>
      <c r="B39" s="114" t="s">
        <v>12</v>
      </c>
      <c r="C39" s="109" t="e">
        <f>VLOOKUP(Table257519913140106110151155170178204259[[#This Row],[PEG]],Table1016[#All],2,FALSE)</f>
        <v>#N/A</v>
      </c>
      <c r="D39" s="117"/>
      <c r="E39" s="125" t="e">
        <f>VLOOKUP(Table257519913140106110151155170178204259[[#This Row],[PEG]],Table1016[#All],3,FALSE)</f>
        <v>#N/A</v>
      </c>
    </row>
    <row r="40" spans="1:5" x14ac:dyDescent="0.35">
      <c r="A40" s="118">
        <v>33</v>
      </c>
      <c r="B40" s="114" t="s">
        <v>12</v>
      </c>
      <c r="C40" s="109" t="e">
        <f>VLOOKUP(Table257519913140106110151155170178204259[[#This Row],[PEG]],Table1016[#All],2,FALSE)</f>
        <v>#N/A</v>
      </c>
      <c r="D40" s="117"/>
      <c r="E40" s="125" t="e">
        <f>VLOOKUP(Table257519913140106110151155170178204259[[#This Row],[PEG]],Table1016[#All],3,FALSE)</f>
        <v>#N/A</v>
      </c>
    </row>
    <row r="41" spans="1:5" x14ac:dyDescent="0.35">
      <c r="A41" s="118">
        <v>34</v>
      </c>
      <c r="B41" s="114" t="s">
        <v>115</v>
      </c>
      <c r="C41" s="109" t="e">
        <f>VLOOKUP(Table257519913140106110151155170178204259[[#This Row],[PEG]],Table1016[#All],2,FALSE)</f>
        <v>#N/A</v>
      </c>
      <c r="D41" s="117"/>
      <c r="E41" s="125" t="e">
        <f>VLOOKUP(Table257519913140106110151155170178204259[[#This Row],[PEG]],Table1016[#All],3,FALSE)</f>
        <v>#N/A</v>
      </c>
    </row>
    <row r="42" spans="1:5" x14ac:dyDescent="0.35">
      <c r="A42" s="118">
        <v>35</v>
      </c>
      <c r="B42" s="114" t="s">
        <v>12</v>
      </c>
      <c r="C42" s="109" t="e">
        <f>VLOOKUP(Table257519913140106110151155170178204259[[#This Row],[PEG]],Table1016[#All],2,FALSE)</f>
        <v>#N/A</v>
      </c>
      <c r="D42" s="115"/>
      <c r="E42" s="125" t="e">
        <f>VLOOKUP(Table257519913140106110151155170178204259[[#This Row],[PEG]],Table1016[#All],3,FALSE)</f>
        <v>#N/A</v>
      </c>
    </row>
    <row r="43" spans="1:5" x14ac:dyDescent="0.35">
      <c r="A43" s="118">
        <v>36</v>
      </c>
      <c r="B43" s="114" t="s">
        <v>115</v>
      </c>
      <c r="C43" s="109" t="e">
        <f>VLOOKUP(Table257519913140106110151155170178204259[[#This Row],[PEG]],Table1016[#All],2,FALSE)</f>
        <v>#N/A</v>
      </c>
      <c r="D43" s="115"/>
      <c r="E43" s="125" t="e">
        <f>VLOOKUP(Table257519913140106110151155170178204259[[#This Row],[PEG]],Table1016[#All],3,FALSE)</f>
        <v>#N/A</v>
      </c>
    </row>
    <row r="44" spans="1:5" x14ac:dyDescent="0.35">
      <c r="A44" s="118">
        <v>37</v>
      </c>
      <c r="B44" s="114" t="s">
        <v>13</v>
      </c>
      <c r="C44" s="18" t="s">
        <v>13</v>
      </c>
      <c r="D44" s="115"/>
      <c r="E44" s="32"/>
    </row>
  </sheetData>
  <mergeCells count="1">
    <mergeCell ref="A1:B1"/>
  </mergeCells>
  <conditionalFormatting sqref="B8:B18">
    <cfRule type="containsText" dxfId="481" priority="1" operator="containsText" text="Hear">
      <formula>NOT(ISERROR(SEARCH("Hear",B8)))</formula>
    </cfRule>
  </conditionalFormatting>
  <conditionalFormatting sqref="B30">
    <cfRule type="containsText" dxfId="480" priority="4" operator="containsText" text="Hear">
      <formula>NOT(ISERROR(SEARCH("Hear",B30)))</formula>
    </cfRule>
  </conditionalFormatting>
  <conditionalFormatting sqref="B43:B44">
    <cfRule type="containsText" dxfId="479" priority="8" operator="containsText" text="Hear">
      <formula>NOT(ISERROR(SEARCH("Hear",B43)))</formula>
    </cfRule>
  </conditionalFormatting>
  <conditionalFormatting sqref="E44">
    <cfRule type="containsText" dxfId="478" priority="6" operator="containsText" text="WEB SERVICE">
      <formula>NOT(ISERROR(SEARCH("WEB SERVICE",E44)))</formula>
    </cfRule>
    <cfRule type="containsText" dxfId="477" priority="7" operator="containsText" text="DB">
      <formula>NOT(ISERROR(SEARCH("DB",E44)))</formula>
    </cfRule>
  </conditionalFormatting>
  <conditionalFormatting sqref="C44">
    <cfRule type="expression" dxfId="476" priority="9">
      <formula>$B44="Dial"</formula>
    </cfRule>
  </conditionalFormatting>
  <conditionalFormatting sqref="C44">
    <cfRule type="expression" dxfId="475" priority="3">
      <formula>$B44="Speak"</formula>
    </cfRule>
  </conditionalFormatting>
  <conditionalFormatting sqref="B19:B29 B31:B35 B42">
    <cfRule type="containsText" dxfId="474" priority="5" operator="containsText" text="Hear">
      <formula>NOT(ISERROR(SEARCH("Hear",B19)))</formula>
    </cfRule>
  </conditionalFormatting>
  <hyperlinks>
    <hyperlink ref="A1" location="'Test Case Overview'!A1" display="Return to Test Case Overview" xr:uid="{809CAF39-450C-40BF-AA84-A103A8DFA19C}"/>
  </hyperlinks>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expression" priority="2" id="{E15B3611-82CD-4DD5-9A9F-8C552D413D52}">
            <xm:f>'TC1'!$B8="HANGUP"</xm:f>
            <x14:dxf>
              <font>
                <b/>
                <i val="0"/>
              </font>
            </x14:dxf>
          </x14:cfRule>
          <xm:sqref>C8</xm:sqref>
        </x14:conditionalFormatting>
        <x14:conditionalFormatting xmlns:xm="http://schemas.microsoft.com/office/excel/2006/main">
          <x14:cfRule type="expression" priority="3346" id="{E15B3611-82CD-4DD5-9A9F-8C552D413D52}">
            <xm:f>'TC1'!$B16="HANGUP"</xm:f>
            <x14:dxf>
              <font>
                <b/>
                <i val="0"/>
              </font>
            </x14:dxf>
          </x14:cfRule>
          <xm:sqref>C34:C43</xm:sqref>
        </x14:conditionalFormatting>
        <x14:conditionalFormatting xmlns:xm="http://schemas.microsoft.com/office/excel/2006/main">
          <x14:cfRule type="expression" priority="3347" id="{E15B3611-82CD-4DD5-9A9F-8C552D413D52}">
            <xm:f>'TC1'!#REF!="HANGUP"</xm:f>
            <x14:dxf>
              <font>
                <b/>
                <i val="0"/>
              </font>
            </x14:dxf>
          </x14:cfRule>
          <xm:sqref>C17:C33</xm:sqref>
        </x14:conditionalFormatting>
        <x14:conditionalFormatting xmlns:xm="http://schemas.microsoft.com/office/excel/2006/main">
          <x14:cfRule type="expression" priority="5960" id="{E15B3611-82CD-4DD5-9A9F-8C552D413D52}">
            <xm:f>'TC1'!$B9="HANGUP"</xm:f>
            <x14:dxf>
              <font>
                <b/>
                <i val="0"/>
              </font>
            </x14:dxf>
          </x14:cfRule>
          <xm:sqref>C12:C15</xm:sqref>
        </x14:conditionalFormatting>
        <x14:conditionalFormatting xmlns:xm="http://schemas.microsoft.com/office/excel/2006/main">
          <x14:cfRule type="expression" priority="5961" id="{E15B3611-82CD-4DD5-9A9F-8C552D413D52}">
            <xm:f>'TC1'!#REF!="HANGUP"</xm:f>
            <x14:dxf>
              <font>
                <b/>
                <i val="0"/>
              </font>
            </x14:dxf>
          </x14:cfRule>
          <xm:sqref>C9:C11</xm:sqref>
        </x14:conditionalFormatting>
        <x14:conditionalFormatting xmlns:xm="http://schemas.microsoft.com/office/excel/2006/main">
          <x14:cfRule type="expression" priority="8133" id="{E15B3611-82CD-4DD5-9A9F-8C552D413D52}">
            <xm:f>'TC1'!$B15="HANGUP"</xm:f>
            <x14:dxf>
              <font>
                <b/>
                <i val="0"/>
              </font>
            </x14:dxf>
          </x14:cfRule>
          <xm:sqref>C16</xm:sqref>
        </x14:conditionalFormatting>
      </x14:conditionalFormattings>
    </ext>
  </extLst>
</worksheet>
</file>

<file path=xl/worksheets/sheet1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B000-000000000000}">
  <sheetPr codeName="Sheet178"/>
  <dimension ref="A1:E44"/>
  <sheetViews>
    <sheetView zoomScaleNormal="100" workbookViewId="0">
      <selection sqref="A1:E44"/>
    </sheetView>
  </sheetViews>
  <sheetFormatPr defaultRowHeight="14.5" x14ac:dyDescent="0.35"/>
  <cols>
    <col min="1" max="1" width="14.453125" bestFit="1" customWidth="1"/>
    <col min="2" max="2" width="42.6328125" customWidth="1"/>
    <col min="3" max="3" width="106.1796875" customWidth="1"/>
    <col min="4" max="4" width="21.81640625" bestFit="1" customWidth="1"/>
    <col min="5" max="5" width="20.6328125" customWidth="1"/>
  </cols>
  <sheetData>
    <row r="1" spans="1:5" ht="18.5" x14ac:dyDescent="0.35">
      <c r="A1" s="192" t="s">
        <v>4</v>
      </c>
      <c r="B1" s="192"/>
      <c r="C1" s="105"/>
      <c r="D1" s="111"/>
      <c r="E1" s="97"/>
    </row>
    <row r="2" spans="1:5" x14ac:dyDescent="0.35">
      <c r="A2" s="106" t="s">
        <v>5</v>
      </c>
      <c r="B2" s="107" t="str">
        <f ca="1">MID(CELL("filename",A1),FIND("]",CELL("filename",A1))+1,LEN(CELL("filename",A1))-FIND("]",CELL("filename",A1)))</f>
        <v>TC176</v>
      </c>
      <c r="C2" s="98"/>
      <c r="D2" s="111"/>
      <c r="E2" s="97"/>
    </row>
    <row r="3" spans="1:5" x14ac:dyDescent="0.35">
      <c r="A3" s="104" t="s">
        <v>19</v>
      </c>
      <c r="B3" s="112" t="e">
        <f ca="1">VLOOKUP(B2,Table53[#All],2,FALSE)</f>
        <v>#N/A</v>
      </c>
      <c r="C3" s="98"/>
      <c r="D3" s="111"/>
      <c r="E3" s="97"/>
    </row>
    <row r="4" spans="1:5" ht="29" x14ac:dyDescent="0.35">
      <c r="A4" s="113" t="s">
        <v>20</v>
      </c>
      <c r="B4" s="99" t="e">
        <f ca="1">VLOOKUP(B2,Table53[#All],4,FALSE)</f>
        <v>#N/A</v>
      </c>
      <c r="C4" s="98"/>
      <c r="D4" s="111"/>
      <c r="E4" s="97"/>
    </row>
    <row r="5" spans="1:5" x14ac:dyDescent="0.35">
      <c r="A5" s="104" t="s">
        <v>6</v>
      </c>
      <c r="B5" s="77" t="e">
        <f ca="1">VLOOKUP(B2,Table53[#All],3,FALSE)</f>
        <v>#N/A</v>
      </c>
      <c r="C5" s="98"/>
      <c r="D5" s="111"/>
      <c r="E5" s="97"/>
    </row>
    <row r="6" spans="1:5" x14ac:dyDescent="0.35">
      <c r="A6" s="97"/>
      <c r="B6" s="97"/>
      <c r="C6" s="98"/>
      <c r="D6" s="111"/>
      <c r="E6" s="97"/>
    </row>
    <row r="7" spans="1:5" ht="15.5" x14ac:dyDescent="0.35">
      <c r="A7" s="100" t="s">
        <v>7</v>
      </c>
      <c r="B7" s="101" t="s">
        <v>8</v>
      </c>
      <c r="C7" s="102" t="s">
        <v>9</v>
      </c>
      <c r="D7" s="102" t="s">
        <v>14</v>
      </c>
      <c r="E7" s="103" t="s">
        <v>10</v>
      </c>
    </row>
    <row r="8" spans="1:5" x14ac:dyDescent="0.35">
      <c r="A8" s="118">
        <v>1</v>
      </c>
      <c r="B8" s="114" t="s">
        <v>114</v>
      </c>
      <c r="C8" s="109" t="s">
        <v>125</v>
      </c>
      <c r="D8" s="128"/>
      <c r="E8" s="125" t="s">
        <v>11</v>
      </c>
    </row>
    <row r="9" spans="1:5" x14ac:dyDescent="0.35">
      <c r="A9" s="118">
        <v>2</v>
      </c>
      <c r="B9" s="114" t="s">
        <v>12</v>
      </c>
      <c r="C9" s="109" t="e">
        <f>VLOOKUP(Table257519913140106110151155170178204261[[#This Row],[PEG]],Table1016[#All],2,FALSE)</f>
        <v>#N/A</v>
      </c>
      <c r="D9" s="128"/>
      <c r="E9" s="125" t="e">
        <f>VLOOKUP(Table257519913140106110151155170178204261[[#This Row],[PEG]],Table1016[#All],3,FALSE)</f>
        <v>#N/A</v>
      </c>
    </row>
    <row r="10" spans="1:5" x14ac:dyDescent="0.35">
      <c r="A10" s="118">
        <v>3</v>
      </c>
      <c r="B10" s="114" t="s">
        <v>115</v>
      </c>
      <c r="C10" s="109" t="e">
        <f>VLOOKUP(Table257519913140106110151155170178204261[[#This Row],[PEG]],Table1016[#All],2,FALSE)</f>
        <v>#N/A</v>
      </c>
      <c r="D10" s="128"/>
      <c r="E10" s="125" t="e">
        <f>VLOOKUP(Table257519913140106110151155170178204261[[#This Row],[PEG]],Table1016[#All],3,FALSE)</f>
        <v>#N/A</v>
      </c>
    </row>
    <row r="11" spans="1:5" x14ac:dyDescent="0.35">
      <c r="A11" s="118">
        <v>4</v>
      </c>
      <c r="B11" s="114" t="s">
        <v>115</v>
      </c>
      <c r="C11" s="109" t="e">
        <f>VLOOKUP(Table257519913140106110151155170178204261[[#This Row],[PEG]],Table1016[#All],2,FALSE)</f>
        <v>#N/A</v>
      </c>
      <c r="D11" s="128"/>
      <c r="E11" s="125" t="e">
        <f>VLOOKUP(Table257519913140106110151155170178204261[[#This Row],[PEG]],Table1016[#All],3,FALSE)</f>
        <v>#N/A</v>
      </c>
    </row>
    <row r="12" spans="1:5" x14ac:dyDescent="0.35">
      <c r="A12" s="118">
        <v>5</v>
      </c>
      <c r="B12" s="114" t="s">
        <v>114</v>
      </c>
      <c r="C12" s="109" t="e">
        <f>VLOOKUP(Table257519913140106110151155170178204261[[#This Row],[PEG]],Table1016[#All],2,FALSE)</f>
        <v>#N/A</v>
      </c>
      <c r="D12" s="128"/>
      <c r="E12" s="125" t="e">
        <f>VLOOKUP(Table257519913140106110151155170178204261[[#This Row],[PEG]],Table1016[#All],3,FALSE)</f>
        <v>#N/A</v>
      </c>
    </row>
    <row r="13" spans="1:5" x14ac:dyDescent="0.35">
      <c r="A13" s="118">
        <v>6</v>
      </c>
      <c r="B13" s="114" t="s">
        <v>115</v>
      </c>
      <c r="C13" s="109" t="e">
        <f>VLOOKUP(Table257519913140106110151155170178204261[[#This Row],[PEG]],Table1016[#All],2,FALSE)</f>
        <v>#N/A</v>
      </c>
      <c r="D13" s="128"/>
      <c r="E13" s="125" t="e">
        <f>VLOOKUP(Table257519913140106110151155170178204261[[#This Row],[PEG]],Table1016[#All],3,FALSE)</f>
        <v>#N/A</v>
      </c>
    </row>
    <row r="14" spans="1:5" x14ac:dyDescent="0.35">
      <c r="A14" s="118">
        <v>7</v>
      </c>
      <c r="B14" s="114" t="s">
        <v>114</v>
      </c>
      <c r="C14" s="109" t="e">
        <f>VLOOKUP(Table257519913140106110151155170178204261[[#This Row],[PEG]],Table1016[#All],2,FALSE)</f>
        <v>#N/A</v>
      </c>
      <c r="D14" s="128"/>
      <c r="E14" s="125" t="e">
        <f>VLOOKUP(Table257519913140106110151155170178204261[[#This Row],[PEG]],Table1016[#All],3,FALSE)</f>
        <v>#N/A</v>
      </c>
    </row>
    <row r="15" spans="1:5" x14ac:dyDescent="0.35">
      <c r="A15" s="118">
        <v>8</v>
      </c>
      <c r="B15" s="114" t="s">
        <v>115</v>
      </c>
      <c r="C15" s="109" t="e">
        <f>VLOOKUP(Table257519913140106110151155170178204261[[#This Row],[PEG]],Table1016[#All],2,FALSE)</f>
        <v>#N/A</v>
      </c>
      <c r="D15" s="116"/>
      <c r="E15" s="125" t="e">
        <f>VLOOKUP(Table257519913140106110151155170178204261[[#This Row],[PEG]],Table1016[#All],3,FALSE)</f>
        <v>#N/A</v>
      </c>
    </row>
    <row r="16" spans="1:5" x14ac:dyDescent="0.35">
      <c r="A16" s="118">
        <v>9</v>
      </c>
      <c r="B16" s="114" t="s">
        <v>12</v>
      </c>
      <c r="C16" s="109" t="e">
        <f>VLOOKUP(Table257519913140106110151155170178204261[[#This Row],[PEG]],Table1016[#All],2,FALSE)</f>
        <v>#N/A</v>
      </c>
      <c r="D16" s="116"/>
      <c r="E16" s="125" t="e">
        <f>VLOOKUP(Table257519913140106110151155170178204261[[#This Row],[PEG]],Table1016[#All],3,FALSE)</f>
        <v>#N/A</v>
      </c>
    </row>
    <row r="17" spans="1:5" x14ac:dyDescent="0.35">
      <c r="A17" s="118">
        <v>10</v>
      </c>
      <c r="B17" s="114" t="s">
        <v>12</v>
      </c>
      <c r="C17" s="109" t="e">
        <f>VLOOKUP(Table257519913140106110151155170178204261[[#This Row],[PEG]],Table1016[#All],2,FALSE)</f>
        <v>#N/A</v>
      </c>
      <c r="D17" s="117"/>
      <c r="E17" s="125" t="e">
        <f>VLOOKUP(Table257519913140106110151155170178204261[[#This Row],[PEG]],Table1016[#All],3,FALSE)</f>
        <v>#N/A</v>
      </c>
    </row>
    <row r="18" spans="1:5" x14ac:dyDescent="0.35">
      <c r="A18" s="118">
        <v>11</v>
      </c>
      <c r="B18" s="114" t="s">
        <v>115</v>
      </c>
      <c r="C18" s="109" t="e">
        <f>VLOOKUP(Table257519913140106110151155170178204261[[#This Row],[PEG]],Table1016[#All],2,FALSE)</f>
        <v>#N/A</v>
      </c>
      <c r="D18" s="117"/>
      <c r="E18" s="125" t="e">
        <f>VLOOKUP(Table257519913140106110151155170178204261[[#This Row],[PEG]],Table1016[#All],3,FALSE)</f>
        <v>#N/A</v>
      </c>
    </row>
    <row r="19" spans="1:5" x14ac:dyDescent="0.35">
      <c r="A19" s="118">
        <v>12</v>
      </c>
      <c r="B19" s="114" t="s">
        <v>115</v>
      </c>
      <c r="C19" s="109" t="e">
        <f>VLOOKUP(Table257519913140106110151155170178204261[[#This Row],[PEG]],Table1016[#All],2,FALSE)</f>
        <v>#N/A</v>
      </c>
      <c r="D19" s="117"/>
      <c r="E19" s="125" t="e">
        <f>VLOOKUP(Table257519913140106110151155170178204261[[#This Row],[PEG]],Table1016[#All],3,FALSE)</f>
        <v>#N/A</v>
      </c>
    </row>
    <row r="20" spans="1:5" x14ac:dyDescent="0.35">
      <c r="A20" s="118">
        <v>13</v>
      </c>
      <c r="B20" s="114" t="s">
        <v>114</v>
      </c>
      <c r="C20" s="109" t="e">
        <f>VLOOKUP(Table257519913140106110151155170178204261[[#This Row],[PEG]],Table1016[#All],2,FALSE)</f>
        <v>#N/A</v>
      </c>
      <c r="D20" s="117"/>
      <c r="E20" s="125" t="e">
        <f>VLOOKUP(Table257519913140106110151155170178204261[[#This Row],[PEG]],Table1016[#All],3,FALSE)</f>
        <v>#N/A</v>
      </c>
    </row>
    <row r="21" spans="1:5" x14ac:dyDescent="0.35">
      <c r="A21" s="118">
        <v>14</v>
      </c>
      <c r="B21" s="114" t="s">
        <v>12</v>
      </c>
      <c r="C21" s="109" t="e">
        <f>VLOOKUP(Table257519913140106110151155170178204261[[#This Row],[PEG]],Table1016[#All],2,FALSE)</f>
        <v>#N/A</v>
      </c>
      <c r="D21" s="117"/>
      <c r="E21" s="125" t="e">
        <f>VLOOKUP(Table257519913140106110151155170178204261[[#This Row],[PEG]],Table1016[#All],3,FALSE)</f>
        <v>#N/A</v>
      </c>
    </row>
    <row r="22" spans="1:5" x14ac:dyDescent="0.35">
      <c r="A22" s="118">
        <v>15</v>
      </c>
      <c r="B22" s="114" t="s">
        <v>12</v>
      </c>
      <c r="C22" s="109" t="e">
        <f>VLOOKUP(Table257519913140106110151155170178204261[[#This Row],[PEG]],Table1016[#All],2,FALSE)</f>
        <v>#N/A</v>
      </c>
      <c r="D22" s="117"/>
      <c r="E22" s="125" t="e">
        <f>VLOOKUP(Table257519913140106110151155170178204261[[#This Row],[PEG]],Table1016[#All],3,FALSE)</f>
        <v>#N/A</v>
      </c>
    </row>
    <row r="23" spans="1:5" x14ac:dyDescent="0.35">
      <c r="A23" s="118">
        <v>16</v>
      </c>
      <c r="B23" s="114" t="s">
        <v>115</v>
      </c>
      <c r="C23" s="109" t="e">
        <f>VLOOKUP(Table257519913140106110151155170178204261[[#This Row],[PEG]],Table1016[#All],2,FALSE)</f>
        <v>#N/A</v>
      </c>
      <c r="D23" s="117"/>
      <c r="E23" s="125" t="e">
        <f>VLOOKUP(Table257519913140106110151155170178204261[[#This Row],[PEG]],Table1016[#All],3,FALSE)</f>
        <v>#N/A</v>
      </c>
    </row>
    <row r="24" spans="1:5" x14ac:dyDescent="0.35">
      <c r="A24" s="118">
        <v>17</v>
      </c>
      <c r="B24" s="114" t="s">
        <v>114</v>
      </c>
      <c r="C24" s="109" t="e">
        <f>VLOOKUP(Table257519913140106110151155170178204261[[#This Row],[PEG]],Table1016[#All],2,FALSE)</f>
        <v>#N/A</v>
      </c>
      <c r="D24" s="117"/>
      <c r="E24" s="125" t="e">
        <f>VLOOKUP(Table257519913140106110151155170178204261[[#This Row],[PEG]],Table1016[#All],3,FALSE)</f>
        <v>#N/A</v>
      </c>
    </row>
    <row r="25" spans="1:5" x14ac:dyDescent="0.35">
      <c r="A25" s="118">
        <v>18</v>
      </c>
      <c r="B25" s="114" t="s">
        <v>12</v>
      </c>
      <c r="C25" s="109" t="e">
        <f>VLOOKUP(Table257519913140106110151155170178204261[[#This Row],[PEG]],Table1016[#All],2,FALSE)</f>
        <v>#N/A</v>
      </c>
      <c r="D25" s="117"/>
      <c r="E25" s="125" t="e">
        <f>VLOOKUP(Table257519913140106110151155170178204261[[#This Row],[PEG]],Table1016[#All],3,FALSE)</f>
        <v>#N/A</v>
      </c>
    </row>
    <row r="26" spans="1:5" x14ac:dyDescent="0.35">
      <c r="A26" s="118">
        <v>19</v>
      </c>
      <c r="B26" s="114" t="s">
        <v>12</v>
      </c>
      <c r="C26" s="109" t="e">
        <f>VLOOKUP(Table257519913140106110151155170178204261[[#This Row],[PEG]],Table1016[#All],2,FALSE)</f>
        <v>#N/A</v>
      </c>
      <c r="D26" s="117"/>
      <c r="E26" s="125" t="e">
        <f>VLOOKUP(Table257519913140106110151155170178204261[[#This Row],[PEG]],Table1016[#All],3,FALSE)</f>
        <v>#N/A</v>
      </c>
    </row>
    <row r="27" spans="1:5" x14ac:dyDescent="0.35">
      <c r="A27" s="118">
        <v>20</v>
      </c>
      <c r="B27" s="114" t="s">
        <v>115</v>
      </c>
      <c r="C27" s="109" t="e">
        <f>VLOOKUP(Table257519913140106110151155170178204261[[#This Row],[PEG]],Table1016[#All],2,FALSE)</f>
        <v>#N/A</v>
      </c>
      <c r="D27" s="117"/>
      <c r="E27" s="125" t="e">
        <f>VLOOKUP(Table257519913140106110151155170178204261[[#This Row],[PEG]],Table1016[#All],3,FALSE)</f>
        <v>#N/A</v>
      </c>
    </row>
    <row r="28" spans="1:5" x14ac:dyDescent="0.35">
      <c r="A28" s="118">
        <v>21</v>
      </c>
      <c r="B28" s="114" t="s">
        <v>114</v>
      </c>
      <c r="C28" s="109" t="e">
        <f>VLOOKUP(Table257519913140106110151155170178204261[[#This Row],[PEG]],Table1016[#All],2,FALSE)</f>
        <v>#N/A</v>
      </c>
      <c r="D28" s="117"/>
      <c r="E28" s="125" t="e">
        <f>VLOOKUP(Table257519913140106110151155170178204261[[#This Row],[PEG]],Table1016[#All],3,FALSE)</f>
        <v>#N/A</v>
      </c>
    </row>
    <row r="29" spans="1:5" x14ac:dyDescent="0.35">
      <c r="A29" s="118">
        <v>22</v>
      </c>
      <c r="B29" s="114" t="s">
        <v>12</v>
      </c>
      <c r="C29" s="109" t="e">
        <f>VLOOKUP(Table257519913140106110151155170178204261[[#This Row],[PEG]],Table1016[#All],2,FALSE)</f>
        <v>#N/A</v>
      </c>
      <c r="D29" s="117"/>
      <c r="E29" s="125" t="e">
        <f>VLOOKUP(Table257519913140106110151155170178204261[[#This Row],[PEG]],Table1016[#All],3,FALSE)</f>
        <v>#N/A</v>
      </c>
    </row>
    <row r="30" spans="1:5" x14ac:dyDescent="0.35">
      <c r="A30" s="118">
        <v>23</v>
      </c>
      <c r="B30" s="114" t="s">
        <v>12</v>
      </c>
      <c r="C30" s="109" t="e">
        <f>VLOOKUP(Table257519913140106110151155170178204261[[#This Row],[PEG]],Table1016[#All],2,FALSE)</f>
        <v>#N/A</v>
      </c>
      <c r="D30" s="117"/>
      <c r="E30" s="125" t="e">
        <f>VLOOKUP(Table257519913140106110151155170178204261[[#This Row],[PEG]],Table1016[#All],3,FALSE)</f>
        <v>#N/A</v>
      </c>
    </row>
    <row r="31" spans="1:5" x14ac:dyDescent="0.35">
      <c r="A31" s="118">
        <v>24</v>
      </c>
      <c r="B31" s="114" t="s">
        <v>115</v>
      </c>
      <c r="C31" s="109" t="e">
        <f>VLOOKUP(Table257519913140106110151155170178204261[[#This Row],[PEG]],Table1016[#All],2,FALSE)</f>
        <v>#N/A</v>
      </c>
      <c r="D31" s="117"/>
      <c r="E31" s="125" t="e">
        <f>VLOOKUP(Table257519913140106110151155170178204261[[#This Row],[PEG]],Table1016[#All],3,FALSE)</f>
        <v>#N/A</v>
      </c>
    </row>
    <row r="32" spans="1:5" x14ac:dyDescent="0.35">
      <c r="A32" s="118">
        <v>25</v>
      </c>
      <c r="B32" s="114" t="s">
        <v>115</v>
      </c>
      <c r="C32" s="109" t="e">
        <f>VLOOKUP(Table257519913140106110151155170178204261[[#This Row],[PEG]],Table1016[#All],2,FALSE)</f>
        <v>#N/A</v>
      </c>
      <c r="D32" s="117"/>
      <c r="E32" s="125" t="e">
        <f>VLOOKUP(Table257519913140106110151155170178204261[[#This Row],[PEG]],Table1016[#All],3,FALSE)</f>
        <v>#N/A</v>
      </c>
    </row>
    <row r="33" spans="1:5" x14ac:dyDescent="0.35">
      <c r="A33" s="118">
        <v>26</v>
      </c>
      <c r="B33" s="114" t="s">
        <v>124</v>
      </c>
      <c r="C33" s="109" t="e">
        <f>VLOOKUP(Table257519913140106110151155170178204261[[#This Row],[PEG]],Table1016[#All],2,FALSE)</f>
        <v>#N/A</v>
      </c>
      <c r="D33" s="117"/>
      <c r="E33" s="125" t="e">
        <f>VLOOKUP(Table257519913140106110151155170178204261[[#This Row],[PEG]],Table1016[#All],3,FALSE)</f>
        <v>#N/A</v>
      </c>
    </row>
    <row r="34" spans="1:5" x14ac:dyDescent="0.35">
      <c r="A34" s="118">
        <v>27</v>
      </c>
      <c r="B34" s="114" t="s">
        <v>115</v>
      </c>
      <c r="C34" s="109" t="e">
        <f>VLOOKUP(Table257519913140106110151155170178204261[[#This Row],[PEG]],Table1016[#All],2,FALSE)</f>
        <v>#N/A</v>
      </c>
      <c r="D34" s="117"/>
      <c r="E34" s="125" t="e">
        <f>VLOOKUP(Table257519913140106110151155170178204261[[#This Row],[PEG]],Table1016[#All],3,FALSE)</f>
        <v>#N/A</v>
      </c>
    </row>
    <row r="35" spans="1:5" x14ac:dyDescent="0.35">
      <c r="A35" s="118">
        <v>28</v>
      </c>
      <c r="B35" s="114" t="s">
        <v>124</v>
      </c>
      <c r="C35" s="109" t="e">
        <f>VLOOKUP(Table257519913140106110151155170178204261[[#This Row],[PEG]],Table1016[#All],2,FALSE)</f>
        <v>#N/A</v>
      </c>
      <c r="D35" s="117"/>
      <c r="E35" s="125" t="e">
        <f>VLOOKUP(Table257519913140106110151155170178204261[[#This Row],[PEG]],Table1016[#All],3,FALSE)</f>
        <v>#N/A</v>
      </c>
    </row>
    <row r="36" spans="1:5" x14ac:dyDescent="0.35">
      <c r="A36" s="118">
        <v>29</v>
      </c>
      <c r="B36" s="114" t="s">
        <v>115</v>
      </c>
      <c r="C36" s="109" t="e">
        <f>VLOOKUP(Table257519913140106110151155170178204261[[#This Row],[PEG]],Table1016[#All],2,FALSE)</f>
        <v>#N/A</v>
      </c>
      <c r="D36" s="117"/>
      <c r="E36" s="125" t="e">
        <f>VLOOKUP(Table257519913140106110151155170178204261[[#This Row],[PEG]],Table1016[#All],3,FALSE)</f>
        <v>#N/A</v>
      </c>
    </row>
    <row r="37" spans="1:5" x14ac:dyDescent="0.35">
      <c r="A37" s="118">
        <v>30</v>
      </c>
      <c r="B37" s="114" t="s">
        <v>12</v>
      </c>
      <c r="C37" s="109" t="e">
        <f>VLOOKUP(Table257519913140106110151155170178204261[[#This Row],[PEG]],Table1016[#All],2,FALSE)</f>
        <v>#N/A</v>
      </c>
      <c r="D37" s="117"/>
      <c r="E37" s="125" t="e">
        <f>VLOOKUP(Table257519913140106110151155170178204261[[#This Row],[PEG]],Table1016[#All],3,FALSE)</f>
        <v>#N/A</v>
      </c>
    </row>
    <row r="38" spans="1:5" x14ac:dyDescent="0.35">
      <c r="A38" s="118">
        <v>31</v>
      </c>
      <c r="B38" s="114" t="s">
        <v>12</v>
      </c>
      <c r="C38" s="109" t="e">
        <f>VLOOKUP(Table257519913140106110151155170178204261[[#This Row],[PEG]],Table1016[#All],2,FALSE)</f>
        <v>#N/A</v>
      </c>
      <c r="D38" s="117"/>
      <c r="E38" s="125" t="e">
        <f>VLOOKUP(Table257519913140106110151155170178204261[[#This Row],[PEG]],Table1016[#All],3,FALSE)</f>
        <v>#N/A</v>
      </c>
    </row>
    <row r="39" spans="1:5" x14ac:dyDescent="0.35">
      <c r="A39" s="118">
        <v>32</v>
      </c>
      <c r="B39" s="114" t="s">
        <v>12</v>
      </c>
      <c r="C39" s="109" t="e">
        <f>VLOOKUP(Table257519913140106110151155170178204261[[#This Row],[PEG]],Table1016[#All],2,FALSE)</f>
        <v>#N/A</v>
      </c>
      <c r="D39" s="117"/>
      <c r="E39" s="125" t="e">
        <f>VLOOKUP(Table257519913140106110151155170178204261[[#This Row],[PEG]],Table1016[#All],3,FALSE)</f>
        <v>#N/A</v>
      </c>
    </row>
    <row r="40" spans="1:5" x14ac:dyDescent="0.35">
      <c r="A40" s="118">
        <v>33</v>
      </c>
      <c r="B40" s="114" t="s">
        <v>12</v>
      </c>
      <c r="C40" s="109" t="e">
        <f>VLOOKUP(Table257519913140106110151155170178204261[[#This Row],[PEG]],Table1016[#All],2,FALSE)</f>
        <v>#N/A</v>
      </c>
      <c r="D40" s="117"/>
      <c r="E40" s="125" t="e">
        <f>VLOOKUP(Table257519913140106110151155170178204261[[#This Row],[PEG]],Table1016[#All],3,FALSE)</f>
        <v>#N/A</v>
      </c>
    </row>
    <row r="41" spans="1:5" x14ac:dyDescent="0.35">
      <c r="A41" s="118">
        <v>34</v>
      </c>
      <c r="B41" s="114" t="s">
        <v>115</v>
      </c>
      <c r="C41" s="109" t="e">
        <f>VLOOKUP(Table257519913140106110151155170178204261[[#This Row],[PEG]],Table1016[#All],2,FALSE)</f>
        <v>#N/A</v>
      </c>
      <c r="D41" s="117"/>
      <c r="E41" s="125" t="e">
        <f>VLOOKUP(Table257519913140106110151155170178204261[[#This Row],[PEG]],Table1016[#All],3,FALSE)</f>
        <v>#N/A</v>
      </c>
    </row>
    <row r="42" spans="1:5" x14ac:dyDescent="0.35">
      <c r="A42" s="118">
        <v>35</v>
      </c>
      <c r="B42" s="114" t="s">
        <v>12</v>
      </c>
      <c r="C42" s="109" t="e">
        <f>VLOOKUP(Table257519913140106110151155170178204261[[#This Row],[PEG]],Table1016[#All],2,FALSE)</f>
        <v>#N/A</v>
      </c>
      <c r="D42" s="115"/>
      <c r="E42" s="125" t="e">
        <f>VLOOKUP(Table257519913140106110151155170178204261[[#This Row],[PEG]],Table1016[#All],3,FALSE)</f>
        <v>#N/A</v>
      </c>
    </row>
    <row r="43" spans="1:5" x14ac:dyDescent="0.35">
      <c r="A43" s="118">
        <v>36</v>
      </c>
      <c r="B43" s="114" t="s">
        <v>115</v>
      </c>
      <c r="C43" s="109" t="e">
        <f>VLOOKUP(Table257519913140106110151155170178204261[[#This Row],[PEG]],Table1016[#All],2,FALSE)</f>
        <v>#N/A</v>
      </c>
      <c r="D43" s="115"/>
      <c r="E43" s="125" t="e">
        <f>VLOOKUP(Table257519913140106110151155170178204261[[#This Row],[PEG]],Table1016[#All],3,FALSE)</f>
        <v>#N/A</v>
      </c>
    </row>
    <row r="44" spans="1:5" x14ac:dyDescent="0.35">
      <c r="A44" s="118">
        <v>37</v>
      </c>
      <c r="B44" s="114" t="s">
        <v>13</v>
      </c>
      <c r="C44" s="18" t="s">
        <v>13</v>
      </c>
      <c r="D44" s="115"/>
      <c r="E44" s="32"/>
    </row>
  </sheetData>
  <mergeCells count="1">
    <mergeCell ref="A1:B1"/>
  </mergeCells>
  <conditionalFormatting sqref="B8:B18">
    <cfRule type="containsText" dxfId="467" priority="1" operator="containsText" text="Hear">
      <formula>NOT(ISERROR(SEARCH("Hear",B8)))</formula>
    </cfRule>
  </conditionalFormatting>
  <conditionalFormatting sqref="B30">
    <cfRule type="containsText" dxfId="466" priority="4" operator="containsText" text="Hear">
      <formula>NOT(ISERROR(SEARCH("Hear",B30)))</formula>
    </cfRule>
  </conditionalFormatting>
  <conditionalFormatting sqref="B43:B44">
    <cfRule type="containsText" dxfId="465" priority="8" operator="containsText" text="Hear">
      <formula>NOT(ISERROR(SEARCH("Hear",B43)))</formula>
    </cfRule>
  </conditionalFormatting>
  <conditionalFormatting sqref="E44">
    <cfRule type="containsText" dxfId="464" priority="6" operator="containsText" text="WEB SERVICE">
      <formula>NOT(ISERROR(SEARCH("WEB SERVICE",E44)))</formula>
    </cfRule>
    <cfRule type="containsText" dxfId="463" priority="7" operator="containsText" text="DB">
      <formula>NOT(ISERROR(SEARCH("DB",E44)))</formula>
    </cfRule>
  </conditionalFormatting>
  <conditionalFormatting sqref="C44">
    <cfRule type="expression" dxfId="462" priority="9">
      <formula>$B44="Dial"</formula>
    </cfRule>
  </conditionalFormatting>
  <conditionalFormatting sqref="C44">
    <cfRule type="expression" dxfId="461" priority="3">
      <formula>$B44="Speak"</formula>
    </cfRule>
  </conditionalFormatting>
  <conditionalFormatting sqref="B19:B29 B31:B35 B42">
    <cfRule type="containsText" dxfId="460" priority="5" operator="containsText" text="Hear">
      <formula>NOT(ISERROR(SEARCH("Hear",B19)))</formula>
    </cfRule>
  </conditionalFormatting>
  <hyperlinks>
    <hyperlink ref="A1" location="'Test Case Overview'!A1" display="Return to Test Case Overview" xr:uid="{7566A49A-10DE-4ED4-9D50-6FF01386052A}"/>
  </hyperlinks>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expression" priority="2" id="{8FF10F79-E7CD-45E0-BE8C-4F08F5C796C1}">
            <xm:f>'TC1'!$B8="HANGUP"</xm:f>
            <x14:dxf>
              <font>
                <b/>
                <i val="0"/>
              </font>
            </x14:dxf>
          </x14:cfRule>
          <xm:sqref>C8</xm:sqref>
        </x14:conditionalFormatting>
        <x14:conditionalFormatting xmlns:xm="http://schemas.microsoft.com/office/excel/2006/main">
          <x14:cfRule type="expression" priority="3350" id="{8FF10F79-E7CD-45E0-BE8C-4F08F5C796C1}">
            <xm:f>'TC1'!$B16="HANGUP"</xm:f>
            <x14:dxf>
              <font>
                <b/>
                <i val="0"/>
              </font>
            </x14:dxf>
          </x14:cfRule>
          <xm:sqref>C34:C43</xm:sqref>
        </x14:conditionalFormatting>
        <x14:conditionalFormatting xmlns:xm="http://schemas.microsoft.com/office/excel/2006/main">
          <x14:cfRule type="expression" priority="3351" id="{8FF10F79-E7CD-45E0-BE8C-4F08F5C796C1}">
            <xm:f>'TC1'!#REF!="HANGUP"</xm:f>
            <x14:dxf>
              <font>
                <b/>
                <i val="0"/>
              </font>
            </x14:dxf>
          </x14:cfRule>
          <xm:sqref>C17:C33</xm:sqref>
        </x14:conditionalFormatting>
        <x14:conditionalFormatting xmlns:xm="http://schemas.microsoft.com/office/excel/2006/main">
          <x14:cfRule type="expression" priority="5964" id="{8FF10F79-E7CD-45E0-BE8C-4F08F5C796C1}">
            <xm:f>'TC1'!$B9="HANGUP"</xm:f>
            <x14:dxf>
              <font>
                <b/>
                <i val="0"/>
              </font>
            </x14:dxf>
          </x14:cfRule>
          <xm:sqref>C12:C15</xm:sqref>
        </x14:conditionalFormatting>
        <x14:conditionalFormatting xmlns:xm="http://schemas.microsoft.com/office/excel/2006/main">
          <x14:cfRule type="expression" priority="5965" id="{8FF10F79-E7CD-45E0-BE8C-4F08F5C796C1}">
            <xm:f>'TC1'!#REF!="HANGUP"</xm:f>
            <x14:dxf>
              <font>
                <b/>
                <i val="0"/>
              </font>
            </x14:dxf>
          </x14:cfRule>
          <xm:sqref>C9:C11</xm:sqref>
        </x14:conditionalFormatting>
        <x14:conditionalFormatting xmlns:xm="http://schemas.microsoft.com/office/excel/2006/main">
          <x14:cfRule type="expression" priority="8136" id="{8FF10F79-E7CD-45E0-BE8C-4F08F5C796C1}">
            <xm:f>'TC1'!$B15="HANGUP"</xm:f>
            <x14:dxf>
              <font>
                <b/>
                <i val="0"/>
              </font>
            </x14:dxf>
          </x14:cfRule>
          <xm:sqref>C16</xm:sqref>
        </x14:conditionalFormatting>
      </x14:conditionalFormattings>
    </ext>
  </extLst>
</worksheet>
</file>

<file path=xl/worksheets/sheet1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B100-000000000000}">
  <sheetPr codeName="Sheet179"/>
  <dimension ref="A1:E44"/>
  <sheetViews>
    <sheetView zoomScaleNormal="100" workbookViewId="0">
      <selection sqref="A1:E44"/>
    </sheetView>
  </sheetViews>
  <sheetFormatPr defaultRowHeight="14.5" x14ac:dyDescent="0.35"/>
  <cols>
    <col min="1" max="1" width="14.453125" bestFit="1" customWidth="1"/>
    <col min="2" max="2" width="42.6328125" customWidth="1"/>
    <col min="3" max="3" width="106.1796875" customWidth="1"/>
    <col min="4" max="4" width="21.81640625" bestFit="1" customWidth="1"/>
    <col min="5" max="5" width="20.6328125" customWidth="1"/>
  </cols>
  <sheetData>
    <row r="1" spans="1:5" ht="18.5" x14ac:dyDescent="0.35">
      <c r="A1" s="192" t="s">
        <v>4</v>
      </c>
      <c r="B1" s="192"/>
      <c r="C1" s="105"/>
      <c r="D1" s="111"/>
      <c r="E1" s="97"/>
    </row>
    <row r="2" spans="1:5" x14ac:dyDescent="0.35">
      <c r="A2" s="106" t="s">
        <v>5</v>
      </c>
      <c r="B2" s="107" t="str">
        <f ca="1">MID(CELL("filename",A1),FIND("]",CELL("filename",A1))+1,LEN(CELL("filename",A1))-FIND("]",CELL("filename",A1)))</f>
        <v>TC177</v>
      </c>
      <c r="C2" s="98"/>
      <c r="D2" s="111"/>
      <c r="E2" s="97"/>
    </row>
    <row r="3" spans="1:5" x14ac:dyDescent="0.35">
      <c r="A3" s="104" t="s">
        <v>19</v>
      </c>
      <c r="B3" s="112" t="e">
        <f ca="1">VLOOKUP(B2,Table53[#All],2,FALSE)</f>
        <v>#N/A</v>
      </c>
      <c r="C3" s="98"/>
      <c r="D3" s="111"/>
      <c r="E3" s="97"/>
    </row>
    <row r="4" spans="1:5" ht="29" x14ac:dyDescent="0.35">
      <c r="A4" s="113" t="s">
        <v>20</v>
      </c>
      <c r="B4" s="99" t="e">
        <f ca="1">VLOOKUP(B2,Table53[#All],4,FALSE)</f>
        <v>#N/A</v>
      </c>
      <c r="C4" s="98"/>
      <c r="D4" s="111"/>
      <c r="E4" s="97"/>
    </row>
    <row r="5" spans="1:5" x14ac:dyDescent="0.35">
      <c r="A5" s="104" t="s">
        <v>6</v>
      </c>
      <c r="B5" s="77" t="e">
        <f ca="1">VLOOKUP(B2,Table53[#All],3,FALSE)</f>
        <v>#N/A</v>
      </c>
      <c r="C5" s="98"/>
      <c r="D5" s="111"/>
      <c r="E5" s="97"/>
    </row>
    <row r="6" spans="1:5" x14ac:dyDescent="0.35">
      <c r="A6" s="97"/>
      <c r="B6" s="97"/>
      <c r="C6" s="98"/>
      <c r="D6" s="111"/>
      <c r="E6" s="97"/>
    </row>
    <row r="7" spans="1:5" ht="15.5" x14ac:dyDescent="0.35">
      <c r="A7" s="100" t="s">
        <v>7</v>
      </c>
      <c r="B7" s="101" t="s">
        <v>8</v>
      </c>
      <c r="C7" s="102" t="s">
        <v>9</v>
      </c>
      <c r="D7" s="102" t="s">
        <v>14</v>
      </c>
      <c r="E7" s="103" t="s">
        <v>10</v>
      </c>
    </row>
    <row r="8" spans="1:5" x14ac:dyDescent="0.35">
      <c r="A8" s="118">
        <v>1</v>
      </c>
      <c r="B8" s="114" t="s">
        <v>114</v>
      </c>
      <c r="C8" s="109" t="s">
        <v>125</v>
      </c>
      <c r="D8" s="128"/>
      <c r="E8" s="125" t="s">
        <v>11</v>
      </c>
    </row>
    <row r="9" spans="1:5" x14ac:dyDescent="0.35">
      <c r="A9" s="118">
        <v>2</v>
      </c>
      <c r="B9" s="114" t="s">
        <v>12</v>
      </c>
      <c r="C9" s="109" t="e">
        <f>VLOOKUP(Table257519913140106110151155170178204263[[#This Row],[PEG]],Table1016[#All],2,FALSE)</f>
        <v>#N/A</v>
      </c>
      <c r="D9" s="128"/>
      <c r="E9" s="125" t="e">
        <f>VLOOKUP(Table257519913140106110151155170178204263[[#This Row],[PEG]],Table1016[#All],3,FALSE)</f>
        <v>#N/A</v>
      </c>
    </row>
    <row r="10" spans="1:5" x14ac:dyDescent="0.35">
      <c r="A10" s="118">
        <v>3</v>
      </c>
      <c r="B10" s="114" t="s">
        <v>115</v>
      </c>
      <c r="C10" s="109" t="e">
        <f>VLOOKUP(Table257519913140106110151155170178204263[[#This Row],[PEG]],Table1016[#All],2,FALSE)</f>
        <v>#N/A</v>
      </c>
      <c r="D10" s="128"/>
      <c r="E10" s="125" t="e">
        <f>VLOOKUP(Table257519913140106110151155170178204263[[#This Row],[PEG]],Table1016[#All],3,FALSE)</f>
        <v>#N/A</v>
      </c>
    </row>
    <row r="11" spans="1:5" x14ac:dyDescent="0.35">
      <c r="A11" s="118">
        <v>4</v>
      </c>
      <c r="B11" s="114" t="s">
        <v>115</v>
      </c>
      <c r="C11" s="109" t="e">
        <f>VLOOKUP(Table257519913140106110151155170178204263[[#This Row],[PEG]],Table1016[#All],2,FALSE)</f>
        <v>#N/A</v>
      </c>
      <c r="D11" s="128"/>
      <c r="E11" s="125" t="e">
        <f>VLOOKUP(Table257519913140106110151155170178204263[[#This Row],[PEG]],Table1016[#All],3,FALSE)</f>
        <v>#N/A</v>
      </c>
    </row>
    <row r="12" spans="1:5" x14ac:dyDescent="0.35">
      <c r="A12" s="118">
        <v>5</v>
      </c>
      <c r="B12" s="114" t="s">
        <v>114</v>
      </c>
      <c r="C12" s="109" t="e">
        <f>VLOOKUP(Table257519913140106110151155170178204263[[#This Row],[PEG]],Table1016[#All],2,FALSE)</f>
        <v>#N/A</v>
      </c>
      <c r="D12" s="128"/>
      <c r="E12" s="125" t="e">
        <f>VLOOKUP(Table257519913140106110151155170178204263[[#This Row],[PEG]],Table1016[#All],3,FALSE)</f>
        <v>#N/A</v>
      </c>
    </row>
    <row r="13" spans="1:5" x14ac:dyDescent="0.35">
      <c r="A13" s="118">
        <v>6</v>
      </c>
      <c r="B13" s="114" t="s">
        <v>115</v>
      </c>
      <c r="C13" s="109" t="e">
        <f>VLOOKUP(Table257519913140106110151155170178204263[[#This Row],[PEG]],Table1016[#All],2,FALSE)</f>
        <v>#N/A</v>
      </c>
      <c r="D13" s="128"/>
      <c r="E13" s="125" t="e">
        <f>VLOOKUP(Table257519913140106110151155170178204263[[#This Row],[PEG]],Table1016[#All],3,FALSE)</f>
        <v>#N/A</v>
      </c>
    </row>
    <row r="14" spans="1:5" x14ac:dyDescent="0.35">
      <c r="A14" s="118">
        <v>7</v>
      </c>
      <c r="B14" s="114" t="s">
        <v>114</v>
      </c>
      <c r="C14" s="109" t="e">
        <f>VLOOKUP(Table257519913140106110151155170178204263[[#This Row],[PEG]],Table1016[#All],2,FALSE)</f>
        <v>#N/A</v>
      </c>
      <c r="D14" s="128"/>
      <c r="E14" s="125" t="e">
        <f>VLOOKUP(Table257519913140106110151155170178204263[[#This Row],[PEG]],Table1016[#All],3,FALSE)</f>
        <v>#N/A</v>
      </c>
    </row>
    <row r="15" spans="1:5" x14ac:dyDescent="0.35">
      <c r="A15" s="118">
        <v>8</v>
      </c>
      <c r="B15" s="114" t="s">
        <v>115</v>
      </c>
      <c r="C15" s="109" t="e">
        <f>VLOOKUP(Table257519913140106110151155170178204263[[#This Row],[PEG]],Table1016[#All],2,FALSE)</f>
        <v>#N/A</v>
      </c>
      <c r="D15" s="116"/>
      <c r="E15" s="125" t="e">
        <f>VLOOKUP(Table257519913140106110151155170178204263[[#This Row],[PEG]],Table1016[#All],3,FALSE)</f>
        <v>#N/A</v>
      </c>
    </row>
    <row r="16" spans="1:5" x14ac:dyDescent="0.35">
      <c r="A16" s="118">
        <v>9</v>
      </c>
      <c r="B16" s="114" t="s">
        <v>12</v>
      </c>
      <c r="C16" s="109" t="e">
        <f>VLOOKUP(Table257519913140106110151155170178204263[[#This Row],[PEG]],Table1016[#All],2,FALSE)</f>
        <v>#N/A</v>
      </c>
      <c r="D16" s="116"/>
      <c r="E16" s="125" t="e">
        <f>VLOOKUP(Table257519913140106110151155170178204263[[#This Row],[PEG]],Table1016[#All],3,FALSE)</f>
        <v>#N/A</v>
      </c>
    </row>
    <row r="17" spans="1:5" x14ac:dyDescent="0.35">
      <c r="A17" s="118">
        <v>10</v>
      </c>
      <c r="B17" s="114" t="s">
        <v>12</v>
      </c>
      <c r="C17" s="109" t="e">
        <f>VLOOKUP(Table257519913140106110151155170178204263[[#This Row],[PEG]],Table1016[#All],2,FALSE)</f>
        <v>#N/A</v>
      </c>
      <c r="D17" s="117"/>
      <c r="E17" s="125" t="e">
        <f>VLOOKUP(Table257519913140106110151155170178204263[[#This Row],[PEG]],Table1016[#All],3,FALSE)</f>
        <v>#N/A</v>
      </c>
    </row>
    <row r="18" spans="1:5" x14ac:dyDescent="0.35">
      <c r="A18" s="118">
        <v>11</v>
      </c>
      <c r="B18" s="114" t="s">
        <v>115</v>
      </c>
      <c r="C18" s="109" t="e">
        <f>VLOOKUP(Table257519913140106110151155170178204263[[#This Row],[PEG]],Table1016[#All],2,FALSE)</f>
        <v>#N/A</v>
      </c>
      <c r="D18" s="117"/>
      <c r="E18" s="125" t="e">
        <f>VLOOKUP(Table257519913140106110151155170178204263[[#This Row],[PEG]],Table1016[#All],3,FALSE)</f>
        <v>#N/A</v>
      </c>
    </row>
    <row r="19" spans="1:5" x14ac:dyDescent="0.35">
      <c r="A19" s="118">
        <v>12</v>
      </c>
      <c r="B19" s="114" t="s">
        <v>115</v>
      </c>
      <c r="C19" s="109" t="e">
        <f>VLOOKUP(Table257519913140106110151155170178204263[[#This Row],[PEG]],Table1016[#All],2,FALSE)</f>
        <v>#N/A</v>
      </c>
      <c r="D19" s="117"/>
      <c r="E19" s="125" t="e">
        <f>VLOOKUP(Table257519913140106110151155170178204263[[#This Row],[PEG]],Table1016[#All],3,FALSE)</f>
        <v>#N/A</v>
      </c>
    </row>
    <row r="20" spans="1:5" x14ac:dyDescent="0.35">
      <c r="A20" s="118">
        <v>13</v>
      </c>
      <c r="B20" s="114" t="s">
        <v>114</v>
      </c>
      <c r="C20" s="109" t="e">
        <f>VLOOKUP(Table257519913140106110151155170178204263[[#This Row],[PEG]],Table1016[#All],2,FALSE)</f>
        <v>#N/A</v>
      </c>
      <c r="D20" s="117"/>
      <c r="E20" s="125" t="e">
        <f>VLOOKUP(Table257519913140106110151155170178204263[[#This Row],[PEG]],Table1016[#All],3,FALSE)</f>
        <v>#N/A</v>
      </c>
    </row>
    <row r="21" spans="1:5" x14ac:dyDescent="0.35">
      <c r="A21" s="118">
        <v>14</v>
      </c>
      <c r="B21" s="114" t="s">
        <v>12</v>
      </c>
      <c r="C21" s="109" t="e">
        <f>VLOOKUP(Table257519913140106110151155170178204263[[#This Row],[PEG]],Table1016[#All],2,FALSE)</f>
        <v>#N/A</v>
      </c>
      <c r="D21" s="117"/>
      <c r="E21" s="125" t="e">
        <f>VLOOKUP(Table257519913140106110151155170178204263[[#This Row],[PEG]],Table1016[#All],3,FALSE)</f>
        <v>#N/A</v>
      </c>
    </row>
    <row r="22" spans="1:5" x14ac:dyDescent="0.35">
      <c r="A22" s="118">
        <v>15</v>
      </c>
      <c r="B22" s="114" t="s">
        <v>12</v>
      </c>
      <c r="C22" s="109" t="e">
        <f>VLOOKUP(Table257519913140106110151155170178204263[[#This Row],[PEG]],Table1016[#All],2,FALSE)</f>
        <v>#N/A</v>
      </c>
      <c r="D22" s="117"/>
      <c r="E22" s="125" t="e">
        <f>VLOOKUP(Table257519913140106110151155170178204263[[#This Row],[PEG]],Table1016[#All],3,FALSE)</f>
        <v>#N/A</v>
      </c>
    </row>
    <row r="23" spans="1:5" x14ac:dyDescent="0.35">
      <c r="A23" s="118">
        <v>16</v>
      </c>
      <c r="B23" s="114" t="s">
        <v>115</v>
      </c>
      <c r="C23" s="109" t="e">
        <f>VLOOKUP(Table257519913140106110151155170178204263[[#This Row],[PEG]],Table1016[#All],2,FALSE)</f>
        <v>#N/A</v>
      </c>
      <c r="D23" s="117"/>
      <c r="E23" s="125" t="e">
        <f>VLOOKUP(Table257519913140106110151155170178204263[[#This Row],[PEG]],Table1016[#All],3,FALSE)</f>
        <v>#N/A</v>
      </c>
    </row>
    <row r="24" spans="1:5" x14ac:dyDescent="0.35">
      <c r="A24" s="118">
        <v>17</v>
      </c>
      <c r="B24" s="114" t="s">
        <v>114</v>
      </c>
      <c r="C24" s="109" t="e">
        <f>VLOOKUP(Table257519913140106110151155170178204263[[#This Row],[PEG]],Table1016[#All],2,FALSE)</f>
        <v>#N/A</v>
      </c>
      <c r="D24" s="117"/>
      <c r="E24" s="125" t="e">
        <f>VLOOKUP(Table257519913140106110151155170178204263[[#This Row],[PEG]],Table1016[#All],3,FALSE)</f>
        <v>#N/A</v>
      </c>
    </row>
    <row r="25" spans="1:5" x14ac:dyDescent="0.35">
      <c r="A25" s="118">
        <v>18</v>
      </c>
      <c r="B25" s="114" t="s">
        <v>12</v>
      </c>
      <c r="C25" s="109" t="e">
        <f>VLOOKUP(Table257519913140106110151155170178204263[[#This Row],[PEG]],Table1016[#All],2,FALSE)</f>
        <v>#N/A</v>
      </c>
      <c r="D25" s="117"/>
      <c r="E25" s="125" t="e">
        <f>VLOOKUP(Table257519913140106110151155170178204263[[#This Row],[PEG]],Table1016[#All],3,FALSE)</f>
        <v>#N/A</v>
      </c>
    </row>
    <row r="26" spans="1:5" x14ac:dyDescent="0.35">
      <c r="A26" s="118">
        <v>19</v>
      </c>
      <c r="B26" s="114" t="s">
        <v>12</v>
      </c>
      <c r="C26" s="109" t="e">
        <f>VLOOKUP(Table257519913140106110151155170178204263[[#This Row],[PEG]],Table1016[#All],2,FALSE)</f>
        <v>#N/A</v>
      </c>
      <c r="D26" s="117"/>
      <c r="E26" s="125" t="e">
        <f>VLOOKUP(Table257519913140106110151155170178204263[[#This Row],[PEG]],Table1016[#All],3,FALSE)</f>
        <v>#N/A</v>
      </c>
    </row>
    <row r="27" spans="1:5" x14ac:dyDescent="0.35">
      <c r="A27" s="118">
        <v>20</v>
      </c>
      <c r="B27" s="114" t="s">
        <v>115</v>
      </c>
      <c r="C27" s="109" t="e">
        <f>VLOOKUP(Table257519913140106110151155170178204263[[#This Row],[PEG]],Table1016[#All],2,FALSE)</f>
        <v>#N/A</v>
      </c>
      <c r="D27" s="117"/>
      <c r="E27" s="125" t="e">
        <f>VLOOKUP(Table257519913140106110151155170178204263[[#This Row],[PEG]],Table1016[#All],3,FALSE)</f>
        <v>#N/A</v>
      </c>
    </row>
    <row r="28" spans="1:5" x14ac:dyDescent="0.35">
      <c r="A28" s="118">
        <v>21</v>
      </c>
      <c r="B28" s="114" t="s">
        <v>114</v>
      </c>
      <c r="C28" s="109" t="e">
        <f>VLOOKUP(Table257519913140106110151155170178204263[[#This Row],[PEG]],Table1016[#All],2,FALSE)</f>
        <v>#N/A</v>
      </c>
      <c r="D28" s="117"/>
      <c r="E28" s="125" t="e">
        <f>VLOOKUP(Table257519913140106110151155170178204263[[#This Row],[PEG]],Table1016[#All],3,FALSE)</f>
        <v>#N/A</v>
      </c>
    </row>
    <row r="29" spans="1:5" x14ac:dyDescent="0.35">
      <c r="A29" s="118">
        <v>22</v>
      </c>
      <c r="B29" s="114" t="s">
        <v>12</v>
      </c>
      <c r="C29" s="109" t="e">
        <f>VLOOKUP(Table257519913140106110151155170178204263[[#This Row],[PEG]],Table1016[#All],2,FALSE)</f>
        <v>#N/A</v>
      </c>
      <c r="D29" s="117"/>
      <c r="E29" s="125" t="e">
        <f>VLOOKUP(Table257519913140106110151155170178204263[[#This Row],[PEG]],Table1016[#All],3,FALSE)</f>
        <v>#N/A</v>
      </c>
    </row>
    <row r="30" spans="1:5" x14ac:dyDescent="0.35">
      <c r="A30" s="118">
        <v>23</v>
      </c>
      <c r="B30" s="114" t="s">
        <v>12</v>
      </c>
      <c r="C30" s="109" t="e">
        <f>VLOOKUP(Table257519913140106110151155170178204263[[#This Row],[PEG]],Table1016[#All],2,FALSE)</f>
        <v>#N/A</v>
      </c>
      <c r="D30" s="117"/>
      <c r="E30" s="125" t="e">
        <f>VLOOKUP(Table257519913140106110151155170178204263[[#This Row],[PEG]],Table1016[#All],3,FALSE)</f>
        <v>#N/A</v>
      </c>
    </row>
    <row r="31" spans="1:5" x14ac:dyDescent="0.35">
      <c r="A31" s="118">
        <v>24</v>
      </c>
      <c r="B31" s="114" t="s">
        <v>115</v>
      </c>
      <c r="C31" s="109" t="e">
        <f>VLOOKUP(Table257519913140106110151155170178204263[[#This Row],[PEG]],Table1016[#All],2,FALSE)</f>
        <v>#N/A</v>
      </c>
      <c r="D31" s="117"/>
      <c r="E31" s="125" t="e">
        <f>VLOOKUP(Table257519913140106110151155170178204263[[#This Row],[PEG]],Table1016[#All],3,FALSE)</f>
        <v>#N/A</v>
      </c>
    </row>
    <row r="32" spans="1:5" x14ac:dyDescent="0.35">
      <c r="A32" s="118">
        <v>25</v>
      </c>
      <c r="B32" s="114" t="s">
        <v>115</v>
      </c>
      <c r="C32" s="109" t="e">
        <f>VLOOKUP(Table257519913140106110151155170178204263[[#This Row],[PEG]],Table1016[#All],2,FALSE)</f>
        <v>#N/A</v>
      </c>
      <c r="D32" s="117"/>
      <c r="E32" s="125" t="e">
        <f>VLOOKUP(Table257519913140106110151155170178204263[[#This Row],[PEG]],Table1016[#All],3,FALSE)</f>
        <v>#N/A</v>
      </c>
    </row>
    <row r="33" spans="1:5" x14ac:dyDescent="0.35">
      <c r="A33" s="118">
        <v>26</v>
      </c>
      <c r="B33" s="114" t="s">
        <v>124</v>
      </c>
      <c r="C33" s="109" t="e">
        <f>VLOOKUP(Table257519913140106110151155170178204263[[#This Row],[PEG]],Table1016[#All],2,FALSE)</f>
        <v>#N/A</v>
      </c>
      <c r="D33" s="117"/>
      <c r="E33" s="125" t="e">
        <f>VLOOKUP(Table257519913140106110151155170178204263[[#This Row],[PEG]],Table1016[#All],3,FALSE)</f>
        <v>#N/A</v>
      </c>
    </row>
    <row r="34" spans="1:5" x14ac:dyDescent="0.35">
      <c r="A34" s="118">
        <v>27</v>
      </c>
      <c r="B34" s="114" t="s">
        <v>115</v>
      </c>
      <c r="C34" s="109" t="e">
        <f>VLOOKUP(Table257519913140106110151155170178204263[[#This Row],[PEG]],Table1016[#All],2,FALSE)</f>
        <v>#N/A</v>
      </c>
      <c r="D34" s="117"/>
      <c r="E34" s="125" t="e">
        <f>VLOOKUP(Table257519913140106110151155170178204263[[#This Row],[PEG]],Table1016[#All],3,FALSE)</f>
        <v>#N/A</v>
      </c>
    </row>
    <row r="35" spans="1:5" x14ac:dyDescent="0.35">
      <c r="A35" s="118">
        <v>28</v>
      </c>
      <c r="B35" s="114" t="s">
        <v>124</v>
      </c>
      <c r="C35" s="109" t="e">
        <f>VLOOKUP(Table257519913140106110151155170178204263[[#This Row],[PEG]],Table1016[#All],2,FALSE)</f>
        <v>#N/A</v>
      </c>
      <c r="D35" s="117"/>
      <c r="E35" s="125" t="e">
        <f>VLOOKUP(Table257519913140106110151155170178204263[[#This Row],[PEG]],Table1016[#All],3,FALSE)</f>
        <v>#N/A</v>
      </c>
    </row>
    <row r="36" spans="1:5" x14ac:dyDescent="0.35">
      <c r="A36" s="118">
        <v>29</v>
      </c>
      <c r="B36" s="114" t="s">
        <v>115</v>
      </c>
      <c r="C36" s="109" t="e">
        <f>VLOOKUP(Table257519913140106110151155170178204263[[#This Row],[PEG]],Table1016[#All],2,FALSE)</f>
        <v>#N/A</v>
      </c>
      <c r="D36" s="117"/>
      <c r="E36" s="125" t="e">
        <f>VLOOKUP(Table257519913140106110151155170178204263[[#This Row],[PEG]],Table1016[#All],3,FALSE)</f>
        <v>#N/A</v>
      </c>
    </row>
    <row r="37" spans="1:5" x14ac:dyDescent="0.35">
      <c r="A37" s="118">
        <v>30</v>
      </c>
      <c r="B37" s="114" t="s">
        <v>12</v>
      </c>
      <c r="C37" s="109" t="e">
        <f>VLOOKUP(Table257519913140106110151155170178204263[[#This Row],[PEG]],Table1016[#All],2,FALSE)</f>
        <v>#N/A</v>
      </c>
      <c r="D37" s="117"/>
      <c r="E37" s="125" t="e">
        <f>VLOOKUP(Table257519913140106110151155170178204263[[#This Row],[PEG]],Table1016[#All],3,FALSE)</f>
        <v>#N/A</v>
      </c>
    </row>
    <row r="38" spans="1:5" x14ac:dyDescent="0.35">
      <c r="A38" s="118">
        <v>31</v>
      </c>
      <c r="B38" s="114" t="s">
        <v>12</v>
      </c>
      <c r="C38" s="109" t="e">
        <f>VLOOKUP(Table257519913140106110151155170178204263[[#This Row],[PEG]],Table1016[#All],2,FALSE)</f>
        <v>#N/A</v>
      </c>
      <c r="D38" s="117"/>
      <c r="E38" s="125" t="e">
        <f>VLOOKUP(Table257519913140106110151155170178204263[[#This Row],[PEG]],Table1016[#All],3,FALSE)</f>
        <v>#N/A</v>
      </c>
    </row>
    <row r="39" spans="1:5" x14ac:dyDescent="0.35">
      <c r="A39" s="118">
        <v>32</v>
      </c>
      <c r="B39" s="114" t="s">
        <v>12</v>
      </c>
      <c r="C39" s="109" t="e">
        <f>VLOOKUP(Table257519913140106110151155170178204263[[#This Row],[PEG]],Table1016[#All],2,FALSE)</f>
        <v>#N/A</v>
      </c>
      <c r="D39" s="117"/>
      <c r="E39" s="125" t="e">
        <f>VLOOKUP(Table257519913140106110151155170178204263[[#This Row],[PEG]],Table1016[#All],3,FALSE)</f>
        <v>#N/A</v>
      </c>
    </row>
    <row r="40" spans="1:5" x14ac:dyDescent="0.35">
      <c r="A40" s="118">
        <v>33</v>
      </c>
      <c r="B40" s="114" t="s">
        <v>12</v>
      </c>
      <c r="C40" s="109" t="e">
        <f>VLOOKUP(Table257519913140106110151155170178204263[[#This Row],[PEG]],Table1016[#All],2,FALSE)</f>
        <v>#N/A</v>
      </c>
      <c r="D40" s="117"/>
      <c r="E40" s="125" t="e">
        <f>VLOOKUP(Table257519913140106110151155170178204263[[#This Row],[PEG]],Table1016[#All],3,FALSE)</f>
        <v>#N/A</v>
      </c>
    </row>
    <row r="41" spans="1:5" x14ac:dyDescent="0.35">
      <c r="A41" s="118">
        <v>34</v>
      </c>
      <c r="B41" s="114" t="s">
        <v>115</v>
      </c>
      <c r="C41" s="109" t="e">
        <f>VLOOKUP(Table257519913140106110151155170178204263[[#This Row],[PEG]],Table1016[#All],2,FALSE)</f>
        <v>#N/A</v>
      </c>
      <c r="D41" s="117"/>
      <c r="E41" s="125" t="e">
        <f>VLOOKUP(Table257519913140106110151155170178204263[[#This Row],[PEG]],Table1016[#All],3,FALSE)</f>
        <v>#N/A</v>
      </c>
    </row>
    <row r="42" spans="1:5" x14ac:dyDescent="0.35">
      <c r="A42" s="118">
        <v>35</v>
      </c>
      <c r="B42" s="114" t="s">
        <v>12</v>
      </c>
      <c r="C42" s="109" t="e">
        <f>VLOOKUP(Table257519913140106110151155170178204263[[#This Row],[PEG]],Table1016[#All],2,FALSE)</f>
        <v>#N/A</v>
      </c>
      <c r="D42" s="115"/>
      <c r="E42" s="125" t="e">
        <f>VLOOKUP(Table257519913140106110151155170178204263[[#This Row],[PEG]],Table1016[#All],3,FALSE)</f>
        <v>#N/A</v>
      </c>
    </row>
    <row r="43" spans="1:5" x14ac:dyDescent="0.35">
      <c r="A43" s="118">
        <v>36</v>
      </c>
      <c r="B43" s="114" t="s">
        <v>115</v>
      </c>
      <c r="C43" s="109" t="e">
        <f>VLOOKUP(Table257519913140106110151155170178204263[[#This Row],[PEG]],Table1016[#All],2,FALSE)</f>
        <v>#N/A</v>
      </c>
      <c r="D43" s="115"/>
      <c r="E43" s="125" t="e">
        <f>VLOOKUP(Table257519913140106110151155170178204263[[#This Row],[PEG]],Table1016[#All],3,FALSE)</f>
        <v>#N/A</v>
      </c>
    </row>
    <row r="44" spans="1:5" x14ac:dyDescent="0.35">
      <c r="A44" s="118">
        <v>37</v>
      </c>
      <c r="B44" s="114" t="s">
        <v>13</v>
      </c>
      <c r="C44" s="18" t="s">
        <v>13</v>
      </c>
      <c r="D44" s="115"/>
      <c r="E44" s="32"/>
    </row>
  </sheetData>
  <mergeCells count="1">
    <mergeCell ref="A1:B1"/>
  </mergeCells>
  <conditionalFormatting sqref="B8:B18">
    <cfRule type="containsText" dxfId="453" priority="1" operator="containsText" text="Hear">
      <formula>NOT(ISERROR(SEARCH("Hear",B8)))</formula>
    </cfRule>
  </conditionalFormatting>
  <conditionalFormatting sqref="B30">
    <cfRule type="containsText" dxfId="452" priority="4" operator="containsText" text="Hear">
      <formula>NOT(ISERROR(SEARCH("Hear",B30)))</formula>
    </cfRule>
  </conditionalFormatting>
  <conditionalFormatting sqref="B43:B44">
    <cfRule type="containsText" dxfId="451" priority="8" operator="containsText" text="Hear">
      <formula>NOT(ISERROR(SEARCH("Hear",B43)))</formula>
    </cfRule>
  </conditionalFormatting>
  <conditionalFormatting sqref="E44">
    <cfRule type="containsText" dxfId="450" priority="6" operator="containsText" text="WEB SERVICE">
      <formula>NOT(ISERROR(SEARCH("WEB SERVICE",E44)))</formula>
    </cfRule>
    <cfRule type="containsText" dxfId="449" priority="7" operator="containsText" text="DB">
      <formula>NOT(ISERROR(SEARCH("DB",E44)))</formula>
    </cfRule>
  </conditionalFormatting>
  <conditionalFormatting sqref="C44">
    <cfRule type="expression" dxfId="448" priority="9">
      <formula>$B44="Dial"</formula>
    </cfRule>
  </conditionalFormatting>
  <conditionalFormatting sqref="C44">
    <cfRule type="expression" dxfId="447" priority="3">
      <formula>$B44="Speak"</formula>
    </cfRule>
  </conditionalFormatting>
  <conditionalFormatting sqref="B19:B29 B31:B35 B42">
    <cfRule type="containsText" dxfId="446" priority="5" operator="containsText" text="Hear">
      <formula>NOT(ISERROR(SEARCH("Hear",B19)))</formula>
    </cfRule>
  </conditionalFormatting>
  <hyperlinks>
    <hyperlink ref="A1" location="'Test Case Overview'!A1" display="Return to Test Case Overview" xr:uid="{6EB08301-F5CE-4DA4-8055-A2128CC3787B}"/>
  </hyperlinks>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expression" priority="2" id="{910AD6A2-D7D2-4536-8BA3-98944D4DB7AE}">
            <xm:f>'TC1'!$B8="HANGUP"</xm:f>
            <x14:dxf>
              <font>
                <b/>
                <i val="0"/>
              </font>
            </x14:dxf>
          </x14:cfRule>
          <xm:sqref>C8</xm:sqref>
        </x14:conditionalFormatting>
        <x14:conditionalFormatting xmlns:xm="http://schemas.microsoft.com/office/excel/2006/main">
          <x14:cfRule type="expression" priority="3354" id="{910AD6A2-D7D2-4536-8BA3-98944D4DB7AE}">
            <xm:f>'TC1'!$B16="HANGUP"</xm:f>
            <x14:dxf>
              <font>
                <b/>
                <i val="0"/>
              </font>
            </x14:dxf>
          </x14:cfRule>
          <xm:sqref>C34:C43</xm:sqref>
        </x14:conditionalFormatting>
        <x14:conditionalFormatting xmlns:xm="http://schemas.microsoft.com/office/excel/2006/main">
          <x14:cfRule type="expression" priority="3355" id="{910AD6A2-D7D2-4536-8BA3-98944D4DB7AE}">
            <xm:f>'TC1'!#REF!="HANGUP"</xm:f>
            <x14:dxf>
              <font>
                <b/>
                <i val="0"/>
              </font>
            </x14:dxf>
          </x14:cfRule>
          <xm:sqref>C17:C33</xm:sqref>
        </x14:conditionalFormatting>
        <x14:conditionalFormatting xmlns:xm="http://schemas.microsoft.com/office/excel/2006/main">
          <x14:cfRule type="expression" priority="5968" id="{910AD6A2-D7D2-4536-8BA3-98944D4DB7AE}">
            <xm:f>'TC1'!$B9="HANGUP"</xm:f>
            <x14:dxf>
              <font>
                <b/>
                <i val="0"/>
              </font>
            </x14:dxf>
          </x14:cfRule>
          <xm:sqref>C12:C15</xm:sqref>
        </x14:conditionalFormatting>
        <x14:conditionalFormatting xmlns:xm="http://schemas.microsoft.com/office/excel/2006/main">
          <x14:cfRule type="expression" priority="5969" id="{910AD6A2-D7D2-4536-8BA3-98944D4DB7AE}">
            <xm:f>'TC1'!#REF!="HANGUP"</xm:f>
            <x14:dxf>
              <font>
                <b/>
                <i val="0"/>
              </font>
            </x14:dxf>
          </x14:cfRule>
          <xm:sqref>C9:C11</xm:sqref>
        </x14:conditionalFormatting>
        <x14:conditionalFormatting xmlns:xm="http://schemas.microsoft.com/office/excel/2006/main">
          <x14:cfRule type="expression" priority="8139" id="{910AD6A2-D7D2-4536-8BA3-98944D4DB7AE}">
            <xm:f>'TC1'!$B15="HANGUP"</xm:f>
            <x14:dxf>
              <font>
                <b/>
                <i val="0"/>
              </font>
            </x14:dxf>
          </x14:cfRule>
          <xm:sqref>C16</xm:sqref>
        </x14:conditionalFormatting>
      </x14:conditionalFormattings>
    </ext>
  </extLst>
</worksheet>
</file>

<file path=xl/worksheets/sheet1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B200-000000000000}">
  <sheetPr codeName="Sheet180"/>
  <dimension ref="A1:E44"/>
  <sheetViews>
    <sheetView zoomScaleNormal="100" workbookViewId="0">
      <selection sqref="A1:E44"/>
    </sheetView>
  </sheetViews>
  <sheetFormatPr defaultRowHeight="14.5" x14ac:dyDescent="0.35"/>
  <cols>
    <col min="1" max="1" width="14.453125" bestFit="1" customWidth="1"/>
    <col min="2" max="2" width="42.6328125" customWidth="1"/>
    <col min="3" max="3" width="106.1796875" customWidth="1"/>
    <col min="4" max="4" width="21.81640625" bestFit="1" customWidth="1"/>
    <col min="5" max="5" width="20.6328125" customWidth="1"/>
  </cols>
  <sheetData>
    <row r="1" spans="1:5" ht="18.5" x14ac:dyDescent="0.35">
      <c r="A1" s="192" t="s">
        <v>4</v>
      </c>
      <c r="B1" s="192"/>
      <c r="C1" s="105"/>
      <c r="D1" s="111"/>
      <c r="E1" s="97"/>
    </row>
    <row r="2" spans="1:5" x14ac:dyDescent="0.35">
      <c r="A2" s="106" t="s">
        <v>5</v>
      </c>
      <c r="B2" s="107" t="str">
        <f ca="1">MID(CELL("filename",A1),FIND("]",CELL("filename",A1))+1,LEN(CELL("filename",A1))-FIND("]",CELL("filename",A1)))</f>
        <v>TC178</v>
      </c>
      <c r="C2" s="98"/>
      <c r="D2" s="111"/>
      <c r="E2" s="97"/>
    </row>
    <row r="3" spans="1:5" x14ac:dyDescent="0.35">
      <c r="A3" s="104" t="s">
        <v>19</v>
      </c>
      <c r="B3" s="112" t="e">
        <f ca="1">VLOOKUP(B2,Table53[#All],2,FALSE)</f>
        <v>#N/A</v>
      </c>
      <c r="C3" s="98"/>
      <c r="D3" s="111"/>
      <c r="E3" s="97"/>
    </row>
    <row r="4" spans="1:5" ht="29" x14ac:dyDescent="0.35">
      <c r="A4" s="113" t="s">
        <v>20</v>
      </c>
      <c r="B4" s="99" t="e">
        <f ca="1">VLOOKUP(B2,Table53[#All],4,FALSE)</f>
        <v>#N/A</v>
      </c>
      <c r="C4" s="98"/>
      <c r="D4" s="111"/>
      <c r="E4" s="97"/>
    </row>
    <row r="5" spans="1:5" x14ac:dyDescent="0.35">
      <c r="A5" s="104" t="s">
        <v>6</v>
      </c>
      <c r="B5" s="77" t="e">
        <f ca="1">VLOOKUP(B2,Table53[#All],3,FALSE)</f>
        <v>#N/A</v>
      </c>
      <c r="C5" s="98"/>
      <c r="D5" s="111"/>
      <c r="E5" s="97"/>
    </row>
    <row r="6" spans="1:5" x14ac:dyDescent="0.35">
      <c r="A6" s="97"/>
      <c r="B6" s="97"/>
      <c r="C6" s="98"/>
      <c r="D6" s="111"/>
      <c r="E6" s="97"/>
    </row>
    <row r="7" spans="1:5" ht="15.5" x14ac:dyDescent="0.35">
      <c r="A7" s="100" t="s">
        <v>7</v>
      </c>
      <c r="B7" s="101" t="s">
        <v>8</v>
      </c>
      <c r="C7" s="102" t="s">
        <v>9</v>
      </c>
      <c r="D7" s="102" t="s">
        <v>14</v>
      </c>
      <c r="E7" s="103" t="s">
        <v>10</v>
      </c>
    </row>
    <row r="8" spans="1:5" x14ac:dyDescent="0.35">
      <c r="A8" s="118">
        <v>1</v>
      </c>
      <c r="B8" s="114" t="s">
        <v>114</v>
      </c>
      <c r="C8" s="109" t="s">
        <v>125</v>
      </c>
      <c r="D8" s="128"/>
      <c r="E8" s="125" t="s">
        <v>11</v>
      </c>
    </row>
    <row r="9" spans="1:5" x14ac:dyDescent="0.35">
      <c r="A9" s="118">
        <v>2</v>
      </c>
      <c r="B9" s="114" t="s">
        <v>12</v>
      </c>
      <c r="C9" s="109" t="e">
        <f>VLOOKUP(Table257519913140106110151155170178204265[[#This Row],[PEG]],Table1016[#All],2,FALSE)</f>
        <v>#N/A</v>
      </c>
      <c r="D9" s="128"/>
      <c r="E9" s="125" t="e">
        <f>VLOOKUP(Table257519913140106110151155170178204265[[#This Row],[PEG]],Table1016[#All],3,FALSE)</f>
        <v>#N/A</v>
      </c>
    </row>
    <row r="10" spans="1:5" x14ac:dyDescent="0.35">
      <c r="A10" s="118">
        <v>3</v>
      </c>
      <c r="B10" s="114" t="s">
        <v>115</v>
      </c>
      <c r="C10" s="109" t="e">
        <f>VLOOKUP(Table257519913140106110151155170178204265[[#This Row],[PEG]],Table1016[#All],2,FALSE)</f>
        <v>#N/A</v>
      </c>
      <c r="D10" s="128"/>
      <c r="E10" s="125" t="e">
        <f>VLOOKUP(Table257519913140106110151155170178204265[[#This Row],[PEG]],Table1016[#All],3,FALSE)</f>
        <v>#N/A</v>
      </c>
    </row>
    <row r="11" spans="1:5" x14ac:dyDescent="0.35">
      <c r="A11" s="118">
        <v>4</v>
      </c>
      <c r="B11" s="114" t="s">
        <v>115</v>
      </c>
      <c r="C11" s="109" t="e">
        <f>VLOOKUP(Table257519913140106110151155170178204265[[#This Row],[PEG]],Table1016[#All],2,FALSE)</f>
        <v>#N/A</v>
      </c>
      <c r="D11" s="128"/>
      <c r="E11" s="125" t="e">
        <f>VLOOKUP(Table257519913140106110151155170178204265[[#This Row],[PEG]],Table1016[#All],3,FALSE)</f>
        <v>#N/A</v>
      </c>
    </row>
    <row r="12" spans="1:5" x14ac:dyDescent="0.35">
      <c r="A12" s="118">
        <v>5</v>
      </c>
      <c r="B12" s="114" t="s">
        <v>114</v>
      </c>
      <c r="C12" s="109" t="e">
        <f>VLOOKUP(Table257519913140106110151155170178204265[[#This Row],[PEG]],Table1016[#All],2,FALSE)</f>
        <v>#N/A</v>
      </c>
      <c r="D12" s="128"/>
      <c r="E12" s="125" t="e">
        <f>VLOOKUP(Table257519913140106110151155170178204265[[#This Row],[PEG]],Table1016[#All],3,FALSE)</f>
        <v>#N/A</v>
      </c>
    </row>
    <row r="13" spans="1:5" x14ac:dyDescent="0.35">
      <c r="A13" s="118">
        <v>6</v>
      </c>
      <c r="B13" s="114" t="s">
        <v>115</v>
      </c>
      <c r="C13" s="109" t="e">
        <f>VLOOKUP(Table257519913140106110151155170178204265[[#This Row],[PEG]],Table1016[#All],2,FALSE)</f>
        <v>#N/A</v>
      </c>
      <c r="D13" s="128"/>
      <c r="E13" s="125" t="e">
        <f>VLOOKUP(Table257519913140106110151155170178204265[[#This Row],[PEG]],Table1016[#All],3,FALSE)</f>
        <v>#N/A</v>
      </c>
    </row>
    <row r="14" spans="1:5" x14ac:dyDescent="0.35">
      <c r="A14" s="118">
        <v>7</v>
      </c>
      <c r="B14" s="114" t="s">
        <v>114</v>
      </c>
      <c r="C14" s="109" t="e">
        <f>VLOOKUP(Table257519913140106110151155170178204265[[#This Row],[PEG]],Table1016[#All],2,FALSE)</f>
        <v>#N/A</v>
      </c>
      <c r="D14" s="128"/>
      <c r="E14" s="125" t="e">
        <f>VLOOKUP(Table257519913140106110151155170178204265[[#This Row],[PEG]],Table1016[#All],3,FALSE)</f>
        <v>#N/A</v>
      </c>
    </row>
    <row r="15" spans="1:5" x14ac:dyDescent="0.35">
      <c r="A15" s="118">
        <v>8</v>
      </c>
      <c r="B15" s="114" t="s">
        <v>115</v>
      </c>
      <c r="C15" s="109" t="e">
        <f>VLOOKUP(Table257519913140106110151155170178204265[[#This Row],[PEG]],Table1016[#All],2,FALSE)</f>
        <v>#N/A</v>
      </c>
      <c r="D15" s="116"/>
      <c r="E15" s="125" t="e">
        <f>VLOOKUP(Table257519913140106110151155170178204265[[#This Row],[PEG]],Table1016[#All],3,FALSE)</f>
        <v>#N/A</v>
      </c>
    </row>
    <row r="16" spans="1:5" x14ac:dyDescent="0.35">
      <c r="A16" s="118">
        <v>9</v>
      </c>
      <c r="B16" s="114" t="s">
        <v>12</v>
      </c>
      <c r="C16" s="109" t="e">
        <f>VLOOKUP(Table257519913140106110151155170178204265[[#This Row],[PEG]],Table1016[#All],2,FALSE)</f>
        <v>#N/A</v>
      </c>
      <c r="D16" s="116"/>
      <c r="E16" s="125" t="e">
        <f>VLOOKUP(Table257519913140106110151155170178204265[[#This Row],[PEG]],Table1016[#All],3,FALSE)</f>
        <v>#N/A</v>
      </c>
    </row>
    <row r="17" spans="1:5" x14ac:dyDescent="0.35">
      <c r="A17" s="118">
        <v>10</v>
      </c>
      <c r="B17" s="114" t="s">
        <v>12</v>
      </c>
      <c r="C17" s="109" t="e">
        <f>VLOOKUP(Table257519913140106110151155170178204265[[#This Row],[PEG]],Table1016[#All],2,FALSE)</f>
        <v>#N/A</v>
      </c>
      <c r="D17" s="117"/>
      <c r="E17" s="125" t="e">
        <f>VLOOKUP(Table257519913140106110151155170178204265[[#This Row],[PEG]],Table1016[#All],3,FALSE)</f>
        <v>#N/A</v>
      </c>
    </row>
    <row r="18" spans="1:5" x14ac:dyDescent="0.35">
      <c r="A18" s="118">
        <v>11</v>
      </c>
      <c r="B18" s="114" t="s">
        <v>115</v>
      </c>
      <c r="C18" s="109" t="e">
        <f>VLOOKUP(Table257519913140106110151155170178204265[[#This Row],[PEG]],Table1016[#All],2,FALSE)</f>
        <v>#N/A</v>
      </c>
      <c r="D18" s="117"/>
      <c r="E18" s="125" t="e">
        <f>VLOOKUP(Table257519913140106110151155170178204265[[#This Row],[PEG]],Table1016[#All],3,FALSE)</f>
        <v>#N/A</v>
      </c>
    </row>
    <row r="19" spans="1:5" x14ac:dyDescent="0.35">
      <c r="A19" s="118">
        <v>12</v>
      </c>
      <c r="B19" s="114" t="s">
        <v>115</v>
      </c>
      <c r="C19" s="109" t="e">
        <f>VLOOKUP(Table257519913140106110151155170178204265[[#This Row],[PEG]],Table1016[#All],2,FALSE)</f>
        <v>#N/A</v>
      </c>
      <c r="D19" s="117"/>
      <c r="E19" s="125" t="e">
        <f>VLOOKUP(Table257519913140106110151155170178204265[[#This Row],[PEG]],Table1016[#All],3,FALSE)</f>
        <v>#N/A</v>
      </c>
    </row>
    <row r="20" spans="1:5" x14ac:dyDescent="0.35">
      <c r="A20" s="118">
        <v>13</v>
      </c>
      <c r="B20" s="114" t="s">
        <v>114</v>
      </c>
      <c r="C20" s="109" t="e">
        <f>VLOOKUP(Table257519913140106110151155170178204265[[#This Row],[PEG]],Table1016[#All],2,FALSE)</f>
        <v>#N/A</v>
      </c>
      <c r="D20" s="117"/>
      <c r="E20" s="125" t="e">
        <f>VLOOKUP(Table257519913140106110151155170178204265[[#This Row],[PEG]],Table1016[#All],3,FALSE)</f>
        <v>#N/A</v>
      </c>
    </row>
    <row r="21" spans="1:5" x14ac:dyDescent="0.35">
      <c r="A21" s="118">
        <v>14</v>
      </c>
      <c r="B21" s="114" t="s">
        <v>12</v>
      </c>
      <c r="C21" s="109" t="e">
        <f>VLOOKUP(Table257519913140106110151155170178204265[[#This Row],[PEG]],Table1016[#All],2,FALSE)</f>
        <v>#N/A</v>
      </c>
      <c r="D21" s="117"/>
      <c r="E21" s="125" t="e">
        <f>VLOOKUP(Table257519913140106110151155170178204265[[#This Row],[PEG]],Table1016[#All],3,FALSE)</f>
        <v>#N/A</v>
      </c>
    </row>
    <row r="22" spans="1:5" x14ac:dyDescent="0.35">
      <c r="A22" s="118">
        <v>15</v>
      </c>
      <c r="B22" s="114" t="s">
        <v>12</v>
      </c>
      <c r="C22" s="109" t="e">
        <f>VLOOKUP(Table257519913140106110151155170178204265[[#This Row],[PEG]],Table1016[#All],2,FALSE)</f>
        <v>#N/A</v>
      </c>
      <c r="D22" s="117"/>
      <c r="E22" s="125" t="e">
        <f>VLOOKUP(Table257519913140106110151155170178204265[[#This Row],[PEG]],Table1016[#All],3,FALSE)</f>
        <v>#N/A</v>
      </c>
    </row>
    <row r="23" spans="1:5" x14ac:dyDescent="0.35">
      <c r="A23" s="118">
        <v>16</v>
      </c>
      <c r="B23" s="114" t="s">
        <v>115</v>
      </c>
      <c r="C23" s="109" t="e">
        <f>VLOOKUP(Table257519913140106110151155170178204265[[#This Row],[PEG]],Table1016[#All],2,FALSE)</f>
        <v>#N/A</v>
      </c>
      <c r="D23" s="117"/>
      <c r="E23" s="125" t="e">
        <f>VLOOKUP(Table257519913140106110151155170178204265[[#This Row],[PEG]],Table1016[#All],3,FALSE)</f>
        <v>#N/A</v>
      </c>
    </row>
    <row r="24" spans="1:5" x14ac:dyDescent="0.35">
      <c r="A24" s="118">
        <v>17</v>
      </c>
      <c r="B24" s="114" t="s">
        <v>114</v>
      </c>
      <c r="C24" s="109" t="e">
        <f>VLOOKUP(Table257519913140106110151155170178204265[[#This Row],[PEG]],Table1016[#All],2,FALSE)</f>
        <v>#N/A</v>
      </c>
      <c r="D24" s="117"/>
      <c r="E24" s="125" t="e">
        <f>VLOOKUP(Table257519913140106110151155170178204265[[#This Row],[PEG]],Table1016[#All],3,FALSE)</f>
        <v>#N/A</v>
      </c>
    </row>
    <row r="25" spans="1:5" x14ac:dyDescent="0.35">
      <c r="A25" s="118">
        <v>18</v>
      </c>
      <c r="B25" s="114" t="s">
        <v>12</v>
      </c>
      <c r="C25" s="109" t="e">
        <f>VLOOKUP(Table257519913140106110151155170178204265[[#This Row],[PEG]],Table1016[#All],2,FALSE)</f>
        <v>#N/A</v>
      </c>
      <c r="D25" s="117"/>
      <c r="E25" s="125" t="e">
        <f>VLOOKUP(Table257519913140106110151155170178204265[[#This Row],[PEG]],Table1016[#All],3,FALSE)</f>
        <v>#N/A</v>
      </c>
    </row>
    <row r="26" spans="1:5" x14ac:dyDescent="0.35">
      <c r="A26" s="118">
        <v>19</v>
      </c>
      <c r="B26" s="114" t="s">
        <v>12</v>
      </c>
      <c r="C26" s="109" t="e">
        <f>VLOOKUP(Table257519913140106110151155170178204265[[#This Row],[PEG]],Table1016[#All],2,FALSE)</f>
        <v>#N/A</v>
      </c>
      <c r="D26" s="117"/>
      <c r="E26" s="125" t="e">
        <f>VLOOKUP(Table257519913140106110151155170178204265[[#This Row],[PEG]],Table1016[#All],3,FALSE)</f>
        <v>#N/A</v>
      </c>
    </row>
    <row r="27" spans="1:5" x14ac:dyDescent="0.35">
      <c r="A27" s="118">
        <v>20</v>
      </c>
      <c r="B27" s="114" t="s">
        <v>115</v>
      </c>
      <c r="C27" s="109" t="e">
        <f>VLOOKUP(Table257519913140106110151155170178204265[[#This Row],[PEG]],Table1016[#All],2,FALSE)</f>
        <v>#N/A</v>
      </c>
      <c r="D27" s="117"/>
      <c r="E27" s="125" t="e">
        <f>VLOOKUP(Table257519913140106110151155170178204265[[#This Row],[PEG]],Table1016[#All],3,FALSE)</f>
        <v>#N/A</v>
      </c>
    </row>
    <row r="28" spans="1:5" x14ac:dyDescent="0.35">
      <c r="A28" s="118">
        <v>21</v>
      </c>
      <c r="B28" s="114" t="s">
        <v>114</v>
      </c>
      <c r="C28" s="109" t="e">
        <f>VLOOKUP(Table257519913140106110151155170178204265[[#This Row],[PEG]],Table1016[#All],2,FALSE)</f>
        <v>#N/A</v>
      </c>
      <c r="D28" s="117"/>
      <c r="E28" s="125" t="e">
        <f>VLOOKUP(Table257519913140106110151155170178204265[[#This Row],[PEG]],Table1016[#All],3,FALSE)</f>
        <v>#N/A</v>
      </c>
    </row>
    <row r="29" spans="1:5" x14ac:dyDescent="0.35">
      <c r="A29" s="118">
        <v>22</v>
      </c>
      <c r="B29" s="114" t="s">
        <v>12</v>
      </c>
      <c r="C29" s="109" t="e">
        <f>VLOOKUP(Table257519913140106110151155170178204265[[#This Row],[PEG]],Table1016[#All],2,FALSE)</f>
        <v>#N/A</v>
      </c>
      <c r="D29" s="117"/>
      <c r="E29" s="125" t="e">
        <f>VLOOKUP(Table257519913140106110151155170178204265[[#This Row],[PEG]],Table1016[#All],3,FALSE)</f>
        <v>#N/A</v>
      </c>
    </row>
    <row r="30" spans="1:5" x14ac:dyDescent="0.35">
      <c r="A30" s="118">
        <v>23</v>
      </c>
      <c r="B30" s="114" t="s">
        <v>12</v>
      </c>
      <c r="C30" s="109" t="e">
        <f>VLOOKUP(Table257519913140106110151155170178204265[[#This Row],[PEG]],Table1016[#All],2,FALSE)</f>
        <v>#N/A</v>
      </c>
      <c r="D30" s="117"/>
      <c r="E30" s="125" t="e">
        <f>VLOOKUP(Table257519913140106110151155170178204265[[#This Row],[PEG]],Table1016[#All],3,FALSE)</f>
        <v>#N/A</v>
      </c>
    </row>
    <row r="31" spans="1:5" x14ac:dyDescent="0.35">
      <c r="A31" s="118">
        <v>24</v>
      </c>
      <c r="B31" s="114" t="s">
        <v>115</v>
      </c>
      <c r="C31" s="109" t="e">
        <f>VLOOKUP(Table257519913140106110151155170178204265[[#This Row],[PEG]],Table1016[#All],2,FALSE)</f>
        <v>#N/A</v>
      </c>
      <c r="D31" s="117"/>
      <c r="E31" s="125" t="e">
        <f>VLOOKUP(Table257519913140106110151155170178204265[[#This Row],[PEG]],Table1016[#All],3,FALSE)</f>
        <v>#N/A</v>
      </c>
    </row>
    <row r="32" spans="1:5" x14ac:dyDescent="0.35">
      <c r="A32" s="118">
        <v>25</v>
      </c>
      <c r="B32" s="114" t="s">
        <v>115</v>
      </c>
      <c r="C32" s="109" t="e">
        <f>VLOOKUP(Table257519913140106110151155170178204265[[#This Row],[PEG]],Table1016[#All],2,FALSE)</f>
        <v>#N/A</v>
      </c>
      <c r="D32" s="117"/>
      <c r="E32" s="125" t="e">
        <f>VLOOKUP(Table257519913140106110151155170178204265[[#This Row],[PEG]],Table1016[#All],3,FALSE)</f>
        <v>#N/A</v>
      </c>
    </row>
    <row r="33" spans="1:5" x14ac:dyDescent="0.35">
      <c r="A33" s="118">
        <v>26</v>
      </c>
      <c r="B33" s="114" t="s">
        <v>124</v>
      </c>
      <c r="C33" s="109" t="e">
        <f>VLOOKUP(Table257519913140106110151155170178204265[[#This Row],[PEG]],Table1016[#All],2,FALSE)</f>
        <v>#N/A</v>
      </c>
      <c r="D33" s="117"/>
      <c r="E33" s="125" t="e">
        <f>VLOOKUP(Table257519913140106110151155170178204265[[#This Row],[PEG]],Table1016[#All],3,FALSE)</f>
        <v>#N/A</v>
      </c>
    </row>
    <row r="34" spans="1:5" x14ac:dyDescent="0.35">
      <c r="A34" s="118">
        <v>27</v>
      </c>
      <c r="B34" s="114" t="s">
        <v>115</v>
      </c>
      <c r="C34" s="109" t="e">
        <f>VLOOKUP(Table257519913140106110151155170178204265[[#This Row],[PEG]],Table1016[#All],2,FALSE)</f>
        <v>#N/A</v>
      </c>
      <c r="D34" s="117"/>
      <c r="E34" s="125" t="e">
        <f>VLOOKUP(Table257519913140106110151155170178204265[[#This Row],[PEG]],Table1016[#All],3,FALSE)</f>
        <v>#N/A</v>
      </c>
    </row>
    <row r="35" spans="1:5" x14ac:dyDescent="0.35">
      <c r="A35" s="118">
        <v>28</v>
      </c>
      <c r="B35" s="114" t="s">
        <v>124</v>
      </c>
      <c r="C35" s="109" t="e">
        <f>VLOOKUP(Table257519913140106110151155170178204265[[#This Row],[PEG]],Table1016[#All],2,FALSE)</f>
        <v>#N/A</v>
      </c>
      <c r="D35" s="117"/>
      <c r="E35" s="125" t="e">
        <f>VLOOKUP(Table257519913140106110151155170178204265[[#This Row],[PEG]],Table1016[#All],3,FALSE)</f>
        <v>#N/A</v>
      </c>
    </row>
    <row r="36" spans="1:5" x14ac:dyDescent="0.35">
      <c r="A36" s="118">
        <v>29</v>
      </c>
      <c r="B36" s="114" t="s">
        <v>115</v>
      </c>
      <c r="C36" s="109" t="e">
        <f>VLOOKUP(Table257519913140106110151155170178204265[[#This Row],[PEG]],Table1016[#All],2,FALSE)</f>
        <v>#N/A</v>
      </c>
      <c r="D36" s="117"/>
      <c r="E36" s="125" t="e">
        <f>VLOOKUP(Table257519913140106110151155170178204265[[#This Row],[PEG]],Table1016[#All],3,FALSE)</f>
        <v>#N/A</v>
      </c>
    </row>
    <row r="37" spans="1:5" x14ac:dyDescent="0.35">
      <c r="A37" s="118">
        <v>30</v>
      </c>
      <c r="B37" s="114" t="s">
        <v>12</v>
      </c>
      <c r="C37" s="109" t="e">
        <f>VLOOKUP(Table257519913140106110151155170178204265[[#This Row],[PEG]],Table1016[#All],2,FALSE)</f>
        <v>#N/A</v>
      </c>
      <c r="D37" s="117"/>
      <c r="E37" s="125" t="e">
        <f>VLOOKUP(Table257519913140106110151155170178204265[[#This Row],[PEG]],Table1016[#All],3,FALSE)</f>
        <v>#N/A</v>
      </c>
    </row>
    <row r="38" spans="1:5" x14ac:dyDescent="0.35">
      <c r="A38" s="118">
        <v>31</v>
      </c>
      <c r="B38" s="114" t="s">
        <v>12</v>
      </c>
      <c r="C38" s="109" t="e">
        <f>VLOOKUP(Table257519913140106110151155170178204265[[#This Row],[PEG]],Table1016[#All],2,FALSE)</f>
        <v>#N/A</v>
      </c>
      <c r="D38" s="117"/>
      <c r="E38" s="125" t="e">
        <f>VLOOKUP(Table257519913140106110151155170178204265[[#This Row],[PEG]],Table1016[#All],3,FALSE)</f>
        <v>#N/A</v>
      </c>
    </row>
    <row r="39" spans="1:5" x14ac:dyDescent="0.35">
      <c r="A39" s="118">
        <v>32</v>
      </c>
      <c r="B39" s="114" t="s">
        <v>12</v>
      </c>
      <c r="C39" s="109" t="e">
        <f>VLOOKUP(Table257519913140106110151155170178204265[[#This Row],[PEG]],Table1016[#All],2,FALSE)</f>
        <v>#N/A</v>
      </c>
      <c r="D39" s="117"/>
      <c r="E39" s="125" t="e">
        <f>VLOOKUP(Table257519913140106110151155170178204265[[#This Row],[PEG]],Table1016[#All],3,FALSE)</f>
        <v>#N/A</v>
      </c>
    </row>
    <row r="40" spans="1:5" x14ac:dyDescent="0.35">
      <c r="A40" s="118">
        <v>33</v>
      </c>
      <c r="B40" s="114" t="s">
        <v>12</v>
      </c>
      <c r="C40" s="109" t="e">
        <f>VLOOKUP(Table257519913140106110151155170178204265[[#This Row],[PEG]],Table1016[#All],2,FALSE)</f>
        <v>#N/A</v>
      </c>
      <c r="D40" s="117"/>
      <c r="E40" s="125" t="e">
        <f>VLOOKUP(Table257519913140106110151155170178204265[[#This Row],[PEG]],Table1016[#All],3,FALSE)</f>
        <v>#N/A</v>
      </c>
    </row>
    <row r="41" spans="1:5" x14ac:dyDescent="0.35">
      <c r="A41" s="118">
        <v>34</v>
      </c>
      <c r="B41" s="114" t="s">
        <v>115</v>
      </c>
      <c r="C41" s="109" t="e">
        <f>VLOOKUP(Table257519913140106110151155170178204265[[#This Row],[PEG]],Table1016[#All],2,FALSE)</f>
        <v>#N/A</v>
      </c>
      <c r="D41" s="117"/>
      <c r="E41" s="125" t="e">
        <f>VLOOKUP(Table257519913140106110151155170178204265[[#This Row],[PEG]],Table1016[#All],3,FALSE)</f>
        <v>#N/A</v>
      </c>
    </row>
    <row r="42" spans="1:5" x14ac:dyDescent="0.35">
      <c r="A42" s="118">
        <v>35</v>
      </c>
      <c r="B42" s="114" t="s">
        <v>12</v>
      </c>
      <c r="C42" s="109" t="e">
        <f>VLOOKUP(Table257519913140106110151155170178204265[[#This Row],[PEG]],Table1016[#All],2,FALSE)</f>
        <v>#N/A</v>
      </c>
      <c r="D42" s="115"/>
      <c r="E42" s="125" t="e">
        <f>VLOOKUP(Table257519913140106110151155170178204265[[#This Row],[PEG]],Table1016[#All],3,FALSE)</f>
        <v>#N/A</v>
      </c>
    </row>
    <row r="43" spans="1:5" x14ac:dyDescent="0.35">
      <c r="A43" s="118">
        <v>36</v>
      </c>
      <c r="B43" s="114" t="s">
        <v>115</v>
      </c>
      <c r="C43" s="109" t="e">
        <f>VLOOKUP(Table257519913140106110151155170178204265[[#This Row],[PEG]],Table1016[#All],2,FALSE)</f>
        <v>#N/A</v>
      </c>
      <c r="D43" s="115"/>
      <c r="E43" s="125" t="e">
        <f>VLOOKUP(Table257519913140106110151155170178204265[[#This Row],[PEG]],Table1016[#All],3,FALSE)</f>
        <v>#N/A</v>
      </c>
    </row>
    <row r="44" spans="1:5" x14ac:dyDescent="0.35">
      <c r="A44" s="118">
        <v>37</v>
      </c>
      <c r="B44" s="114" t="s">
        <v>13</v>
      </c>
      <c r="C44" s="18" t="s">
        <v>13</v>
      </c>
      <c r="D44" s="115"/>
      <c r="E44" s="32"/>
    </row>
  </sheetData>
  <mergeCells count="1">
    <mergeCell ref="A1:B1"/>
  </mergeCells>
  <conditionalFormatting sqref="B8:B18">
    <cfRule type="containsText" dxfId="439" priority="1" operator="containsText" text="Hear">
      <formula>NOT(ISERROR(SEARCH("Hear",B8)))</formula>
    </cfRule>
  </conditionalFormatting>
  <conditionalFormatting sqref="B30">
    <cfRule type="containsText" dxfId="438" priority="4" operator="containsText" text="Hear">
      <formula>NOT(ISERROR(SEARCH("Hear",B30)))</formula>
    </cfRule>
  </conditionalFormatting>
  <conditionalFormatting sqref="B43:B44">
    <cfRule type="containsText" dxfId="437" priority="8" operator="containsText" text="Hear">
      <formula>NOT(ISERROR(SEARCH("Hear",B43)))</formula>
    </cfRule>
  </conditionalFormatting>
  <conditionalFormatting sqref="E44">
    <cfRule type="containsText" dxfId="436" priority="6" operator="containsText" text="WEB SERVICE">
      <formula>NOT(ISERROR(SEARCH("WEB SERVICE",E44)))</formula>
    </cfRule>
    <cfRule type="containsText" dxfId="435" priority="7" operator="containsText" text="DB">
      <formula>NOT(ISERROR(SEARCH("DB",E44)))</formula>
    </cfRule>
  </conditionalFormatting>
  <conditionalFormatting sqref="C44">
    <cfRule type="expression" dxfId="434" priority="9">
      <formula>$B44="Dial"</formula>
    </cfRule>
  </conditionalFormatting>
  <conditionalFormatting sqref="C44">
    <cfRule type="expression" dxfId="433" priority="3">
      <formula>$B44="Speak"</formula>
    </cfRule>
  </conditionalFormatting>
  <conditionalFormatting sqref="B19:B29 B31:B35 B42">
    <cfRule type="containsText" dxfId="432" priority="5" operator="containsText" text="Hear">
      <formula>NOT(ISERROR(SEARCH("Hear",B19)))</formula>
    </cfRule>
  </conditionalFormatting>
  <hyperlinks>
    <hyperlink ref="A1" location="'Test Case Overview'!A1" display="Return to Test Case Overview" xr:uid="{73DC6616-C608-4A63-9EF0-CA320B2F5B0B}"/>
  </hyperlinks>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expression" priority="2" id="{746D45F8-AD2F-4DF3-A768-C560C826190F}">
            <xm:f>'TC1'!$B8="HANGUP"</xm:f>
            <x14:dxf>
              <font>
                <b/>
                <i val="0"/>
              </font>
            </x14:dxf>
          </x14:cfRule>
          <xm:sqref>C8</xm:sqref>
        </x14:conditionalFormatting>
        <x14:conditionalFormatting xmlns:xm="http://schemas.microsoft.com/office/excel/2006/main">
          <x14:cfRule type="expression" priority="3358" id="{746D45F8-AD2F-4DF3-A768-C560C826190F}">
            <xm:f>'TC1'!$B16="HANGUP"</xm:f>
            <x14:dxf>
              <font>
                <b/>
                <i val="0"/>
              </font>
            </x14:dxf>
          </x14:cfRule>
          <xm:sqref>C34:C43</xm:sqref>
        </x14:conditionalFormatting>
        <x14:conditionalFormatting xmlns:xm="http://schemas.microsoft.com/office/excel/2006/main">
          <x14:cfRule type="expression" priority="3359" id="{746D45F8-AD2F-4DF3-A768-C560C826190F}">
            <xm:f>'TC1'!#REF!="HANGUP"</xm:f>
            <x14:dxf>
              <font>
                <b/>
                <i val="0"/>
              </font>
            </x14:dxf>
          </x14:cfRule>
          <xm:sqref>C17:C33</xm:sqref>
        </x14:conditionalFormatting>
        <x14:conditionalFormatting xmlns:xm="http://schemas.microsoft.com/office/excel/2006/main">
          <x14:cfRule type="expression" priority="5972" id="{746D45F8-AD2F-4DF3-A768-C560C826190F}">
            <xm:f>'TC1'!$B9="HANGUP"</xm:f>
            <x14:dxf>
              <font>
                <b/>
                <i val="0"/>
              </font>
            </x14:dxf>
          </x14:cfRule>
          <xm:sqref>C12:C15</xm:sqref>
        </x14:conditionalFormatting>
        <x14:conditionalFormatting xmlns:xm="http://schemas.microsoft.com/office/excel/2006/main">
          <x14:cfRule type="expression" priority="5973" id="{746D45F8-AD2F-4DF3-A768-C560C826190F}">
            <xm:f>'TC1'!#REF!="HANGUP"</xm:f>
            <x14:dxf>
              <font>
                <b/>
                <i val="0"/>
              </font>
            </x14:dxf>
          </x14:cfRule>
          <xm:sqref>C9:C11</xm:sqref>
        </x14:conditionalFormatting>
        <x14:conditionalFormatting xmlns:xm="http://schemas.microsoft.com/office/excel/2006/main">
          <x14:cfRule type="expression" priority="8142" id="{746D45F8-AD2F-4DF3-A768-C560C826190F}">
            <xm:f>'TC1'!$B15="HANGUP"</xm:f>
            <x14:dxf>
              <font>
                <b/>
                <i val="0"/>
              </font>
            </x14:dxf>
          </x14:cfRule>
          <xm:sqref>C16</xm:sqref>
        </x14:conditionalFormatting>
      </x14:conditionalFormatting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9"/>
  <dimension ref="A1:E46"/>
  <sheetViews>
    <sheetView zoomScaleNormal="100" workbookViewId="0">
      <selection sqref="A1:B1"/>
    </sheetView>
  </sheetViews>
  <sheetFormatPr defaultRowHeight="14.5" x14ac:dyDescent="0.35"/>
  <cols>
    <col min="1" max="1" width="14.453125" style="97" bestFit="1" customWidth="1"/>
    <col min="2" max="2" width="42.6328125" style="97" customWidth="1"/>
    <col min="3" max="3" width="106.1796875" style="98" customWidth="1"/>
    <col min="4" max="4" width="21.81640625" style="111" bestFit="1" customWidth="1"/>
    <col min="5" max="5" width="20.6328125" style="97" customWidth="1"/>
  </cols>
  <sheetData>
    <row r="1" spans="1:5" ht="18.5" x14ac:dyDescent="0.35">
      <c r="A1" s="192" t="s">
        <v>4</v>
      </c>
      <c r="B1" s="192"/>
      <c r="C1" s="105"/>
    </row>
    <row r="2" spans="1:5" x14ac:dyDescent="0.35">
      <c r="A2" s="106" t="s">
        <v>5</v>
      </c>
      <c r="B2" s="107" t="str">
        <f ca="1">MID(CELL("filename",A1),FIND("]",CELL("filename",A1))+1,LEN(CELL("filename",A1))-FIND("]",CELL("filename",A1)))</f>
        <v>TC17</v>
      </c>
    </row>
    <row r="3" spans="1:5" x14ac:dyDescent="0.35">
      <c r="A3" s="104" t="s">
        <v>19</v>
      </c>
      <c r="B3" s="112">
        <f ca="1">VLOOKUP(B2,Table1[#All],2,FALSE)</f>
        <v>0</v>
      </c>
    </row>
    <row r="4" spans="1:5" ht="29" x14ac:dyDescent="0.35">
      <c r="A4" s="113" t="s">
        <v>20</v>
      </c>
      <c r="B4" s="99" t="str">
        <f ca="1">VLOOKUP(B2,Table1[#All],4,FALSE)</f>
        <v>Last Payment, Current Due, Pay in Full, Stored Pmt, SMS No</v>
      </c>
    </row>
    <row r="5" spans="1:5" x14ac:dyDescent="0.35">
      <c r="A5" s="104" t="s">
        <v>6</v>
      </c>
      <c r="B5" s="93" t="str">
        <f ca="1">VLOOKUP(B2,Table1[#All],3,FALSE)</f>
        <v>SMS to ANI- NO</v>
      </c>
    </row>
    <row r="7" spans="1:5" ht="15.5" x14ac:dyDescent="0.35">
      <c r="A7" s="100" t="s">
        <v>7</v>
      </c>
      <c r="B7" s="101" t="s">
        <v>8</v>
      </c>
      <c r="C7" s="102" t="s">
        <v>9</v>
      </c>
      <c r="D7" s="102" t="s">
        <v>14</v>
      </c>
      <c r="E7" s="103" t="s">
        <v>10</v>
      </c>
    </row>
    <row r="8" spans="1:5" x14ac:dyDescent="0.35">
      <c r="A8" s="118">
        <v>1</v>
      </c>
      <c r="B8" s="114" t="s">
        <v>114</v>
      </c>
      <c r="C8" s="127" t="s">
        <v>240</v>
      </c>
      <c r="D8" s="128"/>
      <c r="E8" s="125" t="s">
        <v>11</v>
      </c>
    </row>
    <row r="9" spans="1:5" x14ac:dyDescent="0.35">
      <c r="A9" s="118">
        <v>2</v>
      </c>
      <c r="B9" s="114" t="s">
        <v>115</v>
      </c>
      <c r="C9" s="109" t="str">
        <f>VLOOKUP(Table257552526910134344[[#This Row],[PEG]],Table1016[#All],2,FALSE)</f>
        <v>To get started, tell me your Account Number</v>
      </c>
      <c r="D9" s="141" t="s">
        <v>245</v>
      </c>
      <c r="E9" s="125" t="str">
        <f>VLOOKUP(Table257552526910134344[[#This Row],[PEG]],Table1016[#All],3,FALSE)</f>
        <v>Prompt</v>
      </c>
    </row>
    <row r="10" spans="1:5" x14ac:dyDescent="0.35">
      <c r="A10" s="118">
        <v>3</v>
      </c>
      <c r="B10" s="114" t="s">
        <v>124</v>
      </c>
      <c r="C10" s="109" t="s">
        <v>429</v>
      </c>
      <c r="D10" s="151"/>
      <c r="E10" s="125" t="e">
        <f>VLOOKUP(Table257552526910134344[[#This Row],[PEG]],Table1016[#All],3,FALSE)</f>
        <v>#N/A</v>
      </c>
    </row>
    <row r="11" spans="1:5" ht="174" x14ac:dyDescent="0.35">
      <c r="A11" s="118">
        <v>4</v>
      </c>
      <c r="B11" s="114" t="s">
        <v>12</v>
      </c>
      <c r="C11" s="109" t="str">
        <f>VLOOKUP(Table257552526910134344[[#This Row],[PEG]],Table1016[#All],2,FALSE)</f>
        <v>SAP HANA – SAP01_GetMember
inputs:
idnumber = iIdnumber	T
idtype 	= iIdtype
outputs:
~ Billing Reference
~ Enrollment Details
~ Billing Details
~ Last Payment
~ Recurring Payment Method
~ Stored Payment Method</v>
      </c>
      <c r="D11" s="152" t="s">
        <v>371</v>
      </c>
      <c r="E11" s="125" t="str">
        <f>VLOOKUP(Table257552526910134344[[#This Row],[PEG]],Table1016[#All],3,FALSE)</f>
        <v>DB</v>
      </c>
    </row>
    <row r="12" spans="1:5" x14ac:dyDescent="0.35">
      <c r="A12" s="118">
        <v>5</v>
      </c>
      <c r="B12" s="114" t="s">
        <v>115</v>
      </c>
      <c r="C12" s="109" t="str">
        <f>VLOOKUP(Table257552526910134344[[#This Row],[PEG]],Table1016[#All],2,FALSE)</f>
        <v>Thanks, I found your account!</v>
      </c>
      <c r="D12" s="141" t="s">
        <v>248</v>
      </c>
      <c r="E12" s="125" t="str">
        <f>VLOOKUP(Table257552526910134344[[#This Row],[PEG]],Table1016[#All],3,FALSE)</f>
        <v>Prompt</v>
      </c>
    </row>
    <row r="13" spans="1:5" x14ac:dyDescent="0.35">
      <c r="A13" s="118">
        <v>6</v>
      </c>
      <c r="B13" s="114" t="s">
        <v>115</v>
      </c>
      <c r="C13" s="109" t="str">
        <f>VLOOKUP(Table257552526910134344[[#This Row],[PEG]],Table1016[#All],2,FALSE)</f>
        <v>Your last payment of &lt;SAP01_ivrLastPaymentAmount&gt; was received on &lt;SAP01_ivrLastPaymentDate&gt;</v>
      </c>
      <c r="D13" s="141" t="s">
        <v>257</v>
      </c>
      <c r="E13" s="125" t="str">
        <f>VLOOKUP(Table257552526910134344[[#This Row],[PEG]],Table1016[#All],3,FALSE)</f>
        <v>Prompt</v>
      </c>
    </row>
    <row r="14" spans="1:5" x14ac:dyDescent="0.35">
      <c r="A14" s="118">
        <v>7</v>
      </c>
      <c r="B14" s="114" t="s">
        <v>115</v>
      </c>
      <c r="C14" s="130" t="str">
        <f>VLOOKUP(Table257552526910134344[[#This Row],[PEG]],Table1016[#All],2,FALSE)</f>
        <v>A current balance of &lt;SAP01_CurrentDue&gt; is due by &lt;SAP01_Duedate&gt;.</v>
      </c>
      <c r="D14" s="142" t="s">
        <v>258</v>
      </c>
      <c r="E14" s="125" t="str">
        <f>VLOOKUP(Table257552526910134344[[#This Row],[PEG]],Table1016[#All],3,FALSE)</f>
        <v>Prompt</v>
      </c>
    </row>
    <row r="15" spans="1:5" x14ac:dyDescent="0.35">
      <c r="A15" s="118">
        <v>8</v>
      </c>
      <c r="B15" s="114" t="s">
        <v>115</v>
      </c>
      <c r="C15" s="109" t="str">
        <f>VLOOKUP(Table257552526910134344[[#This Row],[PEG]],Table1016[#All],2,FALSE)</f>
        <v>Would you like to pay this in full today?</v>
      </c>
      <c r="D15" s="142" t="s">
        <v>260</v>
      </c>
      <c r="E15" s="125" t="str">
        <f>VLOOKUP(Table257552526910134344[[#This Row],[PEG]],Table1016[#All],3,FALSE)</f>
        <v>Prompt</v>
      </c>
    </row>
    <row r="16" spans="1:5" x14ac:dyDescent="0.35">
      <c r="A16" s="118">
        <v>9</v>
      </c>
      <c r="B16" s="114" t="s">
        <v>124</v>
      </c>
      <c r="C16" s="127" t="s">
        <v>388</v>
      </c>
      <c r="D16" s="143"/>
      <c r="E16" s="125" t="e">
        <f>VLOOKUP(Table257552526910134344[[#This Row],[PEG]],Table1016[#All],3,FALSE)</f>
        <v>#N/A</v>
      </c>
    </row>
    <row r="17" spans="1:5" x14ac:dyDescent="0.35">
      <c r="A17" s="118">
        <v>10</v>
      </c>
      <c r="B17" s="114" t="s">
        <v>115</v>
      </c>
      <c r="C17" s="109" t="str">
        <f>VLOOKUP(Table257552526910134344[[#This Row],[PEG]],Table1016[#All],2,FALSE)</f>
        <v>Do you want to use the checking account on file ending in &lt;SAP01_ivrStoredPmtLast4Digits&gt;.</v>
      </c>
      <c r="D17" s="143" t="s">
        <v>275</v>
      </c>
      <c r="E17" s="125" t="str">
        <f>VLOOKUP(Table257552526910134344[[#This Row],[PEG]],Table1016[#All],3,FALSE)</f>
        <v>Prompt</v>
      </c>
    </row>
    <row r="18" spans="1:5" x14ac:dyDescent="0.35">
      <c r="A18" s="118">
        <v>11</v>
      </c>
      <c r="B18" s="114" t="s">
        <v>124</v>
      </c>
      <c r="C18" s="109" t="s">
        <v>388</v>
      </c>
      <c r="D18" s="117"/>
      <c r="E18" s="125" t="e">
        <f>VLOOKUP(Table257552526910134344[[#This Row],[PEG]],Table1016[#All],3,FALSE)</f>
        <v>#N/A</v>
      </c>
    </row>
    <row r="19" spans="1:5" ht="29" x14ac:dyDescent="0.35">
      <c r="A19" s="118">
        <v>12</v>
      </c>
      <c r="B19" s="114" t="s">
        <v>115</v>
      </c>
      <c r="C19" s="109" t="str">
        <f>VLOOKUP(Table257552526910134344[[#This Row],[PEG]],Table1016[#All],2,FALSE)</f>
        <v>To confirm, you want to pay &lt;ivrPmtAmt&gt; with the account ending in &lt;SAP01_ivrStoredPmtLast4Digits&gt;
Is that right?</v>
      </c>
      <c r="D19" s="143" t="s">
        <v>391</v>
      </c>
      <c r="E19" s="125">
        <f>VLOOKUP(Table257552526910134344[[#This Row],[PEG]],Table1016[#All],3,FALSE)</f>
        <v>0</v>
      </c>
    </row>
    <row r="20" spans="1:5" x14ac:dyDescent="0.35">
      <c r="A20" s="118">
        <v>13</v>
      </c>
      <c r="B20" s="114" t="s">
        <v>124</v>
      </c>
      <c r="C20" s="109" t="s">
        <v>388</v>
      </c>
      <c r="D20" s="117"/>
      <c r="E20" s="125" t="e">
        <f>VLOOKUP(Table257552526910134344[[#This Row],[PEG]],Table1016[#All],3,FALSE)</f>
        <v>#N/A</v>
      </c>
    </row>
    <row r="21" spans="1:5" ht="188.5" x14ac:dyDescent="0.35">
      <c r="A21" s="118">
        <v>14</v>
      </c>
      <c r="B21" s="114" t="s">
        <v>12</v>
      </c>
      <c r="C21" s="109" t="str">
        <f>VLOOKUP(Table257552526910134344[[#This Row],[PEG]],Table1016[#All],2,FALSE)</f>
        <v xml:space="preserve">SAP HANA - SAP02_EFTPaymentNotification
inputs: 
Businesspartner = SAP01_Partner 
Insobject = SAP01_Insobject 
BankKey = ivrBankKey 
BankAcct = ivrBankAcct 
Accountholder = ivrAccountHolder 
BankAccountType = ivrBankAccountType 
RecurringBank = ivrRecurringBank  
StoredBank = ivrPmtMethodStored 
PaymentAmount = ivrPmtAmt 
outputs: 
SAP02_ConfirmationNum Payment Confirmation Number (i.e. 300000000105) </v>
      </c>
      <c r="D21" s="117" t="s">
        <v>373</v>
      </c>
      <c r="E21" s="125" t="str">
        <f>VLOOKUP(Table257552526910134344[[#This Row],[PEG]],Table1016[#All],3,FALSE)</f>
        <v>DB</v>
      </c>
    </row>
    <row r="22" spans="1:5" ht="29" x14ac:dyDescent="0.35">
      <c r="A22" s="118">
        <v>15</v>
      </c>
      <c r="B22" s="114" t="s">
        <v>115</v>
      </c>
      <c r="C22" s="109" t="str">
        <f>VLOOKUP(Table257552526910134344[[#This Row],[PEG]],Table1016[#All],2,FALSE)</f>
        <v>Today's payment in the amount of &lt;ivrPmtAmt&gt;, has been processed.  Your confirmation number is &lt;ivrConfirmationNum&gt;. Again, that confirmation number is &lt;ivrConfirmationNum&gt;.</v>
      </c>
      <c r="D22" s="117" t="s">
        <v>340</v>
      </c>
      <c r="E22" s="125" t="str">
        <f>VLOOKUP(Table257552526910134344[[#This Row],[PEG]],Table1016[#All],3,FALSE)</f>
        <v>Prompt</v>
      </c>
    </row>
    <row r="23" spans="1:5" x14ac:dyDescent="0.35">
      <c r="A23" s="118">
        <v>16</v>
      </c>
      <c r="B23" s="114" t="s">
        <v>115</v>
      </c>
      <c r="C23" s="109" t="str">
        <f>VLOOKUP(Table257552526910134344[[#This Row],[PEG]],Table1016[#All],2,FALSE)</f>
        <v>Would you like me to text the confirmation to the phone number ending in &lt;Last 4 ANI digits&gt;?</v>
      </c>
      <c r="D23" s="117" t="s">
        <v>344</v>
      </c>
      <c r="E23" s="125" t="str">
        <f>VLOOKUP(Table257552526910134344[[#This Row],[PEG]],Table1016[#All],3,FALSE)</f>
        <v>Prompt</v>
      </c>
    </row>
    <row r="24" spans="1:5" x14ac:dyDescent="0.35">
      <c r="A24" s="118">
        <v>17</v>
      </c>
      <c r="B24" s="114" t="s">
        <v>124</v>
      </c>
      <c r="C24" s="109" t="s">
        <v>415</v>
      </c>
      <c r="D24" s="117"/>
      <c r="E24" s="125" t="e">
        <f>VLOOKUP(Table257552526910134344[[#This Row],[PEG]],Table1016[#All],3,FALSE)</f>
        <v>#N/A</v>
      </c>
    </row>
    <row r="25" spans="1:5" s="97" customFormat="1" x14ac:dyDescent="0.35">
      <c r="A25" s="118">
        <v>18</v>
      </c>
      <c r="B25" s="114" t="s">
        <v>115</v>
      </c>
      <c r="C25" s="130" t="str">
        <f>VLOOKUP(Table257552526910134344[[#This Row],[PEG]],Table1016[#All],2,FALSE)</f>
        <v>Would you like to use a different phone number?</v>
      </c>
      <c r="D25" s="117" t="s">
        <v>347</v>
      </c>
      <c r="E25" s="125"/>
    </row>
    <row r="26" spans="1:5" s="97" customFormat="1" x14ac:dyDescent="0.35">
      <c r="A26" s="118">
        <v>19</v>
      </c>
      <c r="B26" s="114" t="s">
        <v>124</v>
      </c>
      <c r="C26" s="109" t="s">
        <v>415</v>
      </c>
      <c r="D26" s="117"/>
      <c r="E26" s="125"/>
    </row>
    <row r="27" spans="1:5" ht="29" x14ac:dyDescent="0.35">
      <c r="A27" s="118">
        <v>20</v>
      </c>
      <c r="B27" s="114" t="s">
        <v>115</v>
      </c>
      <c r="C27" s="130" t="str">
        <f>VLOOKUP(Table257552526910134344[[#This Row],[PEG]],Table1016[#All],2,FALSE)</f>
        <v>Thank you for your payment today.  For future transactions, you can access your plan details or manage your account anytime online at members.lacare.com.</v>
      </c>
      <c r="D27" s="117" t="s">
        <v>364</v>
      </c>
      <c r="E27" s="125" t="str">
        <f>VLOOKUP(Table257552526910134344[[#This Row],[PEG]],Table1016[#All],3,FALSE)</f>
        <v>Prompt</v>
      </c>
    </row>
    <row r="28" spans="1:5" x14ac:dyDescent="0.35">
      <c r="A28" s="118">
        <v>21</v>
      </c>
      <c r="B28" s="114" t="s">
        <v>13</v>
      </c>
      <c r="C28" s="130" t="s">
        <v>13</v>
      </c>
      <c r="D28" s="117"/>
      <c r="E28" s="125" t="e">
        <f>VLOOKUP(Table257552526910134344[[#This Row],[PEG]],Table1016[#All],3,FALSE)</f>
        <v>#N/A</v>
      </c>
    </row>
    <row r="29" spans="1:5" x14ac:dyDescent="0.35">
      <c r="C29" s="26"/>
      <c r="D29" s="111" t="s">
        <v>0</v>
      </c>
    </row>
    <row r="30" spans="1:5" x14ac:dyDescent="0.35">
      <c r="C30" s="26"/>
    </row>
    <row r="31" spans="1:5" x14ac:dyDescent="0.35">
      <c r="C31" s="26"/>
    </row>
    <row r="32" spans="1:5" x14ac:dyDescent="0.35">
      <c r="C32" s="26"/>
    </row>
    <row r="33" spans="3:3" x14ac:dyDescent="0.35">
      <c r="C33" s="26"/>
    </row>
    <row r="34" spans="3:3" x14ac:dyDescent="0.35">
      <c r="C34" s="26"/>
    </row>
    <row r="35" spans="3:3" x14ac:dyDescent="0.35">
      <c r="C35" s="26"/>
    </row>
    <row r="36" spans="3:3" x14ac:dyDescent="0.35">
      <c r="C36" s="26"/>
    </row>
    <row r="37" spans="3:3" x14ac:dyDescent="0.35">
      <c r="C37" s="26"/>
    </row>
    <row r="38" spans="3:3" x14ac:dyDescent="0.35">
      <c r="C38" s="26"/>
    </row>
    <row r="39" spans="3:3" x14ac:dyDescent="0.35">
      <c r="C39" s="26"/>
    </row>
    <row r="40" spans="3:3" x14ac:dyDescent="0.35">
      <c r="C40" s="26"/>
    </row>
    <row r="41" spans="3:3" x14ac:dyDescent="0.35">
      <c r="C41" s="26"/>
    </row>
    <row r="42" spans="3:3" x14ac:dyDescent="0.35">
      <c r="C42" s="26"/>
    </row>
    <row r="43" spans="3:3" x14ac:dyDescent="0.35">
      <c r="C43" s="26"/>
    </row>
    <row r="44" spans="3:3" x14ac:dyDescent="0.35">
      <c r="C44" s="27"/>
    </row>
    <row r="45" spans="3:3" x14ac:dyDescent="0.35">
      <c r="C45" s="27"/>
    </row>
    <row r="46" spans="3:3" x14ac:dyDescent="0.35">
      <c r="C46" s="27"/>
    </row>
  </sheetData>
  <mergeCells count="1">
    <mergeCell ref="A1:B1"/>
  </mergeCells>
  <conditionalFormatting sqref="C29:C9985 C9:C13">
    <cfRule type="expression" dxfId="5613" priority="36">
      <formula>$B9="Dial"</formula>
    </cfRule>
    <cfRule type="expression" dxfId="5612" priority="38">
      <formula>$B9="HANGUP"</formula>
    </cfRule>
  </conditionalFormatting>
  <conditionalFormatting sqref="C16">
    <cfRule type="expression" dxfId="5611" priority="10">
      <formula>$B16="Dial"</formula>
    </cfRule>
    <cfRule type="expression" dxfId="5610" priority="11">
      <formula>$B16="HANGUP"</formula>
    </cfRule>
  </conditionalFormatting>
  <conditionalFormatting sqref="B8:B28">
    <cfRule type="containsText" dxfId="5609" priority="14" operator="containsText" text="Hear">
      <formula>NOT(ISERROR(SEARCH("Hear",B8)))</formula>
    </cfRule>
  </conditionalFormatting>
  <conditionalFormatting sqref="C15 C17:C24">
    <cfRule type="expression" dxfId="5608" priority="15">
      <formula>$B15="Dial"</formula>
    </cfRule>
    <cfRule type="expression" dxfId="5607" priority="17">
      <formula>$B15="HANGUP"</formula>
    </cfRule>
  </conditionalFormatting>
  <conditionalFormatting sqref="C15 C17:C24 C9:C13">
    <cfRule type="expression" dxfId="5606" priority="16">
      <formula>$B9="Speak"</formula>
    </cfRule>
  </conditionalFormatting>
  <conditionalFormatting sqref="C14 C27">
    <cfRule type="expression" dxfId="5605" priority="12">
      <formula>$B14="Dial"</formula>
    </cfRule>
    <cfRule type="expression" dxfId="5604" priority="13">
      <formula>$B14="HANGUP"</formula>
    </cfRule>
  </conditionalFormatting>
  <conditionalFormatting sqref="C8">
    <cfRule type="expression" dxfId="5603" priority="8">
      <formula>$B8="Dial"</formula>
    </cfRule>
    <cfRule type="expression" dxfId="5602" priority="9">
      <formula>$B8="HANGUP"</formula>
    </cfRule>
  </conditionalFormatting>
  <conditionalFormatting sqref="C28">
    <cfRule type="expression" dxfId="5601" priority="6">
      <formula>$B28="Dial"</formula>
    </cfRule>
    <cfRule type="expression" dxfId="5600" priority="7">
      <formula>$B28="HANGUP"</formula>
    </cfRule>
  </conditionalFormatting>
  <conditionalFormatting sqref="C25">
    <cfRule type="expression" dxfId="5593" priority="4">
      <formula>$B25="Dial"</formula>
    </cfRule>
    <cfRule type="expression" dxfId="5592" priority="5">
      <formula>$B25="HANGUP"</formula>
    </cfRule>
  </conditionalFormatting>
  <conditionalFormatting sqref="C26">
    <cfRule type="expression" dxfId="5591" priority="1">
      <formula>$B26="Dial"</formula>
    </cfRule>
    <cfRule type="expression" dxfId="5590" priority="3">
      <formula>$B26="HANGUP"</formula>
    </cfRule>
  </conditionalFormatting>
  <conditionalFormatting sqref="C26">
    <cfRule type="expression" dxfId="5589" priority="2">
      <formula>$B26="Speak"</formula>
    </cfRule>
  </conditionalFormatting>
  <hyperlinks>
    <hyperlink ref="A1" location="'Test Case Overview'!A1" display="Return to Test Case Overview" xr:uid="{00000000-0004-0000-1100-000000000000}"/>
  </hyperlinks>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containsText" priority="767" operator="containsText" text="WEB SERVICE" id="{4217374C-4524-46D9-9E61-78FEC2A043B3}">
            <xm:f>NOT(ISERROR(SEARCH("WEB SERVICE",'TC1'!#REF!)))</xm:f>
            <x14:dxf>
              <font>
                <color rgb="FF9C0006"/>
              </font>
              <fill>
                <patternFill>
                  <bgColor rgb="FFFFC7CE"/>
                </patternFill>
              </fill>
            </x14:dxf>
          </x14:cfRule>
          <x14:cfRule type="containsText" priority="768" operator="containsText" text="DB" id="{6FBBB9E4-9AD9-4515-8F71-973CDBD96ABB}">
            <xm:f>NOT(ISERROR(SEARCH("DB",'TC1'!#REF!)))</xm:f>
            <x14:dxf>
              <font>
                <color rgb="FF006100"/>
              </font>
              <fill>
                <patternFill>
                  <bgColor rgb="FFC6EFCE"/>
                </patternFill>
              </fill>
            </x14:dxf>
          </x14:cfRule>
          <xm:sqref>E14:E28</xm:sqref>
        </x14:conditionalFormatting>
        <x14:conditionalFormatting xmlns:xm="http://schemas.microsoft.com/office/excel/2006/main">
          <x14:cfRule type="containsText" priority="3624" operator="containsText" text="WEB SERVICE" id="{4217374C-4524-46D9-9E61-78FEC2A043B3}">
            <xm:f>NOT(ISERROR(SEARCH("WEB SERVICE",'TC1'!E9)))</xm:f>
            <x14:dxf>
              <font>
                <color rgb="FF9C0006"/>
              </font>
              <fill>
                <patternFill>
                  <bgColor rgb="FFFFC7CE"/>
                </patternFill>
              </fill>
            </x14:dxf>
          </x14:cfRule>
          <x14:cfRule type="containsText" priority="3625" operator="containsText" text="DB" id="{6FBBB9E4-9AD9-4515-8F71-973CDBD96ABB}">
            <xm:f>NOT(ISERROR(SEARCH("DB",'TC1'!E9)))</xm:f>
            <x14:dxf>
              <font>
                <color rgb="FF006100"/>
              </font>
              <fill>
                <patternFill>
                  <bgColor rgb="FFC6EFCE"/>
                </patternFill>
              </fill>
            </x14:dxf>
          </x14:cfRule>
          <xm:sqref>E9:E12</xm:sqref>
        </x14:conditionalFormatting>
        <x14:conditionalFormatting xmlns:xm="http://schemas.microsoft.com/office/excel/2006/main">
          <x14:cfRule type="containsText" priority="6194" operator="containsText" text="WEB SERVICE" id="{4217374C-4524-46D9-9E61-78FEC2A043B3}">
            <xm:f>NOT(ISERROR(SEARCH("WEB SERVICE",'TC1'!E15)))</xm:f>
            <x14:dxf>
              <font>
                <color rgb="FF9C0006"/>
              </font>
              <fill>
                <patternFill>
                  <bgColor rgb="FFFFC7CE"/>
                </patternFill>
              </fill>
            </x14:dxf>
          </x14:cfRule>
          <x14:cfRule type="containsText" priority="6195" operator="containsText" text="DB" id="{6FBBB9E4-9AD9-4515-8F71-973CDBD96ABB}">
            <xm:f>NOT(ISERROR(SEARCH("DB",'TC1'!E15)))</xm:f>
            <x14:dxf>
              <font>
                <color rgb="FF006100"/>
              </font>
              <fill>
                <patternFill>
                  <bgColor rgb="FFC6EFCE"/>
                </patternFill>
              </fill>
            </x14:dxf>
          </x14:cfRule>
          <xm:sqref>E13</xm:sqref>
        </x14:conditionalFormatting>
      </x14:conditionalFormattings>
    </ext>
  </extLst>
</worksheet>
</file>

<file path=xl/worksheets/sheet1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B300-000000000000}">
  <sheetPr codeName="Sheet181"/>
  <dimension ref="A1:E44"/>
  <sheetViews>
    <sheetView zoomScaleNormal="100" workbookViewId="0">
      <selection sqref="A1:E44"/>
    </sheetView>
  </sheetViews>
  <sheetFormatPr defaultRowHeight="14.5" x14ac:dyDescent="0.35"/>
  <cols>
    <col min="1" max="1" width="14.453125" bestFit="1" customWidth="1"/>
    <col min="2" max="2" width="42.6328125" customWidth="1"/>
    <col min="3" max="3" width="106.1796875" customWidth="1"/>
    <col min="4" max="4" width="21.81640625" bestFit="1" customWidth="1"/>
    <col min="5" max="5" width="20.6328125" customWidth="1"/>
  </cols>
  <sheetData>
    <row r="1" spans="1:5" ht="18.5" x14ac:dyDescent="0.35">
      <c r="A1" s="192" t="s">
        <v>4</v>
      </c>
      <c r="B1" s="192"/>
      <c r="C1" s="105"/>
      <c r="D1" s="111"/>
      <c r="E1" s="97"/>
    </row>
    <row r="2" spans="1:5" x14ac:dyDescent="0.35">
      <c r="A2" s="106" t="s">
        <v>5</v>
      </c>
      <c r="B2" s="107" t="str">
        <f ca="1">MID(CELL("filename",A1),FIND("]",CELL("filename",A1))+1,LEN(CELL("filename",A1))-FIND("]",CELL("filename",A1)))</f>
        <v>TC179</v>
      </c>
      <c r="C2" s="98"/>
      <c r="D2" s="111"/>
      <c r="E2" s="97"/>
    </row>
    <row r="3" spans="1:5" x14ac:dyDescent="0.35">
      <c r="A3" s="104" t="s">
        <v>19</v>
      </c>
      <c r="B3" s="112" t="e">
        <f ca="1">VLOOKUP(B2,Table53[#All],2,FALSE)</f>
        <v>#N/A</v>
      </c>
      <c r="C3" s="98"/>
      <c r="D3" s="111"/>
      <c r="E3" s="97"/>
    </row>
    <row r="4" spans="1:5" ht="29" x14ac:dyDescent="0.35">
      <c r="A4" s="113" t="s">
        <v>20</v>
      </c>
      <c r="B4" s="99" t="e">
        <f ca="1">VLOOKUP(B2,Table53[#All],4,FALSE)</f>
        <v>#N/A</v>
      </c>
      <c r="C4" s="98"/>
      <c r="D4" s="111"/>
      <c r="E4" s="97"/>
    </row>
    <row r="5" spans="1:5" x14ac:dyDescent="0.35">
      <c r="A5" s="104" t="s">
        <v>6</v>
      </c>
      <c r="B5" s="77" t="e">
        <f ca="1">VLOOKUP(B2,Table53[#All],3,FALSE)</f>
        <v>#N/A</v>
      </c>
      <c r="C5" s="98"/>
      <c r="D5" s="111"/>
      <c r="E5" s="97"/>
    </row>
    <row r="6" spans="1:5" x14ac:dyDescent="0.35">
      <c r="A6" s="97"/>
      <c r="B6" s="97"/>
      <c r="C6" s="98"/>
      <c r="D6" s="111"/>
      <c r="E6" s="97"/>
    </row>
    <row r="7" spans="1:5" ht="15.5" x14ac:dyDescent="0.35">
      <c r="A7" s="100" t="s">
        <v>7</v>
      </c>
      <c r="B7" s="101" t="s">
        <v>8</v>
      </c>
      <c r="C7" s="102" t="s">
        <v>9</v>
      </c>
      <c r="D7" s="102" t="s">
        <v>14</v>
      </c>
      <c r="E7" s="103" t="s">
        <v>10</v>
      </c>
    </row>
    <row r="8" spans="1:5" x14ac:dyDescent="0.35">
      <c r="A8" s="118">
        <v>1</v>
      </c>
      <c r="B8" s="114" t="s">
        <v>114</v>
      </c>
      <c r="C8" s="109" t="s">
        <v>125</v>
      </c>
      <c r="D8" s="128"/>
      <c r="E8" s="125" t="s">
        <v>11</v>
      </c>
    </row>
    <row r="9" spans="1:5" x14ac:dyDescent="0.35">
      <c r="A9" s="118">
        <v>2</v>
      </c>
      <c r="B9" s="114" t="s">
        <v>12</v>
      </c>
      <c r="C9" s="109" t="e">
        <f>VLOOKUP(Table257519913140106110151155170178204267[[#This Row],[PEG]],Table1016[#All],2,FALSE)</f>
        <v>#N/A</v>
      </c>
      <c r="D9" s="128"/>
      <c r="E9" s="125" t="e">
        <f>VLOOKUP(Table257519913140106110151155170178204267[[#This Row],[PEG]],Table1016[#All],3,FALSE)</f>
        <v>#N/A</v>
      </c>
    </row>
    <row r="10" spans="1:5" x14ac:dyDescent="0.35">
      <c r="A10" s="118">
        <v>3</v>
      </c>
      <c r="B10" s="114" t="s">
        <v>115</v>
      </c>
      <c r="C10" s="109" t="e">
        <f>VLOOKUP(Table257519913140106110151155170178204267[[#This Row],[PEG]],Table1016[#All],2,FALSE)</f>
        <v>#N/A</v>
      </c>
      <c r="D10" s="128"/>
      <c r="E10" s="125" t="e">
        <f>VLOOKUP(Table257519913140106110151155170178204267[[#This Row],[PEG]],Table1016[#All],3,FALSE)</f>
        <v>#N/A</v>
      </c>
    </row>
    <row r="11" spans="1:5" x14ac:dyDescent="0.35">
      <c r="A11" s="118">
        <v>4</v>
      </c>
      <c r="B11" s="114" t="s">
        <v>115</v>
      </c>
      <c r="C11" s="109" t="e">
        <f>VLOOKUP(Table257519913140106110151155170178204267[[#This Row],[PEG]],Table1016[#All],2,FALSE)</f>
        <v>#N/A</v>
      </c>
      <c r="D11" s="128"/>
      <c r="E11" s="125" t="e">
        <f>VLOOKUP(Table257519913140106110151155170178204267[[#This Row],[PEG]],Table1016[#All],3,FALSE)</f>
        <v>#N/A</v>
      </c>
    </row>
    <row r="12" spans="1:5" x14ac:dyDescent="0.35">
      <c r="A12" s="118">
        <v>5</v>
      </c>
      <c r="B12" s="114" t="s">
        <v>114</v>
      </c>
      <c r="C12" s="109" t="e">
        <f>VLOOKUP(Table257519913140106110151155170178204267[[#This Row],[PEG]],Table1016[#All],2,FALSE)</f>
        <v>#N/A</v>
      </c>
      <c r="D12" s="128"/>
      <c r="E12" s="125" t="e">
        <f>VLOOKUP(Table257519913140106110151155170178204267[[#This Row],[PEG]],Table1016[#All],3,FALSE)</f>
        <v>#N/A</v>
      </c>
    </row>
    <row r="13" spans="1:5" x14ac:dyDescent="0.35">
      <c r="A13" s="118">
        <v>6</v>
      </c>
      <c r="B13" s="114" t="s">
        <v>115</v>
      </c>
      <c r="C13" s="109" t="e">
        <f>VLOOKUP(Table257519913140106110151155170178204267[[#This Row],[PEG]],Table1016[#All],2,FALSE)</f>
        <v>#N/A</v>
      </c>
      <c r="D13" s="128"/>
      <c r="E13" s="125" t="e">
        <f>VLOOKUP(Table257519913140106110151155170178204267[[#This Row],[PEG]],Table1016[#All],3,FALSE)</f>
        <v>#N/A</v>
      </c>
    </row>
    <row r="14" spans="1:5" x14ac:dyDescent="0.35">
      <c r="A14" s="118">
        <v>7</v>
      </c>
      <c r="B14" s="114" t="s">
        <v>114</v>
      </c>
      <c r="C14" s="109" t="e">
        <f>VLOOKUP(Table257519913140106110151155170178204267[[#This Row],[PEG]],Table1016[#All],2,FALSE)</f>
        <v>#N/A</v>
      </c>
      <c r="D14" s="128"/>
      <c r="E14" s="125" t="e">
        <f>VLOOKUP(Table257519913140106110151155170178204267[[#This Row],[PEG]],Table1016[#All],3,FALSE)</f>
        <v>#N/A</v>
      </c>
    </row>
    <row r="15" spans="1:5" x14ac:dyDescent="0.35">
      <c r="A15" s="118">
        <v>8</v>
      </c>
      <c r="B15" s="114" t="s">
        <v>115</v>
      </c>
      <c r="C15" s="109" t="e">
        <f>VLOOKUP(Table257519913140106110151155170178204267[[#This Row],[PEG]],Table1016[#All],2,FALSE)</f>
        <v>#N/A</v>
      </c>
      <c r="D15" s="116"/>
      <c r="E15" s="125" t="e">
        <f>VLOOKUP(Table257519913140106110151155170178204267[[#This Row],[PEG]],Table1016[#All],3,FALSE)</f>
        <v>#N/A</v>
      </c>
    </row>
    <row r="16" spans="1:5" x14ac:dyDescent="0.35">
      <c r="A16" s="118">
        <v>9</v>
      </c>
      <c r="B16" s="114" t="s">
        <v>12</v>
      </c>
      <c r="C16" s="109" t="e">
        <f>VLOOKUP(Table257519913140106110151155170178204267[[#This Row],[PEG]],Table1016[#All],2,FALSE)</f>
        <v>#N/A</v>
      </c>
      <c r="D16" s="116"/>
      <c r="E16" s="125" t="e">
        <f>VLOOKUP(Table257519913140106110151155170178204267[[#This Row],[PEG]],Table1016[#All],3,FALSE)</f>
        <v>#N/A</v>
      </c>
    </row>
    <row r="17" spans="1:5" x14ac:dyDescent="0.35">
      <c r="A17" s="118">
        <v>10</v>
      </c>
      <c r="B17" s="114" t="s">
        <v>12</v>
      </c>
      <c r="C17" s="109" t="e">
        <f>VLOOKUP(Table257519913140106110151155170178204267[[#This Row],[PEG]],Table1016[#All],2,FALSE)</f>
        <v>#N/A</v>
      </c>
      <c r="D17" s="117"/>
      <c r="E17" s="125" t="e">
        <f>VLOOKUP(Table257519913140106110151155170178204267[[#This Row],[PEG]],Table1016[#All],3,FALSE)</f>
        <v>#N/A</v>
      </c>
    </row>
    <row r="18" spans="1:5" x14ac:dyDescent="0.35">
      <c r="A18" s="118">
        <v>11</v>
      </c>
      <c r="B18" s="114" t="s">
        <v>115</v>
      </c>
      <c r="C18" s="109" t="e">
        <f>VLOOKUP(Table257519913140106110151155170178204267[[#This Row],[PEG]],Table1016[#All],2,FALSE)</f>
        <v>#N/A</v>
      </c>
      <c r="D18" s="117"/>
      <c r="E18" s="125" t="e">
        <f>VLOOKUP(Table257519913140106110151155170178204267[[#This Row],[PEG]],Table1016[#All],3,FALSE)</f>
        <v>#N/A</v>
      </c>
    </row>
    <row r="19" spans="1:5" x14ac:dyDescent="0.35">
      <c r="A19" s="118">
        <v>12</v>
      </c>
      <c r="B19" s="114" t="s">
        <v>115</v>
      </c>
      <c r="C19" s="109" t="e">
        <f>VLOOKUP(Table257519913140106110151155170178204267[[#This Row],[PEG]],Table1016[#All],2,FALSE)</f>
        <v>#N/A</v>
      </c>
      <c r="D19" s="117"/>
      <c r="E19" s="125" t="e">
        <f>VLOOKUP(Table257519913140106110151155170178204267[[#This Row],[PEG]],Table1016[#All],3,FALSE)</f>
        <v>#N/A</v>
      </c>
    </row>
    <row r="20" spans="1:5" x14ac:dyDescent="0.35">
      <c r="A20" s="118">
        <v>13</v>
      </c>
      <c r="B20" s="114" t="s">
        <v>114</v>
      </c>
      <c r="C20" s="109" t="e">
        <f>VLOOKUP(Table257519913140106110151155170178204267[[#This Row],[PEG]],Table1016[#All],2,FALSE)</f>
        <v>#N/A</v>
      </c>
      <c r="D20" s="117"/>
      <c r="E20" s="125" t="e">
        <f>VLOOKUP(Table257519913140106110151155170178204267[[#This Row],[PEG]],Table1016[#All],3,FALSE)</f>
        <v>#N/A</v>
      </c>
    </row>
    <row r="21" spans="1:5" x14ac:dyDescent="0.35">
      <c r="A21" s="118">
        <v>14</v>
      </c>
      <c r="B21" s="114" t="s">
        <v>12</v>
      </c>
      <c r="C21" s="109" t="e">
        <f>VLOOKUP(Table257519913140106110151155170178204267[[#This Row],[PEG]],Table1016[#All],2,FALSE)</f>
        <v>#N/A</v>
      </c>
      <c r="D21" s="117"/>
      <c r="E21" s="125" t="e">
        <f>VLOOKUP(Table257519913140106110151155170178204267[[#This Row],[PEG]],Table1016[#All],3,FALSE)</f>
        <v>#N/A</v>
      </c>
    </row>
    <row r="22" spans="1:5" x14ac:dyDescent="0.35">
      <c r="A22" s="118">
        <v>15</v>
      </c>
      <c r="B22" s="114" t="s">
        <v>12</v>
      </c>
      <c r="C22" s="109" t="e">
        <f>VLOOKUP(Table257519913140106110151155170178204267[[#This Row],[PEG]],Table1016[#All],2,FALSE)</f>
        <v>#N/A</v>
      </c>
      <c r="D22" s="117"/>
      <c r="E22" s="125" t="e">
        <f>VLOOKUP(Table257519913140106110151155170178204267[[#This Row],[PEG]],Table1016[#All],3,FALSE)</f>
        <v>#N/A</v>
      </c>
    </row>
    <row r="23" spans="1:5" x14ac:dyDescent="0.35">
      <c r="A23" s="118">
        <v>16</v>
      </c>
      <c r="B23" s="114" t="s">
        <v>115</v>
      </c>
      <c r="C23" s="109" t="e">
        <f>VLOOKUP(Table257519913140106110151155170178204267[[#This Row],[PEG]],Table1016[#All],2,FALSE)</f>
        <v>#N/A</v>
      </c>
      <c r="D23" s="117"/>
      <c r="E23" s="125" t="e">
        <f>VLOOKUP(Table257519913140106110151155170178204267[[#This Row],[PEG]],Table1016[#All],3,FALSE)</f>
        <v>#N/A</v>
      </c>
    </row>
    <row r="24" spans="1:5" x14ac:dyDescent="0.35">
      <c r="A24" s="118">
        <v>17</v>
      </c>
      <c r="B24" s="114" t="s">
        <v>114</v>
      </c>
      <c r="C24" s="109" t="e">
        <f>VLOOKUP(Table257519913140106110151155170178204267[[#This Row],[PEG]],Table1016[#All],2,FALSE)</f>
        <v>#N/A</v>
      </c>
      <c r="D24" s="117"/>
      <c r="E24" s="125" t="e">
        <f>VLOOKUP(Table257519913140106110151155170178204267[[#This Row],[PEG]],Table1016[#All],3,FALSE)</f>
        <v>#N/A</v>
      </c>
    </row>
    <row r="25" spans="1:5" x14ac:dyDescent="0.35">
      <c r="A25" s="118">
        <v>18</v>
      </c>
      <c r="B25" s="114" t="s">
        <v>12</v>
      </c>
      <c r="C25" s="109" t="e">
        <f>VLOOKUP(Table257519913140106110151155170178204267[[#This Row],[PEG]],Table1016[#All],2,FALSE)</f>
        <v>#N/A</v>
      </c>
      <c r="D25" s="117"/>
      <c r="E25" s="125" t="e">
        <f>VLOOKUP(Table257519913140106110151155170178204267[[#This Row],[PEG]],Table1016[#All],3,FALSE)</f>
        <v>#N/A</v>
      </c>
    </row>
    <row r="26" spans="1:5" x14ac:dyDescent="0.35">
      <c r="A26" s="118">
        <v>19</v>
      </c>
      <c r="B26" s="114" t="s">
        <v>12</v>
      </c>
      <c r="C26" s="109" t="e">
        <f>VLOOKUP(Table257519913140106110151155170178204267[[#This Row],[PEG]],Table1016[#All],2,FALSE)</f>
        <v>#N/A</v>
      </c>
      <c r="D26" s="117"/>
      <c r="E26" s="125" t="e">
        <f>VLOOKUP(Table257519913140106110151155170178204267[[#This Row],[PEG]],Table1016[#All],3,FALSE)</f>
        <v>#N/A</v>
      </c>
    </row>
    <row r="27" spans="1:5" x14ac:dyDescent="0.35">
      <c r="A27" s="118">
        <v>20</v>
      </c>
      <c r="B27" s="114" t="s">
        <v>115</v>
      </c>
      <c r="C27" s="109" t="e">
        <f>VLOOKUP(Table257519913140106110151155170178204267[[#This Row],[PEG]],Table1016[#All],2,FALSE)</f>
        <v>#N/A</v>
      </c>
      <c r="D27" s="117"/>
      <c r="E27" s="125" t="e">
        <f>VLOOKUP(Table257519913140106110151155170178204267[[#This Row],[PEG]],Table1016[#All],3,FALSE)</f>
        <v>#N/A</v>
      </c>
    </row>
    <row r="28" spans="1:5" x14ac:dyDescent="0.35">
      <c r="A28" s="118">
        <v>21</v>
      </c>
      <c r="B28" s="114" t="s">
        <v>114</v>
      </c>
      <c r="C28" s="109" t="e">
        <f>VLOOKUP(Table257519913140106110151155170178204267[[#This Row],[PEG]],Table1016[#All],2,FALSE)</f>
        <v>#N/A</v>
      </c>
      <c r="D28" s="117"/>
      <c r="E28" s="125" t="e">
        <f>VLOOKUP(Table257519913140106110151155170178204267[[#This Row],[PEG]],Table1016[#All],3,FALSE)</f>
        <v>#N/A</v>
      </c>
    </row>
    <row r="29" spans="1:5" x14ac:dyDescent="0.35">
      <c r="A29" s="118">
        <v>22</v>
      </c>
      <c r="B29" s="114" t="s">
        <v>12</v>
      </c>
      <c r="C29" s="109" t="e">
        <f>VLOOKUP(Table257519913140106110151155170178204267[[#This Row],[PEG]],Table1016[#All],2,FALSE)</f>
        <v>#N/A</v>
      </c>
      <c r="D29" s="117"/>
      <c r="E29" s="125" t="e">
        <f>VLOOKUP(Table257519913140106110151155170178204267[[#This Row],[PEG]],Table1016[#All],3,FALSE)</f>
        <v>#N/A</v>
      </c>
    </row>
    <row r="30" spans="1:5" x14ac:dyDescent="0.35">
      <c r="A30" s="118">
        <v>23</v>
      </c>
      <c r="B30" s="114" t="s">
        <v>12</v>
      </c>
      <c r="C30" s="109" t="e">
        <f>VLOOKUP(Table257519913140106110151155170178204267[[#This Row],[PEG]],Table1016[#All],2,FALSE)</f>
        <v>#N/A</v>
      </c>
      <c r="D30" s="117"/>
      <c r="E30" s="125" t="e">
        <f>VLOOKUP(Table257519913140106110151155170178204267[[#This Row],[PEG]],Table1016[#All],3,FALSE)</f>
        <v>#N/A</v>
      </c>
    </row>
    <row r="31" spans="1:5" x14ac:dyDescent="0.35">
      <c r="A31" s="118">
        <v>24</v>
      </c>
      <c r="B31" s="114" t="s">
        <v>115</v>
      </c>
      <c r="C31" s="109" t="e">
        <f>VLOOKUP(Table257519913140106110151155170178204267[[#This Row],[PEG]],Table1016[#All],2,FALSE)</f>
        <v>#N/A</v>
      </c>
      <c r="D31" s="117"/>
      <c r="E31" s="125" t="e">
        <f>VLOOKUP(Table257519913140106110151155170178204267[[#This Row],[PEG]],Table1016[#All],3,FALSE)</f>
        <v>#N/A</v>
      </c>
    </row>
    <row r="32" spans="1:5" x14ac:dyDescent="0.35">
      <c r="A32" s="118">
        <v>25</v>
      </c>
      <c r="B32" s="114" t="s">
        <v>115</v>
      </c>
      <c r="C32" s="109" t="e">
        <f>VLOOKUP(Table257519913140106110151155170178204267[[#This Row],[PEG]],Table1016[#All],2,FALSE)</f>
        <v>#N/A</v>
      </c>
      <c r="D32" s="117"/>
      <c r="E32" s="125" t="e">
        <f>VLOOKUP(Table257519913140106110151155170178204267[[#This Row],[PEG]],Table1016[#All],3,FALSE)</f>
        <v>#N/A</v>
      </c>
    </row>
    <row r="33" spans="1:5" x14ac:dyDescent="0.35">
      <c r="A33" s="118">
        <v>26</v>
      </c>
      <c r="B33" s="114" t="s">
        <v>124</v>
      </c>
      <c r="C33" s="109" t="e">
        <f>VLOOKUP(Table257519913140106110151155170178204267[[#This Row],[PEG]],Table1016[#All],2,FALSE)</f>
        <v>#N/A</v>
      </c>
      <c r="D33" s="117"/>
      <c r="E33" s="125" t="e">
        <f>VLOOKUP(Table257519913140106110151155170178204267[[#This Row],[PEG]],Table1016[#All],3,FALSE)</f>
        <v>#N/A</v>
      </c>
    </row>
    <row r="34" spans="1:5" x14ac:dyDescent="0.35">
      <c r="A34" s="118">
        <v>27</v>
      </c>
      <c r="B34" s="114" t="s">
        <v>115</v>
      </c>
      <c r="C34" s="109" t="e">
        <f>VLOOKUP(Table257519913140106110151155170178204267[[#This Row],[PEG]],Table1016[#All],2,FALSE)</f>
        <v>#N/A</v>
      </c>
      <c r="D34" s="117"/>
      <c r="E34" s="125" t="e">
        <f>VLOOKUP(Table257519913140106110151155170178204267[[#This Row],[PEG]],Table1016[#All],3,FALSE)</f>
        <v>#N/A</v>
      </c>
    </row>
    <row r="35" spans="1:5" x14ac:dyDescent="0.35">
      <c r="A35" s="118">
        <v>28</v>
      </c>
      <c r="B35" s="114" t="s">
        <v>124</v>
      </c>
      <c r="C35" s="109" t="e">
        <f>VLOOKUP(Table257519913140106110151155170178204267[[#This Row],[PEG]],Table1016[#All],2,FALSE)</f>
        <v>#N/A</v>
      </c>
      <c r="D35" s="117"/>
      <c r="E35" s="125" t="e">
        <f>VLOOKUP(Table257519913140106110151155170178204267[[#This Row],[PEG]],Table1016[#All],3,FALSE)</f>
        <v>#N/A</v>
      </c>
    </row>
    <row r="36" spans="1:5" x14ac:dyDescent="0.35">
      <c r="A36" s="118">
        <v>29</v>
      </c>
      <c r="B36" s="114" t="s">
        <v>115</v>
      </c>
      <c r="C36" s="109" t="e">
        <f>VLOOKUP(Table257519913140106110151155170178204267[[#This Row],[PEG]],Table1016[#All],2,FALSE)</f>
        <v>#N/A</v>
      </c>
      <c r="D36" s="117"/>
      <c r="E36" s="125" t="e">
        <f>VLOOKUP(Table257519913140106110151155170178204267[[#This Row],[PEG]],Table1016[#All],3,FALSE)</f>
        <v>#N/A</v>
      </c>
    </row>
    <row r="37" spans="1:5" x14ac:dyDescent="0.35">
      <c r="A37" s="118">
        <v>30</v>
      </c>
      <c r="B37" s="114" t="s">
        <v>12</v>
      </c>
      <c r="C37" s="109" t="e">
        <f>VLOOKUP(Table257519913140106110151155170178204267[[#This Row],[PEG]],Table1016[#All],2,FALSE)</f>
        <v>#N/A</v>
      </c>
      <c r="D37" s="117"/>
      <c r="E37" s="125" t="e">
        <f>VLOOKUP(Table257519913140106110151155170178204267[[#This Row],[PEG]],Table1016[#All],3,FALSE)</f>
        <v>#N/A</v>
      </c>
    </row>
    <row r="38" spans="1:5" x14ac:dyDescent="0.35">
      <c r="A38" s="118">
        <v>31</v>
      </c>
      <c r="B38" s="114" t="s">
        <v>12</v>
      </c>
      <c r="C38" s="109" t="e">
        <f>VLOOKUP(Table257519913140106110151155170178204267[[#This Row],[PEG]],Table1016[#All],2,FALSE)</f>
        <v>#N/A</v>
      </c>
      <c r="D38" s="117"/>
      <c r="E38" s="125" t="e">
        <f>VLOOKUP(Table257519913140106110151155170178204267[[#This Row],[PEG]],Table1016[#All],3,FALSE)</f>
        <v>#N/A</v>
      </c>
    </row>
    <row r="39" spans="1:5" x14ac:dyDescent="0.35">
      <c r="A39" s="118">
        <v>32</v>
      </c>
      <c r="B39" s="114" t="s">
        <v>12</v>
      </c>
      <c r="C39" s="109" t="e">
        <f>VLOOKUP(Table257519913140106110151155170178204267[[#This Row],[PEG]],Table1016[#All],2,FALSE)</f>
        <v>#N/A</v>
      </c>
      <c r="D39" s="117"/>
      <c r="E39" s="125" t="e">
        <f>VLOOKUP(Table257519913140106110151155170178204267[[#This Row],[PEG]],Table1016[#All],3,FALSE)</f>
        <v>#N/A</v>
      </c>
    </row>
    <row r="40" spans="1:5" x14ac:dyDescent="0.35">
      <c r="A40" s="118">
        <v>33</v>
      </c>
      <c r="B40" s="114" t="s">
        <v>12</v>
      </c>
      <c r="C40" s="109" t="e">
        <f>VLOOKUP(Table257519913140106110151155170178204267[[#This Row],[PEG]],Table1016[#All],2,FALSE)</f>
        <v>#N/A</v>
      </c>
      <c r="D40" s="117"/>
      <c r="E40" s="125" t="e">
        <f>VLOOKUP(Table257519913140106110151155170178204267[[#This Row],[PEG]],Table1016[#All],3,FALSE)</f>
        <v>#N/A</v>
      </c>
    </row>
    <row r="41" spans="1:5" x14ac:dyDescent="0.35">
      <c r="A41" s="118">
        <v>34</v>
      </c>
      <c r="B41" s="114" t="s">
        <v>115</v>
      </c>
      <c r="C41" s="109" t="e">
        <f>VLOOKUP(Table257519913140106110151155170178204267[[#This Row],[PEG]],Table1016[#All],2,FALSE)</f>
        <v>#N/A</v>
      </c>
      <c r="D41" s="117"/>
      <c r="E41" s="125" t="e">
        <f>VLOOKUP(Table257519913140106110151155170178204267[[#This Row],[PEG]],Table1016[#All],3,FALSE)</f>
        <v>#N/A</v>
      </c>
    </row>
    <row r="42" spans="1:5" x14ac:dyDescent="0.35">
      <c r="A42" s="118">
        <v>35</v>
      </c>
      <c r="B42" s="114" t="s">
        <v>12</v>
      </c>
      <c r="C42" s="109" t="e">
        <f>VLOOKUP(Table257519913140106110151155170178204267[[#This Row],[PEG]],Table1016[#All],2,FALSE)</f>
        <v>#N/A</v>
      </c>
      <c r="D42" s="115"/>
      <c r="E42" s="125" t="e">
        <f>VLOOKUP(Table257519913140106110151155170178204267[[#This Row],[PEG]],Table1016[#All],3,FALSE)</f>
        <v>#N/A</v>
      </c>
    </row>
    <row r="43" spans="1:5" x14ac:dyDescent="0.35">
      <c r="A43" s="118">
        <v>36</v>
      </c>
      <c r="B43" s="114" t="s">
        <v>115</v>
      </c>
      <c r="C43" s="109" t="e">
        <f>VLOOKUP(Table257519913140106110151155170178204267[[#This Row],[PEG]],Table1016[#All],2,FALSE)</f>
        <v>#N/A</v>
      </c>
      <c r="D43" s="115"/>
      <c r="E43" s="125" t="e">
        <f>VLOOKUP(Table257519913140106110151155170178204267[[#This Row],[PEG]],Table1016[#All],3,FALSE)</f>
        <v>#N/A</v>
      </c>
    </row>
    <row r="44" spans="1:5" x14ac:dyDescent="0.35">
      <c r="A44" s="118">
        <v>37</v>
      </c>
      <c r="B44" s="114" t="s">
        <v>13</v>
      </c>
      <c r="C44" s="18" t="s">
        <v>13</v>
      </c>
      <c r="D44" s="115"/>
      <c r="E44" s="32"/>
    </row>
  </sheetData>
  <mergeCells count="1">
    <mergeCell ref="A1:B1"/>
  </mergeCells>
  <conditionalFormatting sqref="B8:B18">
    <cfRule type="containsText" dxfId="425" priority="1" operator="containsText" text="Hear">
      <formula>NOT(ISERROR(SEARCH("Hear",B8)))</formula>
    </cfRule>
  </conditionalFormatting>
  <conditionalFormatting sqref="B30">
    <cfRule type="containsText" dxfId="424" priority="4" operator="containsText" text="Hear">
      <formula>NOT(ISERROR(SEARCH("Hear",B30)))</formula>
    </cfRule>
  </conditionalFormatting>
  <conditionalFormatting sqref="B43:B44">
    <cfRule type="containsText" dxfId="423" priority="8" operator="containsText" text="Hear">
      <formula>NOT(ISERROR(SEARCH("Hear",B43)))</formula>
    </cfRule>
  </conditionalFormatting>
  <conditionalFormatting sqref="E44">
    <cfRule type="containsText" dxfId="422" priority="6" operator="containsText" text="WEB SERVICE">
      <formula>NOT(ISERROR(SEARCH("WEB SERVICE",E44)))</formula>
    </cfRule>
    <cfRule type="containsText" dxfId="421" priority="7" operator="containsText" text="DB">
      <formula>NOT(ISERROR(SEARCH("DB",E44)))</formula>
    </cfRule>
  </conditionalFormatting>
  <conditionalFormatting sqref="C44">
    <cfRule type="expression" dxfId="420" priority="9">
      <formula>$B44="Dial"</formula>
    </cfRule>
  </conditionalFormatting>
  <conditionalFormatting sqref="C44">
    <cfRule type="expression" dxfId="419" priority="3">
      <formula>$B44="Speak"</formula>
    </cfRule>
  </conditionalFormatting>
  <conditionalFormatting sqref="B19:B29 B31:B35 B42">
    <cfRule type="containsText" dxfId="418" priority="5" operator="containsText" text="Hear">
      <formula>NOT(ISERROR(SEARCH("Hear",B19)))</formula>
    </cfRule>
  </conditionalFormatting>
  <hyperlinks>
    <hyperlink ref="A1" location="'Test Case Overview'!A1" display="Return to Test Case Overview" xr:uid="{5EB055CF-DEB2-4970-AAC1-365A7E123A40}"/>
  </hyperlinks>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expression" priority="2" id="{E7A26FA1-B04B-44B1-B814-995283E759C3}">
            <xm:f>'TC1'!$B8="HANGUP"</xm:f>
            <x14:dxf>
              <font>
                <b/>
                <i val="0"/>
              </font>
            </x14:dxf>
          </x14:cfRule>
          <xm:sqref>C8</xm:sqref>
        </x14:conditionalFormatting>
        <x14:conditionalFormatting xmlns:xm="http://schemas.microsoft.com/office/excel/2006/main">
          <x14:cfRule type="expression" priority="3362" id="{E7A26FA1-B04B-44B1-B814-995283E759C3}">
            <xm:f>'TC1'!$B16="HANGUP"</xm:f>
            <x14:dxf>
              <font>
                <b/>
                <i val="0"/>
              </font>
            </x14:dxf>
          </x14:cfRule>
          <xm:sqref>C34:C43</xm:sqref>
        </x14:conditionalFormatting>
        <x14:conditionalFormatting xmlns:xm="http://schemas.microsoft.com/office/excel/2006/main">
          <x14:cfRule type="expression" priority="3363" id="{E7A26FA1-B04B-44B1-B814-995283E759C3}">
            <xm:f>'TC1'!#REF!="HANGUP"</xm:f>
            <x14:dxf>
              <font>
                <b/>
                <i val="0"/>
              </font>
            </x14:dxf>
          </x14:cfRule>
          <xm:sqref>C17:C33</xm:sqref>
        </x14:conditionalFormatting>
        <x14:conditionalFormatting xmlns:xm="http://schemas.microsoft.com/office/excel/2006/main">
          <x14:cfRule type="expression" priority="5976" id="{E7A26FA1-B04B-44B1-B814-995283E759C3}">
            <xm:f>'TC1'!$B9="HANGUP"</xm:f>
            <x14:dxf>
              <font>
                <b/>
                <i val="0"/>
              </font>
            </x14:dxf>
          </x14:cfRule>
          <xm:sqref>C12:C15</xm:sqref>
        </x14:conditionalFormatting>
        <x14:conditionalFormatting xmlns:xm="http://schemas.microsoft.com/office/excel/2006/main">
          <x14:cfRule type="expression" priority="5977" id="{E7A26FA1-B04B-44B1-B814-995283E759C3}">
            <xm:f>'TC1'!#REF!="HANGUP"</xm:f>
            <x14:dxf>
              <font>
                <b/>
                <i val="0"/>
              </font>
            </x14:dxf>
          </x14:cfRule>
          <xm:sqref>C9:C11</xm:sqref>
        </x14:conditionalFormatting>
        <x14:conditionalFormatting xmlns:xm="http://schemas.microsoft.com/office/excel/2006/main">
          <x14:cfRule type="expression" priority="8145" id="{E7A26FA1-B04B-44B1-B814-995283E759C3}">
            <xm:f>'TC1'!$B15="HANGUP"</xm:f>
            <x14:dxf>
              <font>
                <b/>
                <i val="0"/>
              </font>
            </x14:dxf>
          </x14:cfRule>
          <xm:sqref>C16</xm:sqref>
        </x14:conditionalFormatting>
      </x14:conditionalFormattings>
    </ext>
  </extLst>
</worksheet>
</file>

<file path=xl/worksheets/sheet1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B400-000000000000}">
  <sheetPr codeName="Sheet182"/>
  <dimension ref="A1:E44"/>
  <sheetViews>
    <sheetView zoomScaleNormal="100" workbookViewId="0">
      <selection sqref="A1:E44"/>
    </sheetView>
  </sheetViews>
  <sheetFormatPr defaultRowHeight="14.5" x14ac:dyDescent="0.35"/>
  <cols>
    <col min="1" max="1" width="14.453125" bestFit="1" customWidth="1"/>
    <col min="2" max="2" width="42.6328125" customWidth="1"/>
    <col min="3" max="3" width="106.1796875" customWidth="1"/>
    <col min="4" max="4" width="21.81640625" bestFit="1" customWidth="1"/>
    <col min="5" max="5" width="20.6328125" customWidth="1"/>
  </cols>
  <sheetData>
    <row r="1" spans="1:5" ht="18.5" x14ac:dyDescent="0.35">
      <c r="A1" s="192" t="s">
        <v>4</v>
      </c>
      <c r="B1" s="192"/>
      <c r="C1" s="105"/>
      <c r="D1" s="111"/>
      <c r="E1" s="97"/>
    </row>
    <row r="2" spans="1:5" x14ac:dyDescent="0.35">
      <c r="A2" s="106" t="s">
        <v>5</v>
      </c>
      <c r="B2" s="107" t="str">
        <f ca="1">MID(CELL("filename",A1),FIND("]",CELL("filename",A1))+1,LEN(CELL("filename",A1))-FIND("]",CELL("filename",A1)))</f>
        <v>TC180</v>
      </c>
      <c r="C2" s="98"/>
      <c r="D2" s="111"/>
      <c r="E2" s="97"/>
    </row>
    <row r="3" spans="1:5" x14ac:dyDescent="0.35">
      <c r="A3" s="104" t="s">
        <v>19</v>
      </c>
      <c r="B3" s="112" t="e">
        <f ca="1">VLOOKUP(B2,Table53[#All],2,FALSE)</f>
        <v>#N/A</v>
      </c>
      <c r="C3" s="98"/>
      <c r="D3" s="111"/>
      <c r="E3" s="97"/>
    </row>
    <row r="4" spans="1:5" ht="29" x14ac:dyDescent="0.35">
      <c r="A4" s="113" t="s">
        <v>20</v>
      </c>
      <c r="B4" s="99" t="e">
        <f ca="1">VLOOKUP(B2,Table53[#All],4,FALSE)</f>
        <v>#N/A</v>
      </c>
      <c r="C4" s="98"/>
      <c r="D4" s="111"/>
      <c r="E4" s="97"/>
    </row>
    <row r="5" spans="1:5" x14ac:dyDescent="0.35">
      <c r="A5" s="104" t="s">
        <v>6</v>
      </c>
      <c r="B5" s="77" t="e">
        <f ca="1">VLOOKUP(B2,Table53[#All],3,FALSE)</f>
        <v>#N/A</v>
      </c>
      <c r="C5" s="98"/>
      <c r="D5" s="111"/>
      <c r="E5" s="97"/>
    </row>
    <row r="6" spans="1:5" x14ac:dyDescent="0.35">
      <c r="A6" s="97"/>
      <c r="B6" s="97"/>
      <c r="C6" s="98"/>
      <c r="D6" s="111"/>
      <c r="E6" s="97"/>
    </row>
    <row r="7" spans="1:5" ht="15.5" x14ac:dyDescent="0.35">
      <c r="A7" s="100" t="s">
        <v>7</v>
      </c>
      <c r="B7" s="101" t="s">
        <v>8</v>
      </c>
      <c r="C7" s="102" t="s">
        <v>9</v>
      </c>
      <c r="D7" s="102" t="s">
        <v>14</v>
      </c>
      <c r="E7" s="103" t="s">
        <v>10</v>
      </c>
    </row>
    <row r="8" spans="1:5" x14ac:dyDescent="0.35">
      <c r="A8" s="118">
        <v>1</v>
      </c>
      <c r="B8" s="114" t="s">
        <v>114</v>
      </c>
      <c r="C8" s="109" t="s">
        <v>125</v>
      </c>
      <c r="D8" s="128"/>
      <c r="E8" s="125" t="s">
        <v>11</v>
      </c>
    </row>
    <row r="9" spans="1:5" x14ac:dyDescent="0.35">
      <c r="A9" s="118">
        <v>2</v>
      </c>
      <c r="B9" s="114" t="s">
        <v>12</v>
      </c>
      <c r="C9" s="109" t="e">
        <f>VLOOKUP(Table257519913140106110151155170178204269[[#This Row],[PEG]],Table1016[#All],2,FALSE)</f>
        <v>#N/A</v>
      </c>
      <c r="D9" s="128"/>
      <c r="E9" s="125" t="e">
        <f>VLOOKUP(Table257519913140106110151155170178204269[[#This Row],[PEG]],Table1016[#All],3,FALSE)</f>
        <v>#N/A</v>
      </c>
    </row>
    <row r="10" spans="1:5" x14ac:dyDescent="0.35">
      <c r="A10" s="118">
        <v>3</v>
      </c>
      <c r="B10" s="114" t="s">
        <v>115</v>
      </c>
      <c r="C10" s="109" t="e">
        <f>VLOOKUP(Table257519913140106110151155170178204269[[#This Row],[PEG]],Table1016[#All],2,FALSE)</f>
        <v>#N/A</v>
      </c>
      <c r="D10" s="128"/>
      <c r="E10" s="125" t="e">
        <f>VLOOKUP(Table257519913140106110151155170178204269[[#This Row],[PEG]],Table1016[#All],3,FALSE)</f>
        <v>#N/A</v>
      </c>
    </row>
    <row r="11" spans="1:5" x14ac:dyDescent="0.35">
      <c r="A11" s="118">
        <v>4</v>
      </c>
      <c r="B11" s="114" t="s">
        <v>115</v>
      </c>
      <c r="C11" s="109" t="e">
        <f>VLOOKUP(Table257519913140106110151155170178204269[[#This Row],[PEG]],Table1016[#All],2,FALSE)</f>
        <v>#N/A</v>
      </c>
      <c r="D11" s="128"/>
      <c r="E11" s="125" t="e">
        <f>VLOOKUP(Table257519913140106110151155170178204269[[#This Row],[PEG]],Table1016[#All],3,FALSE)</f>
        <v>#N/A</v>
      </c>
    </row>
    <row r="12" spans="1:5" x14ac:dyDescent="0.35">
      <c r="A12" s="118">
        <v>5</v>
      </c>
      <c r="B12" s="114" t="s">
        <v>114</v>
      </c>
      <c r="C12" s="109" t="e">
        <f>VLOOKUP(Table257519913140106110151155170178204269[[#This Row],[PEG]],Table1016[#All],2,FALSE)</f>
        <v>#N/A</v>
      </c>
      <c r="D12" s="128"/>
      <c r="E12" s="125" t="e">
        <f>VLOOKUP(Table257519913140106110151155170178204269[[#This Row],[PEG]],Table1016[#All],3,FALSE)</f>
        <v>#N/A</v>
      </c>
    </row>
    <row r="13" spans="1:5" x14ac:dyDescent="0.35">
      <c r="A13" s="118">
        <v>6</v>
      </c>
      <c r="B13" s="114" t="s">
        <v>115</v>
      </c>
      <c r="C13" s="109" t="e">
        <f>VLOOKUP(Table257519913140106110151155170178204269[[#This Row],[PEG]],Table1016[#All],2,FALSE)</f>
        <v>#N/A</v>
      </c>
      <c r="D13" s="128"/>
      <c r="E13" s="125" t="e">
        <f>VLOOKUP(Table257519913140106110151155170178204269[[#This Row],[PEG]],Table1016[#All],3,FALSE)</f>
        <v>#N/A</v>
      </c>
    </row>
    <row r="14" spans="1:5" x14ac:dyDescent="0.35">
      <c r="A14" s="118">
        <v>7</v>
      </c>
      <c r="B14" s="114" t="s">
        <v>114</v>
      </c>
      <c r="C14" s="109" t="e">
        <f>VLOOKUP(Table257519913140106110151155170178204269[[#This Row],[PEG]],Table1016[#All],2,FALSE)</f>
        <v>#N/A</v>
      </c>
      <c r="D14" s="128"/>
      <c r="E14" s="125" t="e">
        <f>VLOOKUP(Table257519913140106110151155170178204269[[#This Row],[PEG]],Table1016[#All],3,FALSE)</f>
        <v>#N/A</v>
      </c>
    </row>
    <row r="15" spans="1:5" x14ac:dyDescent="0.35">
      <c r="A15" s="118">
        <v>8</v>
      </c>
      <c r="B15" s="114" t="s">
        <v>115</v>
      </c>
      <c r="C15" s="109" t="e">
        <f>VLOOKUP(Table257519913140106110151155170178204269[[#This Row],[PEG]],Table1016[#All],2,FALSE)</f>
        <v>#N/A</v>
      </c>
      <c r="D15" s="116"/>
      <c r="E15" s="125" t="e">
        <f>VLOOKUP(Table257519913140106110151155170178204269[[#This Row],[PEG]],Table1016[#All],3,FALSE)</f>
        <v>#N/A</v>
      </c>
    </row>
    <row r="16" spans="1:5" x14ac:dyDescent="0.35">
      <c r="A16" s="118">
        <v>9</v>
      </c>
      <c r="B16" s="114" t="s">
        <v>12</v>
      </c>
      <c r="C16" s="109" t="e">
        <f>VLOOKUP(Table257519913140106110151155170178204269[[#This Row],[PEG]],Table1016[#All],2,FALSE)</f>
        <v>#N/A</v>
      </c>
      <c r="D16" s="116"/>
      <c r="E16" s="125" t="e">
        <f>VLOOKUP(Table257519913140106110151155170178204269[[#This Row],[PEG]],Table1016[#All],3,FALSE)</f>
        <v>#N/A</v>
      </c>
    </row>
    <row r="17" spans="1:5" x14ac:dyDescent="0.35">
      <c r="A17" s="118">
        <v>10</v>
      </c>
      <c r="B17" s="114" t="s">
        <v>12</v>
      </c>
      <c r="C17" s="109" t="e">
        <f>VLOOKUP(Table257519913140106110151155170178204269[[#This Row],[PEG]],Table1016[#All],2,FALSE)</f>
        <v>#N/A</v>
      </c>
      <c r="D17" s="117"/>
      <c r="E17" s="125" t="e">
        <f>VLOOKUP(Table257519913140106110151155170178204269[[#This Row],[PEG]],Table1016[#All],3,FALSE)</f>
        <v>#N/A</v>
      </c>
    </row>
    <row r="18" spans="1:5" x14ac:dyDescent="0.35">
      <c r="A18" s="118">
        <v>11</v>
      </c>
      <c r="B18" s="114" t="s">
        <v>115</v>
      </c>
      <c r="C18" s="109" t="e">
        <f>VLOOKUP(Table257519913140106110151155170178204269[[#This Row],[PEG]],Table1016[#All],2,FALSE)</f>
        <v>#N/A</v>
      </c>
      <c r="D18" s="117"/>
      <c r="E18" s="125" t="e">
        <f>VLOOKUP(Table257519913140106110151155170178204269[[#This Row],[PEG]],Table1016[#All],3,FALSE)</f>
        <v>#N/A</v>
      </c>
    </row>
    <row r="19" spans="1:5" x14ac:dyDescent="0.35">
      <c r="A19" s="118">
        <v>12</v>
      </c>
      <c r="B19" s="114" t="s">
        <v>115</v>
      </c>
      <c r="C19" s="109" t="e">
        <f>VLOOKUP(Table257519913140106110151155170178204269[[#This Row],[PEG]],Table1016[#All],2,FALSE)</f>
        <v>#N/A</v>
      </c>
      <c r="D19" s="117"/>
      <c r="E19" s="125" t="e">
        <f>VLOOKUP(Table257519913140106110151155170178204269[[#This Row],[PEG]],Table1016[#All],3,FALSE)</f>
        <v>#N/A</v>
      </c>
    </row>
    <row r="20" spans="1:5" x14ac:dyDescent="0.35">
      <c r="A20" s="118">
        <v>13</v>
      </c>
      <c r="B20" s="114" t="s">
        <v>114</v>
      </c>
      <c r="C20" s="109" t="e">
        <f>VLOOKUP(Table257519913140106110151155170178204269[[#This Row],[PEG]],Table1016[#All],2,FALSE)</f>
        <v>#N/A</v>
      </c>
      <c r="D20" s="117"/>
      <c r="E20" s="125" t="e">
        <f>VLOOKUP(Table257519913140106110151155170178204269[[#This Row],[PEG]],Table1016[#All],3,FALSE)</f>
        <v>#N/A</v>
      </c>
    </row>
    <row r="21" spans="1:5" x14ac:dyDescent="0.35">
      <c r="A21" s="118">
        <v>14</v>
      </c>
      <c r="B21" s="114" t="s">
        <v>12</v>
      </c>
      <c r="C21" s="109" t="e">
        <f>VLOOKUP(Table257519913140106110151155170178204269[[#This Row],[PEG]],Table1016[#All],2,FALSE)</f>
        <v>#N/A</v>
      </c>
      <c r="D21" s="117"/>
      <c r="E21" s="125" t="e">
        <f>VLOOKUP(Table257519913140106110151155170178204269[[#This Row],[PEG]],Table1016[#All],3,FALSE)</f>
        <v>#N/A</v>
      </c>
    </row>
    <row r="22" spans="1:5" x14ac:dyDescent="0.35">
      <c r="A22" s="118">
        <v>15</v>
      </c>
      <c r="B22" s="114" t="s">
        <v>12</v>
      </c>
      <c r="C22" s="109" t="e">
        <f>VLOOKUP(Table257519913140106110151155170178204269[[#This Row],[PEG]],Table1016[#All],2,FALSE)</f>
        <v>#N/A</v>
      </c>
      <c r="D22" s="117"/>
      <c r="E22" s="125" t="e">
        <f>VLOOKUP(Table257519913140106110151155170178204269[[#This Row],[PEG]],Table1016[#All],3,FALSE)</f>
        <v>#N/A</v>
      </c>
    </row>
    <row r="23" spans="1:5" x14ac:dyDescent="0.35">
      <c r="A23" s="118">
        <v>16</v>
      </c>
      <c r="B23" s="114" t="s">
        <v>115</v>
      </c>
      <c r="C23" s="109" t="e">
        <f>VLOOKUP(Table257519913140106110151155170178204269[[#This Row],[PEG]],Table1016[#All],2,FALSE)</f>
        <v>#N/A</v>
      </c>
      <c r="D23" s="117"/>
      <c r="E23" s="125" t="e">
        <f>VLOOKUP(Table257519913140106110151155170178204269[[#This Row],[PEG]],Table1016[#All],3,FALSE)</f>
        <v>#N/A</v>
      </c>
    </row>
    <row r="24" spans="1:5" x14ac:dyDescent="0.35">
      <c r="A24" s="118">
        <v>17</v>
      </c>
      <c r="B24" s="114" t="s">
        <v>114</v>
      </c>
      <c r="C24" s="109" t="e">
        <f>VLOOKUP(Table257519913140106110151155170178204269[[#This Row],[PEG]],Table1016[#All],2,FALSE)</f>
        <v>#N/A</v>
      </c>
      <c r="D24" s="117"/>
      <c r="E24" s="125" t="e">
        <f>VLOOKUP(Table257519913140106110151155170178204269[[#This Row],[PEG]],Table1016[#All],3,FALSE)</f>
        <v>#N/A</v>
      </c>
    </row>
    <row r="25" spans="1:5" x14ac:dyDescent="0.35">
      <c r="A25" s="118">
        <v>18</v>
      </c>
      <c r="B25" s="114" t="s">
        <v>12</v>
      </c>
      <c r="C25" s="109" t="e">
        <f>VLOOKUP(Table257519913140106110151155170178204269[[#This Row],[PEG]],Table1016[#All],2,FALSE)</f>
        <v>#N/A</v>
      </c>
      <c r="D25" s="117"/>
      <c r="E25" s="125" t="e">
        <f>VLOOKUP(Table257519913140106110151155170178204269[[#This Row],[PEG]],Table1016[#All],3,FALSE)</f>
        <v>#N/A</v>
      </c>
    </row>
    <row r="26" spans="1:5" x14ac:dyDescent="0.35">
      <c r="A26" s="118">
        <v>19</v>
      </c>
      <c r="B26" s="114" t="s">
        <v>12</v>
      </c>
      <c r="C26" s="109" t="e">
        <f>VLOOKUP(Table257519913140106110151155170178204269[[#This Row],[PEG]],Table1016[#All],2,FALSE)</f>
        <v>#N/A</v>
      </c>
      <c r="D26" s="117"/>
      <c r="E26" s="125" t="e">
        <f>VLOOKUP(Table257519913140106110151155170178204269[[#This Row],[PEG]],Table1016[#All],3,FALSE)</f>
        <v>#N/A</v>
      </c>
    </row>
    <row r="27" spans="1:5" x14ac:dyDescent="0.35">
      <c r="A27" s="118">
        <v>20</v>
      </c>
      <c r="B27" s="114" t="s">
        <v>115</v>
      </c>
      <c r="C27" s="109" t="e">
        <f>VLOOKUP(Table257519913140106110151155170178204269[[#This Row],[PEG]],Table1016[#All],2,FALSE)</f>
        <v>#N/A</v>
      </c>
      <c r="D27" s="117"/>
      <c r="E27" s="125" t="e">
        <f>VLOOKUP(Table257519913140106110151155170178204269[[#This Row],[PEG]],Table1016[#All],3,FALSE)</f>
        <v>#N/A</v>
      </c>
    </row>
    <row r="28" spans="1:5" x14ac:dyDescent="0.35">
      <c r="A28" s="118">
        <v>21</v>
      </c>
      <c r="B28" s="114" t="s">
        <v>114</v>
      </c>
      <c r="C28" s="109" t="e">
        <f>VLOOKUP(Table257519913140106110151155170178204269[[#This Row],[PEG]],Table1016[#All],2,FALSE)</f>
        <v>#N/A</v>
      </c>
      <c r="D28" s="117"/>
      <c r="E28" s="125" t="e">
        <f>VLOOKUP(Table257519913140106110151155170178204269[[#This Row],[PEG]],Table1016[#All],3,FALSE)</f>
        <v>#N/A</v>
      </c>
    </row>
    <row r="29" spans="1:5" x14ac:dyDescent="0.35">
      <c r="A29" s="118">
        <v>22</v>
      </c>
      <c r="B29" s="114" t="s">
        <v>12</v>
      </c>
      <c r="C29" s="109" t="e">
        <f>VLOOKUP(Table257519913140106110151155170178204269[[#This Row],[PEG]],Table1016[#All],2,FALSE)</f>
        <v>#N/A</v>
      </c>
      <c r="D29" s="117"/>
      <c r="E29" s="125" t="e">
        <f>VLOOKUP(Table257519913140106110151155170178204269[[#This Row],[PEG]],Table1016[#All],3,FALSE)</f>
        <v>#N/A</v>
      </c>
    </row>
    <row r="30" spans="1:5" x14ac:dyDescent="0.35">
      <c r="A30" s="118">
        <v>23</v>
      </c>
      <c r="B30" s="114" t="s">
        <v>12</v>
      </c>
      <c r="C30" s="109" t="e">
        <f>VLOOKUP(Table257519913140106110151155170178204269[[#This Row],[PEG]],Table1016[#All],2,FALSE)</f>
        <v>#N/A</v>
      </c>
      <c r="D30" s="117"/>
      <c r="E30" s="125" t="e">
        <f>VLOOKUP(Table257519913140106110151155170178204269[[#This Row],[PEG]],Table1016[#All],3,FALSE)</f>
        <v>#N/A</v>
      </c>
    </row>
    <row r="31" spans="1:5" x14ac:dyDescent="0.35">
      <c r="A31" s="118">
        <v>24</v>
      </c>
      <c r="B31" s="114" t="s">
        <v>115</v>
      </c>
      <c r="C31" s="109" t="e">
        <f>VLOOKUP(Table257519913140106110151155170178204269[[#This Row],[PEG]],Table1016[#All],2,FALSE)</f>
        <v>#N/A</v>
      </c>
      <c r="D31" s="117"/>
      <c r="E31" s="125" t="e">
        <f>VLOOKUP(Table257519913140106110151155170178204269[[#This Row],[PEG]],Table1016[#All],3,FALSE)</f>
        <v>#N/A</v>
      </c>
    </row>
    <row r="32" spans="1:5" x14ac:dyDescent="0.35">
      <c r="A32" s="118">
        <v>25</v>
      </c>
      <c r="B32" s="114" t="s">
        <v>115</v>
      </c>
      <c r="C32" s="109" t="e">
        <f>VLOOKUP(Table257519913140106110151155170178204269[[#This Row],[PEG]],Table1016[#All],2,FALSE)</f>
        <v>#N/A</v>
      </c>
      <c r="D32" s="117"/>
      <c r="E32" s="125" t="e">
        <f>VLOOKUP(Table257519913140106110151155170178204269[[#This Row],[PEG]],Table1016[#All],3,FALSE)</f>
        <v>#N/A</v>
      </c>
    </row>
    <row r="33" spans="1:5" x14ac:dyDescent="0.35">
      <c r="A33" s="118">
        <v>26</v>
      </c>
      <c r="B33" s="114" t="s">
        <v>124</v>
      </c>
      <c r="C33" s="109" t="e">
        <f>VLOOKUP(Table257519913140106110151155170178204269[[#This Row],[PEG]],Table1016[#All],2,FALSE)</f>
        <v>#N/A</v>
      </c>
      <c r="D33" s="117"/>
      <c r="E33" s="125" t="e">
        <f>VLOOKUP(Table257519913140106110151155170178204269[[#This Row],[PEG]],Table1016[#All],3,FALSE)</f>
        <v>#N/A</v>
      </c>
    </row>
    <row r="34" spans="1:5" x14ac:dyDescent="0.35">
      <c r="A34" s="118">
        <v>27</v>
      </c>
      <c r="B34" s="114" t="s">
        <v>115</v>
      </c>
      <c r="C34" s="109" t="e">
        <f>VLOOKUP(Table257519913140106110151155170178204269[[#This Row],[PEG]],Table1016[#All],2,FALSE)</f>
        <v>#N/A</v>
      </c>
      <c r="D34" s="117"/>
      <c r="E34" s="125" t="e">
        <f>VLOOKUP(Table257519913140106110151155170178204269[[#This Row],[PEG]],Table1016[#All],3,FALSE)</f>
        <v>#N/A</v>
      </c>
    </row>
    <row r="35" spans="1:5" x14ac:dyDescent="0.35">
      <c r="A35" s="118">
        <v>28</v>
      </c>
      <c r="B35" s="114" t="s">
        <v>124</v>
      </c>
      <c r="C35" s="109" t="e">
        <f>VLOOKUP(Table257519913140106110151155170178204269[[#This Row],[PEG]],Table1016[#All],2,FALSE)</f>
        <v>#N/A</v>
      </c>
      <c r="D35" s="117"/>
      <c r="E35" s="125" t="e">
        <f>VLOOKUP(Table257519913140106110151155170178204269[[#This Row],[PEG]],Table1016[#All],3,FALSE)</f>
        <v>#N/A</v>
      </c>
    </row>
    <row r="36" spans="1:5" x14ac:dyDescent="0.35">
      <c r="A36" s="118">
        <v>29</v>
      </c>
      <c r="B36" s="114" t="s">
        <v>115</v>
      </c>
      <c r="C36" s="109" t="e">
        <f>VLOOKUP(Table257519913140106110151155170178204269[[#This Row],[PEG]],Table1016[#All],2,FALSE)</f>
        <v>#N/A</v>
      </c>
      <c r="D36" s="117"/>
      <c r="E36" s="125" t="e">
        <f>VLOOKUP(Table257519913140106110151155170178204269[[#This Row],[PEG]],Table1016[#All],3,FALSE)</f>
        <v>#N/A</v>
      </c>
    </row>
    <row r="37" spans="1:5" x14ac:dyDescent="0.35">
      <c r="A37" s="118">
        <v>30</v>
      </c>
      <c r="B37" s="114" t="s">
        <v>12</v>
      </c>
      <c r="C37" s="109" t="e">
        <f>VLOOKUP(Table257519913140106110151155170178204269[[#This Row],[PEG]],Table1016[#All],2,FALSE)</f>
        <v>#N/A</v>
      </c>
      <c r="D37" s="117"/>
      <c r="E37" s="125" t="e">
        <f>VLOOKUP(Table257519913140106110151155170178204269[[#This Row],[PEG]],Table1016[#All],3,FALSE)</f>
        <v>#N/A</v>
      </c>
    </row>
    <row r="38" spans="1:5" x14ac:dyDescent="0.35">
      <c r="A38" s="118">
        <v>31</v>
      </c>
      <c r="B38" s="114" t="s">
        <v>12</v>
      </c>
      <c r="C38" s="109" t="e">
        <f>VLOOKUP(Table257519913140106110151155170178204269[[#This Row],[PEG]],Table1016[#All],2,FALSE)</f>
        <v>#N/A</v>
      </c>
      <c r="D38" s="117"/>
      <c r="E38" s="125" t="e">
        <f>VLOOKUP(Table257519913140106110151155170178204269[[#This Row],[PEG]],Table1016[#All],3,FALSE)</f>
        <v>#N/A</v>
      </c>
    </row>
    <row r="39" spans="1:5" x14ac:dyDescent="0.35">
      <c r="A39" s="118">
        <v>32</v>
      </c>
      <c r="B39" s="114" t="s">
        <v>12</v>
      </c>
      <c r="C39" s="109" t="e">
        <f>VLOOKUP(Table257519913140106110151155170178204269[[#This Row],[PEG]],Table1016[#All],2,FALSE)</f>
        <v>#N/A</v>
      </c>
      <c r="D39" s="117"/>
      <c r="E39" s="125" t="e">
        <f>VLOOKUP(Table257519913140106110151155170178204269[[#This Row],[PEG]],Table1016[#All],3,FALSE)</f>
        <v>#N/A</v>
      </c>
    </row>
    <row r="40" spans="1:5" x14ac:dyDescent="0.35">
      <c r="A40" s="118">
        <v>33</v>
      </c>
      <c r="B40" s="114" t="s">
        <v>12</v>
      </c>
      <c r="C40" s="109" t="e">
        <f>VLOOKUP(Table257519913140106110151155170178204269[[#This Row],[PEG]],Table1016[#All],2,FALSE)</f>
        <v>#N/A</v>
      </c>
      <c r="D40" s="117"/>
      <c r="E40" s="125" t="e">
        <f>VLOOKUP(Table257519913140106110151155170178204269[[#This Row],[PEG]],Table1016[#All],3,FALSE)</f>
        <v>#N/A</v>
      </c>
    </row>
    <row r="41" spans="1:5" x14ac:dyDescent="0.35">
      <c r="A41" s="118">
        <v>34</v>
      </c>
      <c r="B41" s="114" t="s">
        <v>115</v>
      </c>
      <c r="C41" s="109" t="e">
        <f>VLOOKUP(Table257519913140106110151155170178204269[[#This Row],[PEG]],Table1016[#All],2,FALSE)</f>
        <v>#N/A</v>
      </c>
      <c r="D41" s="117"/>
      <c r="E41" s="125" t="e">
        <f>VLOOKUP(Table257519913140106110151155170178204269[[#This Row],[PEG]],Table1016[#All],3,FALSE)</f>
        <v>#N/A</v>
      </c>
    </row>
    <row r="42" spans="1:5" x14ac:dyDescent="0.35">
      <c r="A42" s="118">
        <v>35</v>
      </c>
      <c r="B42" s="114" t="s">
        <v>12</v>
      </c>
      <c r="C42" s="109" t="e">
        <f>VLOOKUP(Table257519913140106110151155170178204269[[#This Row],[PEG]],Table1016[#All],2,FALSE)</f>
        <v>#N/A</v>
      </c>
      <c r="D42" s="115"/>
      <c r="E42" s="125" t="e">
        <f>VLOOKUP(Table257519913140106110151155170178204269[[#This Row],[PEG]],Table1016[#All],3,FALSE)</f>
        <v>#N/A</v>
      </c>
    </row>
    <row r="43" spans="1:5" x14ac:dyDescent="0.35">
      <c r="A43" s="118">
        <v>36</v>
      </c>
      <c r="B43" s="114" t="s">
        <v>115</v>
      </c>
      <c r="C43" s="109" t="e">
        <f>VLOOKUP(Table257519913140106110151155170178204269[[#This Row],[PEG]],Table1016[#All],2,FALSE)</f>
        <v>#N/A</v>
      </c>
      <c r="D43" s="115"/>
      <c r="E43" s="125" t="e">
        <f>VLOOKUP(Table257519913140106110151155170178204269[[#This Row],[PEG]],Table1016[#All],3,FALSE)</f>
        <v>#N/A</v>
      </c>
    </row>
    <row r="44" spans="1:5" x14ac:dyDescent="0.35">
      <c r="A44" s="118">
        <v>37</v>
      </c>
      <c r="B44" s="114" t="s">
        <v>13</v>
      </c>
      <c r="C44" s="18" t="s">
        <v>13</v>
      </c>
      <c r="D44" s="115"/>
      <c r="E44" s="32"/>
    </row>
  </sheetData>
  <mergeCells count="1">
    <mergeCell ref="A1:B1"/>
  </mergeCells>
  <conditionalFormatting sqref="B8:B18">
    <cfRule type="containsText" dxfId="411" priority="1" operator="containsText" text="Hear">
      <formula>NOT(ISERROR(SEARCH("Hear",B8)))</formula>
    </cfRule>
  </conditionalFormatting>
  <conditionalFormatting sqref="B30">
    <cfRule type="containsText" dxfId="410" priority="4" operator="containsText" text="Hear">
      <formula>NOT(ISERROR(SEARCH("Hear",B30)))</formula>
    </cfRule>
  </conditionalFormatting>
  <conditionalFormatting sqref="B43:B44">
    <cfRule type="containsText" dxfId="409" priority="8" operator="containsText" text="Hear">
      <formula>NOT(ISERROR(SEARCH("Hear",B43)))</formula>
    </cfRule>
  </conditionalFormatting>
  <conditionalFormatting sqref="E44">
    <cfRule type="containsText" dxfId="408" priority="6" operator="containsText" text="WEB SERVICE">
      <formula>NOT(ISERROR(SEARCH("WEB SERVICE",E44)))</formula>
    </cfRule>
    <cfRule type="containsText" dxfId="407" priority="7" operator="containsText" text="DB">
      <formula>NOT(ISERROR(SEARCH("DB",E44)))</formula>
    </cfRule>
  </conditionalFormatting>
  <conditionalFormatting sqref="C44">
    <cfRule type="expression" dxfId="406" priority="9">
      <formula>$B44="Dial"</formula>
    </cfRule>
  </conditionalFormatting>
  <conditionalFormatting sqref="C44">
    <cfRule type="expression" dxfId="405" priority="3">
      <formula>$B44="Speak"</formula>
    </cfRule>
  </conditionalFormatting>
  <conditionalFormatting sqref="B19:B29 B31:B35 B42">
    <cfRule type="containsText" dxfId="404" priority="5" operator="containsText" text="Hear">
      <formula>NOT(ISERROR(SEARCH("Hear",B19)))</formula>
    </cfRule>
  </conditionalFormatting>
  <hyperlinks>
    <hyperlink ref="A1" location="'Test Case Overview'!A1" display="Return to Test Case Overview" xr:uid="{9D2E680A-FA73-4731-84B3-BC1FCEB0DD4A}"/>
  </hyperlinks>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expression" priority="2" id="{B19C3560-CCDF-4B4A-8DBD-0194D2C1165A}">
            <xm:f>'TC1'!$B8="HANGUP"</xm:f>
            <x14:dxf>
              <font>
                <b/>
                <i val="0"/>
              </font>
            </x14:dxf>
          </x14:cfRule>
          <xm:sqref>C8</xm:sqref>
        </x14:conditionalFormatting>
        <x14:conditionalFormatting xmlns:xm="http://schemas.microsoft.com/office/excel/2006/main">
          <x14:cfRule type="expression" priority="3366" id="{B19C3560-CCDF-4B4A-8DBD-0194D2C1165A}">
            <xm:f>'TC1'!$B16="HANGUP"</xm:f>
            <x14:dxf>
              <font>
                <b/>
                <i val="0"/>
              </font>
            </x14:dxf>
          </x14:cfRule>
          <xm:sqref>C34:C43</xm:sqref>
        </x14:conditionalFormatting>
        <x14:conditionalFormatting xmlns:xm="http://schemas.microsoft.com/office/excel/2006/main">
          <x14:cfRule type="expression" priority="3367" id="{B19C3560-CCDF-4B4A-8DBD-0194D2C1165A}">
            <xm:f>'TC1'!#REF!="HANGUP"</xm:f>
            <x14:dxf>
              <font>
                <b/>
                <i val="0"/>
              </font>
            </x14:dxf>
          </x14:cfRule>
          <xm:sqref>C17:C33</xm:sqref>
        </x14:conditionalFormatting>
        <x14:conditionalFormatting xmlns:xm="http://schemas.microsoft.com/office/excel/2006/main">
          <x14:cfRule type="expression" priority="5980" id="{B19C3560-CCDF-4B4A-8DBD-0194D2C1165A}">
            <xm:f>'TC1'!$B9="HANGUP"</xm:f>
            <x14:dxf>
              <font>
                <b/>
                <i val="0"/>
              </font>
            </x14:dxf>
          </x14:cfRule>
          <xm:sqref>C12:C15</xm:sqref>
        </x14:conditionalFormatting>
        <x14:conditionalFormatting xmlns:xm="http://schemas.microsoft.com/office/excel/2006/main">
          <x14:cfRule type="expression" priority="5981" id="{B19C3560-CCDF-4B4A-8DBD-0194D2C1165A}">
            <xm:f>'TC1'!#REF!="HANGUP"</xm:f>
            <x14:dxf>
              <font>
                <b/>
                <i val="0"/>
              </font>
            </x14:dxf>
          </x14:cfRule>
          <xm:sqref>C9:C11</xm:sqref>
        </x14:conditionalFormatting>
        <x14:conditionalFormatting xmlns:xm="http://schemas.microsoft.com/office/excel/2006/main">
          <x14:cfRule type="expression" priority="8148" id="{B19C3560-CCDF-4B4A-8DBD-0194D2C1165A}">
            <xm:f>'TC1'!$B15="HANGUP"</xm:f>
            <x14:dxf>
              <font>
                <b/>
                <i val="0"/>
              </font>
            </x14:dxf>
          </x14:cfRule>
          <xm:sqref>C16</xm:sqref>
        </x14:conditionalFormatting>
      </x14:conditionalFormattings>
    </ext>
  </extLst>
</worksheet>
</file>

<file path=xl/worksheets/sheet1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B500-000000000000}">
  <sheetPr codeName="Sheet183"/>
  <dimension ref="A1:E44"/>
  <sheetViews>
    <sheetView zoomScaleNormal="100" workbookViewId="0">
      <selection sqref="A1:E44"/>
    </sheetView>
  </sheetViews>
  <sheetFormatPr defaultRowHeight="14.5" x14ac:dyDescent="0.35"/>
  <cols>
    <col min="1" max="1" width="14.453125" bestFit="1" customWidth="1"/>
    <col min="2" max="2" width="42.6328125" customWidth="1"/>
    <col min="3" max="3" width="106.1796875" customWidth="1"/>
    <col min="4" max="4" width="21.81640625" bestFit="1" customWidth="1"/>
    <col min="5" max="5" width="20.6328125" customWidth="1"/>
  </cols>
  <sheetData>
    <row r="1" spans="1:5" ht="18.5" x14ac:dyDescent="0.35">
      <c r="A1" s="192" t="s">
        <v>4</v>
      </c>
      <c r="B1" s="192"/>
      <c r="C1" s="105"/>
      <c r="D1" s="111"/>
      <c r="E1" s="97"/>
    </row>
    <row r="2" spans="1:5" x14ac:dyDescent="0.35">
      <c r="A2" s="106" t="s">
        <v>5</v>
      </c>
      <c r="B2" s="107" t="str">
        <f ca="1">MID(CELL("filename",A1),FIND("]",CELL("filename",A1))+1,LEN(CELL("filename",A1))-FIND("]",CELL("filename",A1)))</f>
        <v>TC181</v>
      </c>
      <c r="C2" s="98"/>
      <c r="D2" s="111"/>
      <c r="E2" s="97"/>
    </row>
    <row r="3" spans="1:5" x14ac:dyDescent="0.35">
      <c r="A3" s="104" t="s">
        <v>19</v>
      </c>
      <c r="B3" s="112" t="e">
        <f ca="1">VLOOKUP(B2,Table53[#All],2,FALSE)</f>
        <v>#N/A</v>
      </c>
      <c r="C3" s="98"/>
      <c r="D3" s="111"/>
      <c r="E3" s="97"/>
    </row>
    <row r="4" spans="1:5" ht="29" x14ac:dyDescent="0.35">
      <c r="A4" s="113" t="s">
        <v>20</v>
      </c>
      <c r="B4" s="99" t="e">
        <f ca="1">VLOOKUP(B2,Table53[#All],4,FALSE)</f>
        <v>#N/A</v>
      </c>
      <c r="C4" s="98"/>
      <c r="D4" s="111"/>
      <c r="E4" s="97"/>
    </row>
    <row r="5" spans="1:5" x14ac:dyDescent="0.35">
      <c r="A5" s="104" t="s">
        <v>6</v>
      </c>
      <c r="B5" s="77" t="e">
        <f ca="1">VLOOKUP(B2,Table53[#All],3,FALSE)</f>
        <v>#N/A</v>
      </c>
      <c r="C5" s="98"/>
      <c r="D5" s="111"/>
      <c r="E5" s="97"/>
    </row>
    <row r="6" spans="1:5" x14ac:dyDescent="0.35">
      <c r="A6" s="97"/>
      <c r="B6" s="97"/>
      <c r="C6" s="98"/>
      <c r="D6" s="111"/>
      <c r="E6" s="97"/>
    </row>
    <row r="7" spans="1:5" ht="15.5" x14ac:dyDescent="0.35">
      <c r="A7" s="100" t="s">
        <v>7</v>
      </c>
      <c r="B7" s="101" t="s">
        <v>8</v>
      </c>
      <c r="C7" s="102" t="s">
        <v>9</v>
      </c>
      <c r="D7" s="102" t="s">
        <v>14</v>
      </c>
      <c r="E7" s="103" t="s">
        <v>10</v>
      </c>
    </row>
    <row r="8" spans="1:5" x14ac:dyDescent="0.35">
      <c r="A8" s="118">
        <v>1</v>
      </c>
      <c r="B8" s="114" t="s">
        <v>114</v>
      </c>
      <c r="C8" s="109" t="s">
        <v>125</v>
      </c>
      <c r="D8" s="128"/>
      <c r="E8" s="125" t="s">
        <v>11</v>
      </c>
    </row>
    <row r="9" spans="1:5" x14ac:dyDescent="0.35">
      <c r="A9" s="118">
        <v>2</v>
      </c>
      <c r="B9" s="114" t="s">
        <v>12</v>
      </c>
      <c r="C9" s="109" t="e">
        <f>VLOOKUP(Table257519913140106110151155170178204271[[#This Row],[PEG]],Table1016[#All],2,FALSE)</f>
        <v>#N/A</v>
      </c>
      <c r="D9" s="128"/>
      <c r="E9" s="125" t="e">
        <f>VLOOKUP(Table257519913140106110151155170178204271[[#This Row],[PEG]],Table1016[#All],3,FALSE)</f>
        <v>#N/A</v>
      </c>
    </row>
    <row r="10" spans="1:5" x14ac:dyDescent="0.35">
      <c r="A10" s="118">
        <v>3</v>
      </c>
      <c r="B10" s="114" t="s">
        <v>115</v>
      </c>
      <c r="C10" s="109" t="e">
        <f>VLOOKUP(Table257519913140106110151155170178204271[[#This Row],[PEG]],Table1016[#All],2,FALSE)</f>
        <v>#N/A</v>
      </c>
      <c r="D10" s="128"/>
      <c r="E10" s="125" t="e">
        <f>VLOOKUP(Table257519913140106110151155170178204271[[#This Row],[PEG]],Table1016[#All],3,FALSE)</f>
        <v>#N/A</v>
      </c>
    </row>
    <row r="11" spans="1:5" x14ac:dyDescent="0.35">
      <c r="A11" s="118">
        <v>4</v>
      </c>
      <c r="B11" s="114" t="s">
        <v>115</v>
      </c>
      <c r="C11" s="109" t="e">
        <f>VLOOKUP(Table257519913140106110151155170178204271[[#This Row],[PEG]],Table1016[#All],2,FALSE)</f>
        <v>#N/A</v>
      </c>
      <c r="D11" s="128"/>
      <c r="E11" s="125" t="e">
        <f>VLOOKUP(Table257519913140106110151155170178204271[[#This Row],[PEG]],Table1016[#All],3,FALSE)</f>
        <v>#N/A</v>
      </c>
    </row>
    <row r="12" spans="1:5" x14ac:dyDescent="0.35">
      <c r="A12" s="118">
        <v>5</v>
      </c>
      <c r="B12" s="114" t="s">
        <v>114</v>
      </c>
      <c r="C12" s="109" t="e">
        <f>VLOOKUP(Table257519913140106110151155170178204271[[#This Row],[PEG]],Table1016[#All],2,FALSE)</f>
        <v>#N/A</v>
      </c>
      <c r="D12" s="128"/>
      <c r="E12" s="125" t="e">
        <f>VLOOKUP(Table257519913140106110151155170178204271[[#This Row],[PEG]],Table1016[#All],3,FALSE)</f>
        <v>#N/A</v>
      </c>
    </row>
    <row r="13" spans="1:5" x14ac:dyDescent="0.35">
      <c r="A13" s="118">
        <v>6</v>
      </c>
      <c r="B13" s="114" t="s">
        <v>115</v>
      </c>
      <c r="C13" s="109" t="e">
        <f>VLOOKUP(Table257519913140106110151155170178204271[[#This Row],[PEG]],Table1016[#All],2,FALSE)</f>
        <v>#N/A</v>
      </c>
      <c r="D13" s="128"/>
      <c r="E13" s="125" t="e">
        <f>VLOOKUP(Table257519913140106110151155170178204271[[#This Row],[PEG]],Table1016[#All],3,FALSE)</f>
        <v>#N/A</v>
      </c>
    </row>
    <row r="14" spans="1:5" x14ac:dyDescent="0.35">
      <c r="A14" s="118">
        <v>7</v>
      </c>
      <c r="B14" s="114" t="s">
        <v>114</v>
      </c>
      <c r="C14" s="109" t="e">
        <f>VLOOKUP(Table257519913140106110151155170178204271[[#This Row],[PEG]],Table1016[#All],2,FALSE)</f>
        <v>#N/A</v>
      </c>
      <c r="D14" s="128"/>
      <c r="E14" s="125" t="e">
        <f>VLOOKUP(Table257519913140106110151155170178204271[[#This Row],[PEG]],Table1016[#All],3,FALSE)</f>
        <v>#N/A</v>
      </c>
    </row>
    <row r="15" spans="1:5" x14ac:dyDescent="0.35">
      <c r="A15" s="118">
        <v>8</v>
      </c>
      <c r="B15" s="114" t="s">
        <v>115</v>
      </c>
      <c r="C15" s="109" t="e">
        <f>VLOOKUP(Table257519913140106110151155170178204271[[#This Row],[PEG]],Table1016[#All],2,FALSE)</f>
        <v>#N/A</v>
      </c>
      <c r="D15" s="116"/>
      <c r="E15" s="125" t="e">
        <f>VLOOKUP(Table257519913140106110151155170178204271[[#This Row],[PEG]],Table1016[#All],3,FALSE)</f>
        <v>#N/A</v>
      </c>
    </row>
    <row r="16" spans="1:5" x14ac:dyDescent="0.35">
      <c r="A16" s="118">
        <v>9</v>
      </c>
      <c r="B16" s="114" t="s">
        <v>12</v>
      </c>
      <c r="C16" s="109" t="e">
        <f>VLOOKUP(Table257519913140106110151155170178204271[[#This Row],[PEG]],Table1016[#All],2,FALSE)</f>
        <v>#N/A</v>
      </c>
      <c r="D16" s="116"/>
      <c r="E16" s="125" t="e">
        <f>VLOOKUP(Table257519913140106110151155170178204271[[#This Row],[PEG]],Table1016[#All],3,FALSE)</f>
        <v>#N/A</v>
      </c>
    </row>
    <row r="17" spans="1:5" x14ac:dyDescent="0.35">
      <c r="A17" s="118">
        <v>10</v>
      </c>
      <c r="B17" s="114" t="s">
        <v>12</v>
      </c>
      <c r="C17" s="109" t="e">
        <f>VLOOKUP(Table257519913140106110151155170178204271[[#This Row],[PEG]],Table1016[#All],2,FALSE)</f>
        <v>#N/A</v>
      </c>
      <c r="D17" s="117"/>
      <c r="E17" s="125" t="e">
        <f>VLOOKUP(Table257519913140106110151155170178204271[[#This Row],[PEG]],Table1016[#All],3,FALSE)</f>
        <v>#N/A</v>
      </c>
    </row>
    <row r="18" spans="1:5" x14ac:dyDescent="0.35">
      <c r="A18" s="118">
        <v>11</v>
      </c>
      <c r="B18" s="114" t="s">
        <v>115</v>
      </c>
      <c r="C18" s="109" t="e">
        <f>VLOOKUP(Table257519913140106110151155170178204271[[#This Row],[PEG]],Table1016[#All],2,FALSE)</f>
        <v>#N/A</v>
      </c>
      <c r="D18" s="117"/>
      <c r="E18" s="125" t="e">
        <f>VLOOKUP(Table257519913140106110151155170178204271[[#This Row],[PEG]],Table1016[#All],3,FALSE)</f>
        <v>#N/A</v>
      </c>
    </row>
    <row r="19" spans="1:5" x14ac:dyDescent="0.35">
      <c r="A19" s="118">
        <v>12</v>
      </c>
      <c r="B19" s="114" t="s">
        <v>115</v>
      </c>
      <c r="C19" s="109" t="e">
        <f>VLOOKUP(Table257519913140106110151155170178204271[[#This Row],[PEG]],Table1016[#All],2,FALSE)</f>
        <v>#N/A</v>
      </c>
      <c r="D19" s="117"/>
      <c r="E19" s="125" t="e">
        <f>VLOOKUP(Table257519913140106110151155170178204271[[#This Row],[PEG]],Table1016[#All],3,FALSE)</f>
        <v>#N/A</v>
      </c>
    </row>
    <row r="20" spans="1:5" x14ac:dyDescent="0.35">
      <c r="A20" s="118">
        <v>13</v>
      </c>
      <c r="B20" s="114" t="s">
        <v>114</v>
      </c>
      <c r="C20" s="109" t="e">
        <f>VLOOKUP(Table257519913140106110151155170178204271[[#This Row],[PEG]],Table1016[#All],2,FALSE)</f>
        <v>#N/A</v>
      </c>
      <c r="D20" s="117"/>
      <c r="E20" s="125" t="e">
        <f>VLOOKUP(Table257519913140106110151155170178204271[[#This Row],[PEG]],Table1016[#All],3,FALSE)</f>
        <v>#N/A</v>
      </c>
    </row>
    <row r="21" spans="1:5" x14ac:dyDescent="0.35">
      <c r="A21" s="118">
        <v>14</v>
      </c>
      <c r="B21" s="114" t="s">
        <v>12</v>
      </c>
      <c r="C21" s="109" t="e">
        <f>VLOOKUP(Table257519913140106110151155170178204271[[#This Row],[PEG]],Table1016[#All],2,FALSE)</f>
        <v>#N/A</v>
      </c>
      <c r="D21" s="117"/>
      <c r="E21" s="125" t="e">
        <f>VLOOKUP(Table257519913140106110151155170178204271[[#This Row],[PEG]],Table1016[#All],3,FALSE)</f>
        <v>#N/A</v>
      </c>
    </row>
    <row r="22" spans="1:5" x14ac:dyDescent="0.35">
      <c r="A22" s="118">
        <v>15</v>
      </c>
      <c r="B22" s="114" t="s">
        <v>12</v>
      </c>
      <c r="C22" s="109" t="e">
        <f>VLOOKUP(Table257519913140106110151155170178204271[[#This Row],[PEG]],Table1016[#All],2,FALSE)</f>
        <v>#N/A</v>
      </c>
      <c r="D22" s="117"/>
      <c r="E22" s="125" t="e">
        <f>VLOOKUP(Table257519913140106110151155170178204271[[#This Row],[PEG]],Table1016[#All],3,FALSE)</f>
        <v>#N/A</v>
      </c>
    </row>
    <row r="23" spans="1:5" x14ac:dyDescent="0.35">
      <c r="A23" s="118">
        <v>16</v>
      </c>
      <c r="B23" s="114" t="s">
        <v>115</v>
      </c>
      <c r="C23" s="109" t="e">
        <f>VLOOKUP(Table257519913140106110151155170178204271[[#This Row],[PEG]],Table1016[#All],2,FALSE)</f>
        <v>#N/A</v>
      </c>
      <c r="D23" s="117"/>
      <c r="E23" s="125" t="e">
        <f>VLOOKUP(Table257519913140106110151155170178204271[[#This Row],[PEG]],Table1016[#All],3,FALSE)</f>
        <v>#N/A</v>
      </c>
    </row>
    <row r="24" spans="1:5" x14ac:dyDescent="0.35">
      <c r="A24" s="118">
        <v>17</v>
      </c>
      <c r="B24" s="114" t="s">
        <v>114</v>
      </c>
      <c r="C24" s="109" t="e">
        <f>VLOOKUP(Table257519913140106110151155170178204271[[#This Row],[PEG]],Table1016[#All],2,FALSE)</f>
        <v>#N/A</v>
      </c>
      <c r="D24" s="117"/>
      <c r="E24" s="125" t="e">
        <f>VLOOKUP(Table257519913140106110151155170178204271[[#This Row],[PEG]],Table1016[#All],3,FALSE)</f>
        <v>#N/A</v>
      </c>
    </row>
    <row r="25" spans="1:5" x14ac:dyDescent="0.35">
      <c r="A25" s="118">
        <v>18</v>
      </c>
      <c r="B25" s="114" t="s">
        <v>12</v>
      </c>
      <c r="C25" s="109" t="e">
        <f>VLOOKUP(Table257519913140106110151155170178204271[[#This Row],[PEG]],Table1016[#All],2,FALSE)</f>
        <v>#N/A</v>
      </c>
      <c r="D25" s="117"/>
      <c r="E25" s="125" t="e">
        <f>VLOOKUP(Table257519913140106110151155170178204271[[#This Row],[PEG]],Table1016[#All],3,FALSE)</f>
        <v>#N/A</v>
      </c>
    </row>
    <row r="26" spans="1:5" x14ac:dyDescent="0.35">
      <c r="A26" s="118">
        <v>19</v>
      </c>
      <c r="B26" s="114" t="s">
        <v>12</v>
      </c>
      <c r="C26" s="109" t="e">
        <f>VLOOKUP(Table257519913140106110151155170178204271[[#This Row],[PEG]],Table1016[#All],2,FALSE)</f>
        <v>#N/A</v>
      </c>
      <c r="D26" s="117"/>
      <c r="E26" s="125" t="e">
        <f>VLOOKUP(Table257519913140106110151155170178204271[[#This Row],[PEG]],Table1016[#All],3,FALSE)</f>
        <v>#N/A</v>
      </c>
    </row>
    <row r="27" spans="1:5" x14ac:dyDescent="0.35">
      <c r="A27" s="118">
        <v>20</v>
      </c>
      <c r="B27" s="114" t="s">
        <v>115</v>
      </c>
      <c r="C27" s="109" t="e">
        <f>VLOOKUP(Table257519913140106110151155170178204271[[#This Row],[PEG]],Table1016[#All],2,FALSE)</f>
        <v>#N/A</v>
      </c>
      <c r="D27" s="117"/>
      <c r="E27" s="125" t="e">
        <f>VLOOKUP(Table257519913140106110151155170178204271[[#This Row],[PEG]],Table1016[#All],3,FALSE)</f>
        <v>#N/A</v>
      </c>
    </row>
    <row r="28" spans="1:5" x14ac:dyDescent="0.35">
      <c r="A28" s="118">
        <v>21</v>
      </c>
      <c r="B28" s="114" t="s">
        <v>114</v>
      </c>
      <c r="C28" s="109" t="e">
        <f>VLOOKUP(Table257519913140106110151155170178204271[[#This Row],[PEG]],Table1016[#All],2,FALSE)</f>
        <v>#N/A</v>
      </c>
      <c r="D28" s="117"/>
      <c r="E28" s="125" t="e">
        <f>VLOOKUP(Table257519913140106110151155170178204271[[#This Row],[PEG]],Table1016[#All],3,FALSE)</f>
        <v>#N/A</v>
      </c>
    </row>
    <row r="29" spans="1:5" x14ac:dyDescent="0.35">
      <c r="A29" s="118">
        <v>22</v>
      </c>
      <c r="B29" s="114" t="s">
        <v>12</v>
      </c>
      <c r="C29" s="109" t="e">
        <f>VLOOKUP(Table257519913140106110151155170178204271[[#This Row],[PEG]],Table1016[#All],2,FALSE)</f>
        <v>#N/A</v>
      </c>
      <c r="D29" s="117"/>
      <c r="E29" s="125" t="e">
        <f>VLOOKUP(Table257519913140106110151155170178204271[[#This Row],[PEG]],Table1016[#All],3,FALSE)</f>
        <v>#N/A</v>
      </c>
    </row>
    <row r="30" spans="1:5" x14ac:dyDescent="0.35">
      <c r="A30" s="118">
        <v>23</v>
      </c>
      <c r="B30" s="114" t="s">
        <v>12</v>
      </c>
      <c r="C30" s="109" t="e">
        <f>VLOOKUP(Table257519913140106110151155170178204271[[#This Row],[PEG]],Table1016[#All],2,FALSE)</f>
        <v>#N/A</v>
      </c>
      <c r="D30" s="117"/>
      <c r="E30" s="125" t="e">
        <f>VLOOKUP(Table257519913140106110151155170178204271[[#This Row],[PEG]],Table1016[#All],3,FALSE)</f>
        <v>#N/A</v>
      </c>
    </row>
    <row r="31" spans="1:5" x14ac:dyDescent="0.35">
      <c r="A31" s="118">
        <v>24</v>
      </c>
      <c r="B31" s="114" t="s">
        <v>115</v>
      </c>
      <c r="C31" s="109" t="e">
        <f>VLOOKUP(Table257519913140106110151155170178204271[[#This Row],[PEG]],Table1016[#All],2,FALSE)</f>
        <v>#N/A</v>
      </c>
      <c r="D31" s="117"/>
      <c r="E31" s="125" t="e">
        <f>VLOOKUP(Table257519913140106110151155170178204271[[#This Row],[PEG]],Table1016[#All],3,FALSE)</f>
        <v>#N/A</v>
      </c>
    </row>
    <row r="32" spans="1:5" x14ac:dyDescent="0.35">
      <c r="A32" s="118">
        <v>25</v>
      </c>
      <c r="B32" s="114" t="s">
        <v>115</v>
      </c>
      <c r="C32" s="109" t="e">
        <f>VLOOKUP(Table257519913140106110151155170178204271[[#This Row],[PEG]],Table1016[#All],2,FALSE)</f>
        <v>#N/A</v>
      </c>
      <c r="D32" s="117"/>
      <c r="E32" s="125" t="e">
        <f>VLOOKUP(Table257519913140106110151155170178204271[[#This Row],[PEG]],Table1016[#All],3,FALSE)</f>
        <v>#N/A</v>
      </c>
    </row>
    <row r="33" spans="1:5" x14ac:dyDescent="0.35">
      <c r="A33" s="118">
        <v>26</v>
      </c>
      <c r="B33" s="114" t="s">
        <v>124</v>
      </c>
      <c r="C33" s="109" t="e">
        <f>VLOOKUP(Table257519913140106110151155170178204271[[#This Row],[PEG]],Table1016[#All],2,FALSE)</f>
        <v>#N/A</v>
      </c>
      <c r="D33" s="117"/>
      <c r="E33" s="125" t="e">
        <f>VLOOKUP(Table257519913140106110151155170178204271[[#This Row],[PEG]],Table1016[#All],3,FALSE)</f>
        <v>#N/A</v>
      </c>
    </row>
    <row r="34" spans="1:5" x14ac:dyDescent="0.35">
      <c r="A34" s="118">
        <v>27</v>
      </c>
      <c r="B34" s="114" t="s">
        <v>115</v>
      </c>
      <c r="C34" s="109" t="e">
        <f>VLOOKUP(Table257519913140106110151155170178204271[[#This Row],[PEG]],Table1016[#All],2,FALSE)</f>
        <v>#N/A</v>
      </c>
      <c r="D34" s="117"/>
      <c r="E34" s="125" t="e">
        <f>VLOOKUP(Table257519913140106110151155170178204271[[#This Row],[PEG]],Table1016[#All],3,FALSE)</f>
        <v>#N/A</v>
      </c>
    </row>
    <row r="35" spans="1:5" x14ac:dyDescent="0.35">
      <c r="A35" s="118">
        <v>28</v>
      </c>
      <c r="B35" s="114" t="s">
        <v>124</v>
      </c>
      <c r="C35" s="109" t="e">
        <f>VLOOKUP(Table257519913140106110151155170178204271[[#This Row],[PEG]],Table1016[#All],2,FALSE)</f>
        <v>#N/A</v>
      </c>
      <c r="D35" s="117"/>
      <c r="E35" s="125" t="e">
        <f>VLOOKUP(Table257519913140106110151155170178204271[[#This Row],[PEG]],Table1016[#All],3,FALSE)</f>
        <v>#N/A</v>
      </c>
    </row>
    <row r="36" spans="1:5" x14ac:dyDescent="0.35">
      <c r="A36" s="118">
        <v>29</v>
      </c>
      <c r="B36" s="114" t="s">
        <v>115</v>
      </c>
      <c r="C36" s="109" t="e">
        <f>VLOOKUP(Table257519913140106110151155170178204271[[#This Row],[PEG]],Table1016[#All],2,FALSE)</f>
        <v>#N/A</v>
      </c>
      <c r="D36" s="117"/>
      <c r="E36" s="125" t="e">
        <f>VLOOKUP(Table257519913140106110151155170178204271[[#This Row],[PEG]],Table1016[#All],3,FALSE)</f>
        <v>#N/A</v>
      </c>
    </row>
    <row r="37" spans="1:5" x14ac:dyDescent="0.35">
      <c r="A37" s="118">
        <v>30</v>
      </c>
      <c r="B37" s="114" t="s">
        <v>12</v>
      </c>
      <c r="C37" s="109" t="e">
        <f>VLOOKUP(Table257519913140106110151155170178204271[[#This Row],[PEG]],Table1016[#All],2,FALSE)</f>
        <v>#N/A</v>
      </c>
      <c r="D37" s="117"/>
      <c r="E37" s="125" t="e">
        <f>VLOOKUP(Table257519913140106110151155170178204271[[#This Row],[PEG]],Table1016[#All],3,FALSE)</f>
        <v>#N/A</v>
      </c>
    </row>
    <row r="38" spans="1:5" x14ac:dyDescent="0.35">
      <c r="A38" s="118">
        <v>31</v>
      </c>
      <c r="B38" s="114" t="s">
        <v>12</v>
      </c>
      <c r="C38" s="109" t="e">
        <f>VLOOKUP(Table257519913140106110151155170178204271[[#This Row],[PEG]],Table1016[#All],2,FALSE)</f>
        <v>#N/A</v>
      </c>
      <c r="D38" s="117"/>
      <c r="E38" s="125" t="e">
        <f>VLOOKUP(Table257519913140106110151155170178204271[[#This Row],[PEG]],Table1016[#All],3,FALSE)</f>
        <v>#N/A</v>
      </c>
    </row>
    <row r="39" spans="1:5" x14ac:dyDescent="0.35">
      <c r="A39" s="118">
        <v>32</v>
      </c>
      <c r="B39" s="114" t="s">
        <v>12</v>
      </c>
      <c r="C39" s="109" t="e">
        <f>VLOOKUP(Table257519913140106110151155170178204271[[#This Row],[PEG]],Table1016[#All],2,FALSE)</f>
        <v>#N/A</v>
      </c>
      <c r="D39" s="117"/>
      <c r="E39" s="125" t="e">
        <f>VLOOKUP(Table257519913140106110151155170178204271[[#This Row],[PEG]],Table1016[#All],3,FALSE)</f>
        <v>#N/A</v>
      </c>
    </row>
    <row r="40" spans="1:5" x14ac:dyDescent="0.35">
      <c r="A40" s="118">
        <v>33</v>
      </c>
      <c r="B40" s="114" t="s">
        <v>12</v>
      </c>
      <c r="C40" s="109" t="e">
        <f>VLOOKUP(Table257519913140106110151155170178204271[[#This Row],[PEG]],Table1016[#All],2,FALSE)</f>
        <v>#N/A</v>
      </c>
      <c r="D40" s="117"/>
      <c r="E40" s="125" t="e">
        <f>VLOOKUP(Table257519913140106110151155170178204271[[#This Row],[PEG]],Table1016[#All],3,FALSE)</f>
        <v>#N/A</v>
      </c>
    </row>
    <row r="41" spans="1:5" x14ac:dyDescent="0.35">
      <c r="A41" s="118">
        <v>34</v>
      </c>
      <c r="B41" s="114" t="s">
        <v>115</v>
      </c>
      <c r="C41" s="109" t="e">
        <f>VLOOKUP(Table257519913140106110151155170178204271[[#This Row],[PEG]],Table1016[#All],2,FALSE)</f>
        <v>#N/A</v>
      </c>
      <c r="D41" s="117"/>
      <c r="E41" s="125" t="e">
        <f>VLOOKUP(Table257519913140106110151155170178204271[[#This Row],[PEG]],Table1016[#All],3,FALSE)</f>
        <v>#N/A</v>
      </c>
    </row>
    <row r="42" spans="1:5" x14ac:dyDescent="0.35">
      <c r="A42" s="118">
        <v>35</v>
      </c>
      <c r="B42" s="114" t="s">
        <v>12</v>
      </c>
      <c r="C42" s="109" t="e">
        <f>VLOOKUP(Table257519913140106110151155170178204271[[#This Row],[PEG]],Table1016[#All],2,FALSE)</f>
        <v>#N/A</v>
      </c>
      <c r="D42" s="115"/>
      <c r="E42" s="125" t="e">
        <f>VLOOKUP(Table257519913140106110151155170178204271[[#This Row],[PEG]],Table1016[#All],3,FALSE)</f>
        <v>#N/A</v>
      </c>
    </row>
    <row r="43" spans="1:5" x14ac:dyDescent="0.35">
      <c r="A43" s="118">
        <v>36</v>
      </c>
      <c r="B43" s="114" t="s">
        <v>115</v>
      </c>
      <c r="C43" s="109" t="e">
        <f>VLOOKUP(Table257519913140106110151155170178204271[[#This Row],[PEG]],Table1016[#All],2,FALSE)</f>
        <v>#N/A</v>
      </c>
      <c r="D43" s="115"/>
      <c r="E43" s="125" t="e">
        <f>VLOOKUP(Table257519913140106110151155170178204271[[#This Row],[PEG]],Table1016[#All],3,FALSE)</f>
        <v>#N/A</v>
      </c>
    </row>
    <row r="44" spans="1:5" x14ac:dyDescent="0.35">
      <c r="A44" s="118">
        <v>37</v>
      </c>
      <c r="B44" s="114" t="s">
        <v>13</v>
      </c>
      <c r="C44" s="18" t="s">
        <v>13</v>
      </c>
      <c r="D44" s="115"/>
      <c r="E44" s="32"/>
    </row>
  </sheetData>
  <mergeCells count="1">
    <mergeCell ref="A1:B1"/>
  </mergeCells>
  <conditionalFormatting sqref="B8:B18">
    <cfRule type="containsText" dxfId="397" priority="1" operator="containsText" text="Hear">
      <formula>NOT(ISERROR(SEARCH("Hear",B8)))</formula>
    </cfRule>
  </conditionalFormatting>
  <conditionalFormatting sqref="B30">
    <cfRule type="containsText" dxfId="396" priority="4" operator="containsText" text="Hear">
      <formula>NOT(ISERROR(SEARCH("Hear",B30)))</formula>
    </cfRule>
  </conditionalFormatting>
  <conditionalFormatting sqref="B43:B44">
    <cfRule type="containsText" dxfId="395" priority="8" operator="containsText" text="Hear">
      <formula>NOT(ISERROR(SEARCH("Hear",B43)))</formula>
    </cfRule>
  </conditionalFormatting>
  <conditionalFormatting sqref="E44">
    <cfRule type="containsText" dxfId="394" priority="6" operator="containsText" text="WEB SERVICE">
      <formula>NOT(ISERROR(SEARCH("WEB SERVICE",E44)))</formula>
    </cfRule>
    <cfRule type="containsText" dxfId="393" priority="7" operator="containsText" text="DB">
      <formula>NOT(ISERROR(SEARCH("DB",E44)))</formula>
    </cfRule>
  </conditionalFormatting>
  <conditionalFormatting sqref="C44">
    <cfRule type="expression" dxfId="392" priority="9">
      <formula>$B44="Dial"</formula>
    </cfRule>
  </conditionalFormatting>
  <conditionalFormatting sqref="C44">
    <cfRule type="expression" dxfId="391" priority="3">
      <formula>$B44="Speak"</formula>
    </cfRule>
  </conditionalFormatting>
  <conditionalFormatting sqref="B19:B29 B31:B35 B42">
    <cfRule type="containsText" dxfId="390" priority="5" operator="containsText" text="Hear">
      <formula>NOT(ISERROR(SEARCH("Hear",B19)))</formula>
    </cfRule>
  </conditionalFormatting>
  <hyperlinks>
    <hyperlink ref="A1" location="'Test Case Overview'!A1" display="Return to Test Case Overview" xr:uid="{EFEC17B6-A332-4C71-9387-0D5C32747CB9}"/>
  </hyperlinks>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expression" priority="2" id="{412C6EFC-57FA-473B-B24D-C121B95B81F4}">
            <xm:f>'TC1'!$B8="HANGUP"</xm:f>
            <x14:dxf>
              <font>
                <b/>
                <i val="0"/>
              </font>
            </x14:dxf>
          </x14:cfRule>
          <xm:sqref>C8</xm:sqref>
        </x14:conditionalFormatting>
        <x14:conditionalFormatting xmlns:xm="http://schemas.microsoft.com/office/excel/2006/main">
          <x14:cfRule type="expression" priority="3370" id="{412C6EFC-57FA-473B-B24D-C121B95B81F4}">
            <xm:f>'TC1'!$B16="HANGUP"</xm:f>
            <x14:dxf>
              <font>
                <b/>
                <i val="0"/>
              </font>
            </x14:dxf>
          </x14:cfRule>
          <xm:sqref>C34:C43</xm:sqref>
        </x14:conditionalFormatting>
        <x14:conditionalFormatting xmlns:xm="http://schemas.microsoft.com/office/excel/2006/main">
          <x14:cfRule type="expression" priority="3371" id="{412C6EFC-57FA-473B-B24D-C121B95B81F4}">
            <xm:f>'TC1'!#REF!="HANGUP"</xm:f>
            <x14:dxf>
              <font>
                <b/>
                <i val="0"/>
              </font>
            </x14:dxf>
          </x14:cfRule>
          <xm:sqref>C17:C33</xm:sqref>
        </x14:conditionalFormatting>
        <x14:conditionalFormatting xmlns:xm="http://schemas.microsoft.com/office/excel/2006/main">
          <x14:cfRule type="expression" priority="5984" id="{412C6EFC-57FA-473B-B24D-C121B95B81F4}">
            <xm:f>'TC1'!$B9="HANGUP"</xm:f>
            <x14:dxf>
              <font>
                <b/>
                <i val="0"/>
              </font>
            </x14:dxf>
          </x14:cfRule>
          <xm:sqref>C12:C15</xm:sqref>
        </x14:conditionalFormatting>
        <x14:conditionalFormatting xmlns:xm="http://schemas.microsoft.com/office/excel/2006/main">
          <x14:cfRule type="expression" priority="5985" id="{412C6EFC-57FA-473B-B24D-C121B95B81F4}">
            <xm:f>'TC1'!#REF!="HANGUP"</xm:f>
            <x14:dxf>
              <font>
                <b/>
                <i val="0"/>
              </font>
            </x14:dxf>
          </x14:cfRule>
          <xm:sqref>C9:C11</xm:sqref>
        </x14:conditionalFormatting>
        <x14:conditionalFormatting xmlns:xm="http://schemas.microsoft.com/office/excel/2006/main">
          <x14:cfRule type="expression" priority="8151" id="{412C6EFC-57FA-473B-B24D-C121B95B81F4}">
            <xm:f>'TC1'!$B15="HANGUP"</xm:f>
            <x14:dxf>
              <font>
                <b/>
                <i val="0"/>
              </font>
            </x14:dxf>
          </x14:cfRule>
          <xm:sqref>C16</xm:sqref>
        </x14:conditionalFormatting>
      </x14:conditionalFormattings>
    </ext>
  </extLst>
</worksheet>
</file>

<file path=xl/worksheets/sheet1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B600-000000000000}">
  <sheetPr codeName="Sheet184"/>
  <dimension ref="A1:E44"/>
  <sheetViews>
    <sheetView zoomScaleNormal="100" workbookViewId="0">
      <selection sqref="A1:E44"/>
    </sheetView>
  </sheetViews>
  <sheetFormatPr defaultRowHeight="14.5" x14ac:dyDescent="0.35"/>
  <cols>
    <col min="1" max="1" width="14.453125" bestFit="1" customWidth="1"/>
    <col min="2" max="2" width="42.6328125" customWidth="1"/>
    <col min="3" max="3" width="106.1796875" customWidth="1"/>
    <col min="4" max="4" width="21.81640625" bestFit="1" customWidth="1"/>
    <col min="5" max="5" width="20.6328125" customWidth="1"/>
  </cols>
  <sheetData>
    <row r="1" spans="1:5" ht="18.5" x14ac:dyDescent="0.35">
      <c r="A1" s="192" t="s">
        <v>4</v>
      </c>
      <c r="B1" s="192"/>
      <c r="C1" s="105"/>
      <c r="D1" s="111"/>
      <c r="E1" s="97"/>
    </row>
    <row r="2" spans="1:5" x14ac:dyDescent="0.35">
      <c r="A2" s="106" t="s">
        <v>5</v>
      </c>
      <c r="B2" s="107" t="str">
        <f ca="1">MID(CELL("filename",A1),FIND("]",CELL("filename",A1))+1,LEN(CELL("filename",A1))-FIND("]",CELL("filename",A1)))</f>
        <v>TC182</v>
      </c>
      <c r="C2" s="98"/>
      <c r="D2" s="111"/>
      <c r="E2" s="97"/>
    </row>
    <row r="3" spans="1:5" x14ac:dyDescent="0.35">
      <c r="A3" s="104" t="s">
        <v>19</v>
      </c>
      <c r="B3" s="112" t="e">
        <f ca="1">VLOOKUP(B2,Table53[#All],2,FALSE)</f>
        <v>#N/A</v>
      </c>
      <c r="C3" s="98"/>
      <c r="D3" s="111"/>
      <c r="E3" s="97"/>
    </row>
    <row r="4" spans="1:5" ht="29" x14ac:dyDescent="0.35">
      <c r="A4" s="113" t="s">
        <v>20</v>
      </c>
      <c r="B4" s="99" t="e">
        <f ca="1">VLOOKUP(B2,Table53[#All],4,FALSE)</f>
        <v>#N/A</v>
      </c>
      <c r="C4" s="98"/>
      <c r="D4" s="111"/>
      <c r="E4" s="97"/>
    </row>
    <row r="5" spans="1:5" x14ac:dyDescent="0.35">
      <c r="A5" s="104" t="s">
        <v>6</v>
      </c>
      <c r="B5" s="77" t="e">
        <f ca="1">VLOOKUP(B2,Table53[#All],3,FALSE)</f>
        <v>#N/A</v>
      </c>
      <c r="C5" s="98"/>
      <c r="D5" s="111"/>
      <c r="E5" s="97"/>
    </row>
    <row r="6" spans="1:5" x14ac:dyDescent="0.35">
      <c r="A6" s="97"/>
      <c r="B6" s="97"/>
      <c r="C6" s="98"/>
      <c r="D6" s="111"/>
      <c r="E6" s="97"/>
    </row>
    <row r="7" spans="1:5" ht="15.5" x14ac:dyDescent="0.35">
      <c r="A7" s="100" t="s">
        <v>7</v>
      </c>
      <c r="B7" s="101" t="s">
        <v>8</v>
      </c>
      <c r="C7" s="102" t="s">
        <v>9</v>
      </c>
      <c r="D7" s="102" t="s">
        <v>14</v>
      </c>
      <c r="E7" s="103" t="s">
        <v>10</v>
      </c>
    </row>
    <row r="8" spans="1:5" x14ac:dyDescent="0.35">
      <c r="A8" s="118">
        <v>1</v>
      </c>
      <c r="B8" s="114" t="s">
        <v>114</v>
      </c>
      <c r="C8" s="109" t="s">
        <v>125</v>
      </c>
      <c r="D8" s="128"/>
      <c r="E8" s="125" t="s">
        <v>11</v>
      </c>
    </row>
    <row r="9" spans="1:5" x14ac:dyDescent="0.35">
      <c r="A9" s="118">
        <v>2</v>
      </c>
      <c r="B9" s="114" t="s">
        <v>12</v>
      </c>
      <c r="C9" s="109" t="e">
        <f>VLOOKUP(Table257519913140106110151155170178204273[[#This Row],[PEG]],Table1016[#All],2,FALSE)</f>
        <v>#N/A</v>
      </c>
      <c r="D9" s="128"/>
      <c r="E9" s="125" t="e">
        <f>VLOOKUP(Table257519913140106110151155170178204273[[#This Row],[PEG]],Table1016[#All],3,FALSE)</f>
        <v>#N/A</v>
      </c>
    </row>
    <row r="10" spans="1:5" x14ac:dyDescent="0.35">
      <c r="A10" s="118">
        <v>3</v>
      </c>
      <c r="B10" s="114" t="s">
        <v>115</v>
      </c>
      <c r="C10" s="109" t="e">
        <f>VLOOKUP(Table257519913140106110151155170178204273[[#This Row],[PEG]],Table1016[#All],2,FALSE)</f>
        <v>#N/A</v>
      </c>
      <c r="D10" s="128"/>
      <c r="E10" s="125" t="e">
        <f>VLOOKUP(Table257519913140106110151155170178204273[[#This Row],[PEG]],Table1016[#All],3,FALSE)</f>
        <v>#N/A</v>
      </c>
    </row>
    <row r="11" spans="1:5" x14ac:dyDescent="0.35">
      <c r="A11" s="118">
        <v>4</v>
      </c>
      <c r="B11" s="114" t="s">
        <v>115</v>
      </c>
      <c r="C11" s="109" t="e">
        <f>VLOOKUP(Table257519913140106110151155170178204273[[#This Row],[PEG]],Table1016[#All],2,FALSE)</f>
        <v>#N/A</v>
      </c>
      <c r="D11" s="128"/>
      <c r="E11" s="125" t="e">
        <f>VLOOKUP(Table257519913140106110151155170178204273[[#This Row],[PEG]],Table1016[#All],3,FALSE)</f>
        <v>#N/A</v>
      </c>
    </row>
    <row r="12" spans="1:5" x14ac:dyDescent="0.35">
      <c r="A12" s="118">
        <v>5</v>
      </c>
      <c r="B12" s="114" t="s">
        <v>114</v>
      </c>
      <c r="C12" s="109" t="e">
        <f>VLOOKUP(Table257519913140106110151155170178204273[[#This Row],[PEG]],Table1016[#All],2,FALSE)</f>
        <v>#N/A</v>
      </c>
      <c r="D12" s="128"/>
      <c r="E12" s="125" t="e">
        <f>VLOOKUP(Table257519913140106110151155170178204273[[#This Row],[PEG]],Table1016[#All],3,FALSE)</f>
        <v>#N/A</v>
      </c>
    </row>
    <row r="13" spans="1:5" x14ac:dyDescent="0.35">
      <c r="A13" s="118">
        <v>6</v>
      </c>
      <c r="B13" s="114" t="s">
        <v>115</v>
      </c>
      <c r="C13" s="109" t="e">
        <f>VLOOKUP(Table257519913140106110151155170178204273[[#This Row],[PEG]],Table1016[#All],2,FALSE)</f>
        <v>#N/A</v>
      </c>
      <c r="D13" s="128"/>
      <c r="E13" s="125" t="e">
        <f>VLOOKUP(Table257519913140106110151155170178204273[[#This Row],[PEG]],Table1016[#All],3,FALSE)</f>
        <v>#N/A</v>
      </c>
    </row>
    <row r="14" spans="1:5" x14ac:dyDescent="0.35">
      <c r="A14" s="118">
        <v>7</v>
      </c>
      <c r="B14" s="114" t="s">
        <v>114</v>
      </c>
      <c r="C14" s="109" t="e">
        <f>VLOOKUP(Table257519913140106110151155170178204273[[#This Row],[PEG]],Table1016[#All],2,FALSE)</f>
        <v>#N/A</v>
      </c>
      <c r="D14" s="128"/>
      <c r="E14" s="125" t="e">
        <f>VLOOKUP(Table257519913140106110151155170178204273[[#This Row],[PEG]],Table1016[#All],3,FALSE)</f>
        <v>#N/A</v>
      </c>
    </row>
    <row r="15" spans="1:5" x14ac:dyDescent="0.35">
      <c r="A15" s="118">
        <v>8</v>
      </c>
      <c r="B15" s="114" t="s">
        <v>115</v>
      </c>
      <c r="C15" s="109" t="e">
        <f>VLOOKUP(Table257519913140106110151155170178204273[[#This Row],[PEG]],Table1016[#All],2,FALSE)</f>
        <v>#N/A</v>
      </c>
      <c r="D15" s="116"/>
      <c r="E15" s="125" t="e">
        <f>VLOOKUP(Table257519913140106110151155170178204273[[#This Row],[PEG]],Table1016[#All],3,FALSE)</f>
        <v>#N/A</v>
      </c>
    </row>
    <row r="16" spans="1:5" x14ac:dyDescent="0.35">
      <c r="A16" s="118">
        <v>9</v>
      </c>
      <c r="B16" s="114" t="s">
        <v>12</v>
      </c>
      <c r="C16" s="109" t="e">
        <f>VLOOKUP(Table257519913140106110151155170178204273[[#This Row],[PEG]],Table1016[#All],2,FALSE)</f>
        <v>#N/A</v>
      </c>
      <c r="D16" s="116"/>
      <c r="E16" s="125" t="e">
        <f>VLOOKUP(Table257519913140106110151155170178204273[[#This Row],[PEG]],Table1016[#All],3,FALSE)</f>
        <v>#N/A</v>
      </c>
    </row>
    <row r="17" spans="1:5" x14ac:dyDescent="0.35">
      <c r="A17" s="118">
        <v>10</v>
      </c>
      <c r="B17" s="114" t="s">
        <v>12</v>
      </c>
      <c r="C17" s="109" t="e">
        <f>VLOOKUP(Table257519913140106110151155170178204273[[#This Row],[PEG]],Table1016[#All],2,FALSE)</f>
        <v>#N/A</v>
      </c>
      <c r="D17" s="117"/>
      <c r="E17" s="125" t="e">
        <f>VLOOKUP(Table257519913140106110151155170178204273[[#This Row],[PEG]],Table1016[#All],3,FALSE)</f>
        <v>#N/A</v>
      </c>
    </row>
    <row r="18" spans="1:5" x14ac:dyDescent="0.35">
      <c r="A18" s="118">
        <v>11</v>
      </c>
      <c r="B18" s="114" t="s">
        <v>115</v>
      </c>
      <c r="C18" s="109" t="e">
        <f>VLOOKUP(Table257519913140106110151155170178204273[[#This Row],[PEG]],Table1016[#All],2,FALSE)</f>
        <v>#N/A</v>
      </c>
      <c r="D18" s="117"/>
      <c r="E18" s="125" t="e">
        <f>VLOOKUP(Table257519913140106110151155170178204273[[#This Row],[PEG]],Table1016[#All],3,FALSE)</f>
        <v>#N/A</v>
      </c>
    </row>
    <row r="19" spans="1:5" x14ac:dyDescent="0.35">
      <c r="A19" s="118">
        <v>12</v>
      </c>
      <c r="B19" s="114" t="s">
        <v>115</v>
      </c>
      <c r="C19" s="109" t="e">
        <f>VLOOKUP(Table257519913140106110151155170178204273[[#This Row],[PEG]],Table1016[#All],2,FALSE)</f>
        <v>#N/A</v>
      </c>
      <c r="D19" s="117"/>
      <c r="E19" s="125" t="e">
        <f>VLOOKUP(Table257519913140106110151155170178204273[[#This Row],[PEG]],Table1016[#All],3,FALSE)</f>
        <v>#N/A</v>
      </c>
    </row>
    <row r="20" spans="1:5" x14ac:dyDescent="0.35">
      <c r="A20" s="118">
        <v>13</v>
      </c>
      <c r="B20" s="114" t="s">
        <v>114</v>
      </c>
      <c r="C20" s="109" t="e">
        <f>VLOOKUP(Table257519913140106110151155170178204273[[#This Row],[PEG]],Table1016[#All],2,FALSE)</f>
        <v>#N/A</v>
      </c>
      <c r="D20" s="117"/>
      <c r="E20" s="125" t="e">
        <f>VLOOKUP(Table257519913140106110151155170178204273[[#This Row],[PEG]],Table1016[#All],3,FALSE)</f>
        <v>#N/A</v>
      </c>
    </row>
    <row r="21" spans="1:5" x14ac:dyDescent="0.35">
      <c r="A21" s="118">
        <v>14</v>
      </c>
      <c r="B21" s="114" t="s">
        <v>12</v>
      </c>
      <c r="C21" s="109" t="e">
        <f>VLOOKUP(Table257519913140106110151155170178204273[[#This Row],[PEG]],Table1016[#All],2,FALSE)</f>
        <v>#N/A</v>
      </c>
      <c r="D21" s="117"/>
      <c r="E21" s="125" t="e">
        <f>VLOOKUP(Table257519913140106110151155170178204273[[#This Row],[PEG]],Table1016[#All],3,FALSE)</f>
        <v>#N/A</v>
      </c>
    </row>
    <row r="22" spans="1:5" x14ac:dyDescent="0.35">
      <c r="A22" s="118">
        <v>15</v>
      </c>
      <c r="B22" s="114" t="s">
        <v>12</v>
      </c>
      <c r="C22" s="109" t="e">
        <f>VLOOKUP(Table257519913140106110151155170178204273[[#This Row],[PEG]],Table1016[#All],2,FALSE)</f>
        <v>#N/A</v>
      </c>
      <c r="D22" s="117"/>
      <c r="E22" s="125" t="e">
        <f>VLOOKUP(Table257519913140106110151155170178204273[[#This Row],[PEG]],Table1016[#All],3,FALSE)</f>
        <v>#N/A</v>
      </c>
    </row>
    <row r="23" spans="1:5" x14ac:dyDescent="0.35">
      <c r="A23" s="118">
        <v>16</v>
      </c>
      <c r="B23" s="114" t="s">
        <v>115</v>
      </c>
      <c r="C23" s="109" t="e">
        <f>VLOOKUP(Table257519913140106110151155170178204273[[#This Row],[PEG]],Table1016[#All],2,FALSE)</f>
        <v>#N/A</v>
      </c>
      <c r="D23" s="117"/>
      <c r="E23" s="125" t="e">
        <f>VLOOKUP(Table257519913140106110151155170178204273[[#This Row],[PEG]],Table1016[#All],3,FALSE)</f>
        <v>#N/A</v>
      </c>
    </row>
    <row r="24" spans="1:5" x14ac:dyDescent="0.35">
      <c r="A24" s="118">
        <v>17</v>
      </c>
      <c r="B24" s="114" t="s">
        <v>114</v>
      </c>
      <c r="C24" s="109" t="e">
        <f>VLOOKUP(Table257519913140106110151155170178204273[[#This Row],[PEG]],Table1016[#All],2,FALSE)</f>
        <v>#N/A</v>
      </c>
      <c r="D24" s="117"/>
      <c r="E24" s="125" t="e">
        <f>VLOOKUP(Table257519913140106110151155170178204273[[#This Row],[PEG]],Table1016[#All],3,FALSE)</f>
        <v>#N/A</v>
      </c>
    </row>
    <row r="25" spans="1:5" x14ac:dyDescent="0.35">
      <c r="A25" s="118">
        <v>18</v>
      </c>
      <c r="B25" s="114" t="s">
        <v>12</v>
      </c>
      <c r="C25" s="109" t="e">
        <f>VLOOKUP(Table257519913140106110151155170178204273[[#This Row],[PEG]],Table1016[#All],2,FALSE)</f>
        <v>#N/A</v>
      </c>
      <c r="D25" s="117"/>
      <c r="E25" s="125" t="e">
        <f>VLOOKUP(Table257519913140106110151155170178204273[[#This Row],[PEG]],Table1016[#All],3,FALSE)</f>
        <v>#N/A</v>
      </c>
    </row>
    <row r="26" spans="1:5" x14ac:dyDescent="0.35">
      <c r="A26" s="118">
        <v>19</v>
      </c>
      <c r="B26" s="114" t="s">
        <v>12</v>
      </c>
      <c r="C26" s="109" t="e">
        <f>VLOOKUP(Table257519913140106110151155170178204273[[#This Row],[PEG]],Table1016[#All],2,FALSE)</f>
        <v>#N/A</v>
      </c>
      <c r="D26" s="117"/>
      <c r="E26" s="125" t="e">
        <f>VLOOKUP(Table257519913140106110151155170178204273[[#This Row],[PEG]],Table1016[#All],3,FALSE)</f>
        <v>#N/A</v>
      </c>
    </row>
    <row r="27" spans="1:5" x14ac:dyDescent="0.35">
      <c r="A27" s="118">
        <v>20</v>
      </c>
      <c r="B27" s="114" t="s">
        <v>115</v>
      </c>
      <c r="C27" s="109" t="e">
        <f>VLOOKUP(Table257519913140106110151155170178204273[[#This Row],[PEG]],Table1016[#All],2,FALSE)</f>
        <v>#N/A</v>
      </c>
      <c r="D27" s="117"/>
      <c r="E27" s="125" t="e">
        <f>VLOOKUP(Table257519913140106110151155170178204273[[#This Row],[PEG]],Table1016[#All],3,FALSE)</f>
        <v>#N/A</v>
      </c>
    </row>
    <row r="28" spans="1:5" x14ac:dyDescent="0.35">
      <c r="A28" s="118">
        <v>21</v>
      </c>
      <c r="B28" s="114" t="s">
        <v>114</v>
      </c>
      <c r="C28" s="109" t="e">
        <f>VLOOKUP(Table257519913140106110151155170178204273[[#This Row],[PEG]],Table1016[#All],2,FALSE)</f>
        <v>#N/A</v>
      </c>
      <c r="D28" s="117"/>
      <c r="E28" s="125" t="e">
        <f>VLOOKUP(Table257519913140106110151155170178204273[[#This Row],[PEG]],Table1016[#All],3,FALSE)</f>
        <v>#N/A</v>
      </c>
    </row>
    <row r="29" spans="1:5" x14ac:dyDescent="0.35">
      <c r="A29" s="118">
        <v>22</v>
      </c>
      <c r="B29" s="114" t="s">
        <v>12</v>
      </c>
      <c r="C29" s="109" t="e">
        <f>VLOOKUP(Table257519913140106110151155170178204273[[#This Row],[PEG]],Table1016[#All],2,FALSE)</f>
        <v>#N/A</v>
      </c>
      <c r="D29" s="117"/>
      <c r="E29" s="125" t="e">
        <f>VLOOKUP(Table257519913140106110151155170178204273[[#This Row],[PEG]],Table1016[#All],3,FALSE)</f>
        <v>#N/A</v>
      </c>
    </row>
    <row r="30" spans="1:5" x14ac:dyDescent="0.35">
      <c r="A30" s="118">
        <v>23</v>
      </c>
      <c r="B30" s="114" t="s">
        <v>12</v>
      </c>
      <c r="C30" s="109" t="e">
        <f>VLOOKUP(Table257519913140106110151155170178204273[[#This Row],[PEG]],Table1016[#All],2,FALSE)</f>
        <v>#N/A</v>
      </c>
      <c r="D30" s="117"/>
      <c r="E30" s="125" t="e">
        <f>VLOOKUP(Table257519913140106110151155170178204273[[#This Row],[PEG]],Table1016[#All],3,FALSE)</f>
        <v>#N/A</v>
      </c>
    </row>
    <row r="31" spans="1:5" x14ac:dyDescent="0.35">
      <c r="A31" s="118">
        <v>24</v>
      </c>
      <c r="B31" s="114" t="s">
        <v>115</v>
      </c>
      <c r="C31" s="109" t="e">
        <f>VLOOKUP(Table257519913140106110151155170178204273[[#This Row],[PEG]],Table1016[#All],2,FALSE)</f>
        <v>#N/A</v>
      </c>
      <c r="D31" s="117"/>
      <c r="E31" s="125" t="e">
        <f>VLOOKUP(Table257519913140106110151155170178204273[[#This Row],[PEG]],Table1016[#All],3,FALSE)</f>
        <v>#N/A</v>
      </c>
    </row>
    <row r="32" spans="1:5" x14ac:dyDescent="0.35">
      <c r="A32" s="118">
        <v>25</v>
      </c>
      <c r="B32" s="114" t="s">
        <v>115</v>
      </c>
      <c r="C32" s="109" t="e">
        <f>VLOOKUP(Table257519913140106110151155170178204273[[#This Row],[PEG]],Table1016[#All],2,FALSE)</f>
        <v>#N/A</v>
      </c>
      <c r="D32" s="117"/>
      <c r="E32" s="125" t="e">
        <f>VLOOKUP(Table257519913140106110151155170178204273[[#This Row],[PEG]],Table1016[#All],3,FALSE)</f>
        <v>#N/A</v>
      </c>
    </row>
    <row r="33" spans="1:5" x14ac:dyDescent="0.35">
      <c r="A33" s="118">
        <v>26</v>
      </c>
      <c r="B33" s="114" t="s">
        <v>124</v>
      </c>
      <c r="C33" s="109" t="e">
        <f>VLOOKUP(Table257519913140106110151155170178204273[[#This Row],[PEG]],Table1016[#All],2,FALSE)</f>
        <v>#N/A</v>
      </c>
      <c r="D33" s="117"/>
      <c r="E33" s="125" t="e">
        <f>VLOOKUP(Table257519913140106110151155170178204273[[#This Row],[PEG]],Table1016[#All],3,FALSE)</f>
        <v>#N/A</v>
      </c>
    </row>
    <row r="34" spans="1:5" x14ac:dyDescent="0.35">
      <c r="A34" s="118">
        <v>27</v>
      </c>
      <c r="B34" s="114" t="s">
        <v>115</v>
      </c>
      <c r="C34" s="109" t="e">
        <f>VLOOKUP(Table257519913140106110151155170178204273[[#This Row],[PEG]],Table1016[#All],2,FALSE)</f>
        <v>#N/A</v>
      </c>
      <c r="D34" s="117"/>
      <c r="E34" s="125" t="e">
        <f>VLOOKUP(Table257519913140106110151155170178204273[[#This Row],[PEG]],Table1016[#All],3,FALSE)</f>
        <v>#N/A</v>
      </c>
    </row>
    <row r="35" spans="1:5" x14ac:dyDescent="0.35">
      <c r="A35" s="118">
        <v>28</v>
      </c>
      <c r="B35" s="114" t="s">
        <v>124</v>
      </c>
      <c r="C35" s="109" t="e">
        <f>VLOOKUP(Table257519913140106110151155170178204273[[#This Row],[PEG]],Table1016[#All],2,FALSE)</f>
        <v>#N/A</v>
      </c>
      <c r="D35" s="117"/>
      <c r="E35" s="125" t="e">
        <f>VLOOKUP(Table257519913140106110151155170178204273[[#This Row],[PEG]],Table1016[#All],3,FALSE)</f>
        <v>#N/A</v>
      </c>
    </row>
    <row r="36" spans="1:5" x14ac:dyDescent="0.35">
      <c r="A36" s="118">
        <v>29</v>
      </c>
      <c r="B36" s="114" t="s">
        <v>115</v>
      </c>
      <c r="C36" s="109" t="e">
        <f>VLOOKUP(Table257519913140106110151155170178204273[[#This Row],[PEG]],Table1016[#All],2,FALSE)</f>
        <v>#N/A</v>
      </c>
      <c r="D36" s="117"/>
      <c r="E36" s="125" t="e">
        <f>VLOOKUP(Table257519913140106110151155170178204273[[#This Row],[PEG]],Table1016[#All],3,FALSE)</f>
        <v>#N/A</v>
      </c>
    </row>
    <row r="37" spans="1:5" x14ac:dyDescent="0.35">
      <c r="A37" s="118">
        <v>30</v>
      </c>
      <c r="B37" s="114" t="s">
        <v>12</v>
      </c>
      <c r="C37" s="109" t="e">
        <f>VLOOKUP(Table257519913140106110151155170178204273[[#This Row],[PEG]],Table1016[#All],2,FALSE)</f>
        <v>#N/A</v>
      </c>
      <c r="D37" s="117"/>
      <c r="E37" s="125" t="e">
        <f>VLOOKUP(Table257519913140106110151155170178204273[[#This Row],[PEG]],Table1016[#All],3,FALSE)</f>
        <v>#N/A</v>
      </c>
    </row>
    <row r="38" spans="1:5" x14ac:dyDescent="0.35">
      <c r="A38" s="118">
        <v>31</v>
      </c>
      <c r="B38" s="114" t="s">
        <v>12</v>
      </c>
      <c r="C38" s="109" t="e">
        <f>VLOOKUP(Table257519913140106110151155170178204273[[#This Row],[PEG]],Table1016[#All],2,FALSE)</f>
        <v>#N/A</v>
      </c>
      <c r="D38" s="117"/>
      <c r="E38" s="125" t="e">
        <f>VLOOKUP(Table257519913140106110151155170178204273[[#This Row],[PEG]],Table1016[#All],3,FALSE)</f>
        <v>#N/A</v>
      </c>
    </row>
    <row r="39" spans="1:5" x14ac:dyDescent="0.35">
      <c r="A39" s="118">
        <v>32</v>
      </c>
      <c r="B39" s="114" t="s">
        <v>12</v>
      </c>
      <c r="C39" s="109" t="e">
        <f>VLOOKUP(Table257519913140106110151155170178204273[[#This Row],[PEG]],Table1016[#All],2,FALSE)</f>
        <v>#N/A</v>
      </c>
      <c r="D39" s="117"/>
      <c r="E39" s="125" t="e">
        <f>VLOOKUP(Table257519913140106110151155170178204273[[#This Row],[PEG]],Table1016[#All],3,FALSE)</f>
        <v>#N/A</v>
      </c>
    </row>
    <row r="40" spans="1:5" x14ac:dyDescent="0.35">
      <c r="A40" s="118">
        <v>33</v>
      </c>
      <c r="B40" s="114" t="s">
        <v>12</v>
      </c>
      <c r="C40" s="109" t="e">
        <f>VLOOKUP(Table257519913140106110151155170178204273[[#This Row],[PEG]],Table1016[#All],2,FALSE)</f>
        <v>#N/A</v>
      </c>
      <c r="D40" s="117"/>
      <c r="E40" s="125" t="e">
        <f>VLOOKUP(Table257519913140106110151155170178204273[[#This Row],[PEG]],Table1016[#All],3,FALSE)</f>
        <v>#N/A</v>
      </c>
    </row>
    <row r="41" spans="1:5" x14ac:dyDescent="0.35">
      <c r="A41" s="118">
        <v>34</v>
      </c>
      <c r="B41" s="114" t="s">
        <v>115</v>
      </c>
      <c r="C41" s="109" t="e">
        <f>VLOOKUP(Table257519913140106110151155170178204273[[#This Row],[PEG]],Table1016[#All],2,FALSE)</f>
        <v>#N/A</v>
      </c>
      <c r="D41" s="117"/>
      <c r="E41" s="125" t="e">
        <f>VLOOKUP(Table257519913140106110151155170178204273[[#This Row],[PEG]],Table1016[#All],3,FALSE)</f>
        <v>#N/A</v>
      </c>
    </row>
    <row r="42" spans="1:5" x14ac:dyDescent="0.35">
      <c r="A42" s="118">
        <v>35</v>
      </c>
      <c r="B42" s="114" t="s">
        <v>12</v>
      </c>
      <c r="C42" s="109" t="e">
        <f>VLOOKUP(Table257519913140106110151155170178204273[[#This Row],[PEG]],Table1016[#All],2,FALSE)</f>
        <v>#N/A</v>
      </c>
      <c r="D42" s="115"/>
      <c r="E42" s="125" t="e">
        <f>VLOOKUP(Table257519913140106110151155170178204273[[#This Row],[PEG]],Table1016[#All],3,FALSE)</f>
        <v>#N/A</v>
      </c>
    </row>
    <row r="43" spans="1:5" x14ac:dyDescent="0.35">
      <c r="A43" s="118">
        <v>36</v>
      </c>
      <c r="B43" s="114" t="s">
        <v>115</v>
      </c>
      <c r="C43" s="109" t="e">
        <f>VLOOKUP(Table257519913140106110151155170178204273[[#This Row],[PEG]],Table1016[#All],2,FALSE)</f>
        <v>#N/A</v>
      </c>
      <c r="D43" s="115"/>
      <c r="E43" s="125" t="e">
        <f>VLOOKUP(Table257519913140106110151155170178204273[[#This Row],[PEG]],Table1016[#All],3,FALSE)</f>
        <v>#N/A</v>
      </c>
    </row>
    <row r="44" spans="1:5" x14ac:dyDescent="0.35">
      <c r="A44" s="118">
        <v>37</v>
      </c>
      <c r="B44" s="114" t="s">
        <v>13</v>
      </c>
      <c r="C44" s="18" t="s">
        <v>13</v>
      </c>
      <c r="D44" s="115"/>
      <c r="E44" s="32"/>
    </row>
  </sheetData>
  <mergeCells count="1">
    <mergeCell ref="A1:B1"/>
  </mergeCells>
  <conditionalFormatting sqref="B8:B18">
    <cfRule type="containsText" dxfId="383" priority="1" operator="containsText" text="Hear">
      <formula>NOT(ISERROR(SEARCH("Hear",B8)))</formula>
    </cfRule>
  </conditionalFormatting>
  <conditionalFormatting sqref="B30">
    <cfRule type="containsText" dxfId="382" priority="4" operator="containsText" text="Hear">
      <formula>NOT(ISERROR(SEARCH("Hear",B30)))</formula>
    </cfRule>
  </conditionalFormatting>
  <conditionalFormatting sqref="B43:B44">
    <cfRule type="containsText" dxfId="381" priority="8" operator="containsText" text="Hear">
      <formula>NOT(ISERROR(SEARCH("Hear",B43)))</formula>
    </cfRule>
  </conditionalFormatting>
  <conditionalFormatting sqref="E44">
    <cfRule type="containsText" dxfId="380" priority="6" operator="containsText" text="WEB SERVICE">
      <formula>NOT(ISERROR(SEARCH("WEB SERVICE",E44)))</formula>
    </cfRule>
    <cfRule type="containsText" dxfId="379" priority="7" operator="containsText" text="DB">
      <formula>NOT(ISERROR(SEARCH("DB",E44)))</formula>
    </cfRule>
  </conditionalFormatting>
  <conditionalFormatting sqref="C44">
    <cfRule type="expression" dxfId="378" priority="9">
      <formula>$B44="Dial"</formula>
    </cfRule>
  </conditionalFormatting>
  <conditionalFormatting sqref="C44">
    <cfRule type="expression" dxfId="377" priority="3">
      <formula>$B44="Speak"</formula>
    </cfRule>
  </conditionalFormatting>
  <conditionalFormatting sqref="B19:B29 B31:B35 B42">
    <cfRule type="containsText" dxfId="376" priority="5" operator="containsText" text="Hear">
      <formula>NOT(ISERROR(SEARCH("Hear",B19)))</formula>
    </cfRule>
  </conditionalFormatting>
  <hyperlinks>
    <hyperlink ref="A1" location="'Test Case Overview'!A1" display="Return to Test Case Overview" xr:uid="{CFE3C9C9-D438-4EB2-9385-CD3537A84BBA}"/>
  </hyperlinks>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expression" priority="2" id="{EC8C8517-D596-4552-9472-037D05D77F25}">
            <xm:f>'TC1'!$B8="HANGUP"</xm:f>
            <x14:dxf>
              <font>
                <b/>
                <i val="0"/>
              </font>
            </x14:dxf>
          </x14:cfRule>
          <xm:sqref>C8</xm:sqref>
        </x14:conditionalFormatting>
        <x14:conditionalFormatting xmlns:xm="http://schemas.microsoft.com/office/excel/2006/main">
          <x14:cfRule type="expression" priority="3374" id="{EC8C8517-D596-4552-9472-037D05D77F25}">
            <xm:f>'TC1'!$B16="HANGUP"</xm:f>
            <x14:dxf>
              <font>
                <b/>
                <i val="0"/>
              </font>
            </x14:dxf>
          </x14:cfRule>
          <xm:sqref>C34:C43</xm:sqref>
        </x14:conditionalFormatting>
        <x14:conditionalFormatting xmlns:xm="http://schemas.microsoft.com/office/excel/2006/main">
          <x14:cfRule type="expression" priority="3375" id="{EC8C8517-D596-4552-9472-037D05D77F25}">
            <xm:f>'TC1'!#REF!="HANGUP"</xm:f>
            <x14:dxf>
              <font>
                <b/>
                <i val="0"/>
              </font>
            </x14:dxf>
          </x14:cfRule>
          <xm:sqref>C17:C33</xm:sqref>
        </x14:conditionalFormatting>
        <x14:conditionalFormatting xmlns:xm="http://schemas.microsoft.com/office/excel/2006/main">
          <x14:cfRule type="expression" priority="5988" id="{EC8C8517-D596-4552-9472-037D05D77F25}">
            <xm:f>'TC1'!$B9="HANGUP"</xm:f>
            <x14:dxf>
              <font>
                <b/>
                <i val="0"/>
              </font>
            </x14:dxf>
          </x14:cfRule>
          <xm:sqref>C12:C15</xm:sqref>
        </x14:conditionalFormatting>
        <x14:conditionalFormatting xmlns:xm="http://schemas.microsoft.com/office/excel/2006/main">
          <x14:cfRule type="expression" priority="5989" id="{EC8C8517-D596-4552-9472-037D05D77F25}">
            <xm:f>'TC1'!#REF!="HANGUP"</xm:f>
            <x14:dxf>
              <font>
                <b/>
                <i val="0"/>
              </font>
            </x14:dxf>
          </x14:cfRule>
          <xm:sqref>C9:C11</xm:sqref>
        </x14:conditionalFormatting>
        <x14:conditionalFormatting xmlns:xm="http://schemas.microsoft.com/office/excel/2006/main">
          <x14:cfRule type="expression" priority="8154" id="{EC8C8517-D596-4552-9472-037D05D77F25}">
            <xm:f>'TC1'!$B15="HANGUP"</xm:f>
            <x14:dxf>
              <font>
                <b/>
                <i val="0"/>
              </font>
            </x14:dxf>
          </x14:cfRule>
          <xm:sqref>C16</xm:sqref>
        </x14:conditionalFormatting>
      </x14:conditionalFormattings>
    </ext>
  </extLst>
</worksheet>
</file>

<file path=xl/worksheets/sheet1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B700-000000000000}">
  <sheetPr codeName="Sheet185"/>
  <dimension ref="A1:E44"/>
  <sheetViews>
    <sheetView zoomScaleNormal="100" workbookViewId="0">
      <selection sqref="A1:E44"/>
    </sheetView>
  </sheetViews>
  <sheetFormatPr defaultRowHeight="14.5" x14ac:dyDescent="0.35"/>
  <cols>
    <col min="1" max="1" width="14.453125" bestFit="1" customWidth="1"/>
    <col min="2" max="2" width="42.6328125" customWidth="1"/>
    <col min="3" max="3" width="106.1796875" customWidth="1"/>
    <col min="4" max="4" width="21.81640625" bestFit="1" customWidth="1"/>
    <col min="5" max="5" width="20.6328125" customWidth="1"/>
  </cols>
  <sheetData>
    <row r="1" spans="1:5" ht="18.5" x14ac:dyDescent="0.35">
      <c r="A1" s="192" t="s">
        <v>4</v>
      </c>
      <c r="B1" s="192"/>
      <c r="C1" s="105"/>
      <c r="D1" s="111"/>
      <c r="E1" s="97"/>
    </row>
    <row r="2" spans="1:5" x14ac:dyDescent="0.35">
      <c r="A2" s="106" t="s">
        <v>5</v>
      </c>
      <c r="B2" s="107" t="str">
        <f ca="1">MID(CELL("filename",A1),FIND("]",CELL("filename",A1))+1,LEN(CELL("filename",A1))-FIND("]",CELL("filename",A1)))</f>
        <v>TC183</v>
      </c>
      <c r="C2" s="98"/>
      <c r="D2" s="111"/>
      <c r="E2" s="97"/>
    </row>
    <row r="3" spans="1:5" x14ac:dyDescent="0.35">
      <c r="A3" s="104" t="s">
        <v>19</v>
      </c>
      <c r="B3" s="112" t="e">
        <f ca="1">VLOOKUP(B2,Table53[#All],2,FALSE)</f>
        <v>#N/A</v>
      </c>
      <c r="C3" s="98"/>
      <c r="D3" s="111"/>
      <c r="E3" s="97"/>
    </row>
    <row r="4" spans="1:5" ht="29" x14ac:dyDescent="0.35">
      <c r="A4" s="113" t="s">
        <v>20</v>
      </c>
      <c r="B4" s="99" t="e">
        <f ca="1">VLOOKUP(B2,Table53[#All],4,FALSE)</f>
        <v>#N/A</v>
      </c>
      <c r="C4" s="98"/>
      <c r="D4" s="111"/>
      <c r="E4" s="97"/>
    </row>
    <row r="5" spans="1:5" x14ac:dyDescent="0.35">
      <c r="A5" s="104" t="s">
        <v>6</v>
      </c>
      <c r="B5" s="77" t="e">
        <f ca="1">VLOOKUP(B2,Table53[#All],3,FALSE)</f>
        <v>#N/A</v>
      </c>
      <c r="C5" s="98"/>
      <c r="D5" s="111"/>
      <c r="E5" s="97"/>
    </row>
    <row r="6" spans="1:5" x14ac:dyDescent="0.35">
      <c r="A6" s="97"/>
      <c r="B6" s="97"/>
      <c r="C6" s="98"/>
      <c r="D6" s="111"/>
      <c r="E6" s="97"/>
    </row>
    <row r="7" spans="1:5" ht="15.5" x14ac:dyDescent="0.35">
      <c r="A7" s="100" t="s">
        <v>7</v>
      </c>
      <c r="B7" s="101" t="s">
        <v>8</v>
      </c>
      <c r="C7" s="102" t="s">
        <v>9</v>
      </c>
      <c r="D7" s="102" t="s">
        <v>14</v>
      </c>
      <c r="E7" s="103" t="s">
        <v>10</v>
      </c>
    </row>
    <row r="8" spans="1:5" x14ac:dyDescent="0.35">
      <c r="A8" s="118">
        <v>1</v>
      </c>
      <c r="B8" s="114" t="s">
        <v>114</v>
      </c>
      <c r="C8" s="109" t="s">
        <v>125</v>
      </c>
      <c r="D8" s="128"/>
      <c r="E8" s="125" t="s">
        <v>11</v>
      </c>
    </row>
    <row r="9" spans="1:5" x14ac:dyDescent="0.35">
      <c r="A9" s="118">
        <v>2</v>
      </c>
      <c r="B9" s="114" t="s">
        <v>12</v>
      </c>
      <c r="C9" s="109" t="e">
        <f>VLOOKUP(Table257519913140106110151155170178204275[[#This Row],[PEG]],Table1016[#All],2,FALSE)</f>
        <v>#N/A</v>
      </c>
      <c r="D9" s="128"/>
      <c r="E9" s="125" t="e">
        <f>VLOOKUP(Table257519913140106110151155170178204275[[#This Row],[PEG]],Table1016[#All],3,FALSE)</f>
        <v>#N/A</v>
      </c>
    </row>
    <row r="10" spans="1:5" x14ac:dyDescent="0.35">
      <c r="A10" s="118">
        <v>3</v>
      </c>
      <c r="B10" s="114" t="s">
        <v>115</v>
      </c>
      <c r="C10" s="109" t="e">
        <f>VLOOKUP(Table257519913140106110151155170178204275[[#This Row],[PEG]],Table1016[#All],2,FALSE)</f>
        <v>#N/A</v>
      </c>
      <c r="D10" s="128"/>
      <c r="E10" s="125" t="e">
        <f>VLOOKUP(Table257519913140106110151155170178204275[[#This Row],[PEG]],Table1016[#All],3,FALSE)</f>
        <v>#N/A</v>
      </c>
    </row>
    <row r="11" spans="1:5" x14ac:dyDescent="0.35">
      <c r="A11" s="118">
        <v>4</v>
      </c>
      <c r="B11" s="114" t="s">
        <v>115</v>
      </c>
      <c r="C11" s="109" t="e">
        <f>VLOOKUP(Table257519913140106110151155170178204275[[#This Row],[PEG]],Table1016[#All],2,FALSE)</f>
        <v>#N/A</v>
      </c>
      <c r="D11" s="128"/>
      <c r="E11" s="125" t="e">
        <f>VLOOKUP(Table257519913140106110151155170178204275[[#This Row],[PEG]],Table1016[#All],3,FALSE)</f>
        <v>#N/A</v>
      </c>
    </row>
    <row r="12" spans="1:5" x14ac:dyDescent="0.35">
      <c r="A12" s="118">
        <v>5</v>
      </c>
      <c r="B12" s="114" t="s">
        <v>114</v>
      </c>
      <c r="C12" s="109" t="e">
        <f>VLOOKUP(Table257519913140106110151155170178204275[[#This Row],[PEG]],Table1016[#All],2,FALSE)</f>
        <v>#N/A</v>
      </c>
      <c r="D12" s="128"/>
      <c r="E12" s="125" t="e">
        <f>VLOOKUP(Table257519913140106110151155170178204275[[#This Row],[PEG]],Table1016[#All],3,FALSE)</f>
        <v>#N/A</v>
      </c>
    </row>
    <row r="13" spans="1:5" x14ac:dyDescent="0.35">
      <c r="A13" s="118">
        <v>6</v>
      </c>
      <c r="B13" s="114" t="s">
        <v>115</v>
      </c>
      <c r="C13" s="109" t="e">
        <f>VLOOKUP(Table257519913140106110151155170178204275[[#This Row],[PEG]],Table1016[#All],2,FALSE)</f>
        <v>#N/A</v>
      </c>
      <c r="D13" s="128"/>
      <c r="E13" s="125" t="e">
        <f>VLOOKUP(Table257519913140106110151155170178204275[[#This Row],[PEG]],Table1016[#All],3,FALSE)</f>
        <v>#N/A</v>
      </c>
    </row>
    <row r="14" spans="1:5" x14ac:dyDescent="0.35">
      <c r="A14" s="118">
        <v>7</v>
      </c>
      <c r="B14" s="114" t="s">
        <v>114</v>
      </c>
      <c r="C14" s="109" t="e">
        <f>VLOOKUP(Table257519913140106110151155170178204275[[#This Row],[PEG]],Table1016[#All],2,FALSE)</f>
        <v>#N/A</v>
      </c>
      <c r="D14" s="128"/>
      <c r="E14" s="125" t="e">
        <f>VLOOKUP(Table257519913140106110151155170178204275[[#This Row],[PEG]],Table1016[#All],3,FALSE)</f>
        <v>#N/A</v>
      </c>
    </row>
    <row r="15" spans="1:5" x14ac:dyDescent="0.35">
      <c r="A15" s="118">
        <v>8</v>
      </c>
      <c r="B15" s="114" t="s">
        <v>115</v>
      </c>
      <c r="C15" s="109" t="e">
        <f>VLOOKUP(Table257519913140106110151155170178204275[[#This Row],[PEG]],Table1016[#All],2,FALSE)</f>
        <v>#N/A</v>
      </c>
      <c r="D15" s="116"/>
      <c r="E15" s="125" t="e">
        <f>VLOOKUP(Table257519913140106110151155170178204275[[#This Row],[PEG]],Table1016[#All],3,FALSE)</f>
        <v>#N/A</v>
      </c>
    </row>
    <row r="16" spans="1:5" x14ac:dyDescent="0.35">
      <c r="A16" s="118">
        <v>9</v>
      </c>
      <c r="B16" s="114" t="s">
        <v>12</v>
      </c>
      <c r="C16" s="109" t="e">
        <f>VLOOKUP(Table257519913140106110151155170178204275[[#This Row],[PEG]],Table1016[#All],2,FALSE)</f>
        <v>#N/A</v>
      </c>
      <c r="D16" s="116"/>
      <c r="E16" s="125" t="e">
        <f>VLOOKUP(Table257519913140106110151155170178204275[[#This Row],[PEG]],Table1016[#All],3,FALSE)</f>
        <v>#N/A</v>
      </c>
    </row>
    <row r="17" spans="1:5" x14ac:dyDescent="0.35">
      <c r="A17" s="118">
        <v>10</v>
      </c>
      <c r="B17" s="114" t="s">
        <v>12</v>
      </c>
      <c r="C17" s="109" t="e">
        <f>VLOOKUP(Table257519913140106110151155170178204275[[#This Row],[PEG]],Table1016[#All],2,FALSE)</f>
        <v>#N/A</v>
      </c>
      <c r="D17" s="117"/>
      <c r="E17" s="125" t="e">
        <f>VLOOKUP(Table257519913140106110151155170178204275[[#This Row],[PEG]],Table1016[#All],3,FALSE)</f>
        <v>#N/A</v>
      </c>
    </row>
    <row r="18" spans="1:5" x14ac:dyDescent="0.35">
      <c r="A18" s="118">
        <v>11</v>
      </c>
      <c r="B18" s="114" t="s">
        <v>115</v>
      </c>
      <c r="C18" s="109" t="e">
        <f>VLOOKUP(Table257519913140106110151155170178204275[[#This Row],[PEG]],Table1016[#All],2,FALSE)</f>
        <v>#N/A</v>
      </c>
      <c r="D18" s="117"/>
      <c r="E18" s="125" t="e">
        <f>VLOOKUP(Table257519913140106110151155170178204275[[#This Row],[PEG]],Table1016[#All],3,FALSE)</f>
        <v>#N/A</v>
      </c>
    </row>
    <row r="19" spans="1:5" x14ac:dyDescent="0.35">
      <c r="A19" s="118">
        <v>12</v>
      </c>
      <c r="B19" s="114" t="s">
        <v>115</v>
      </c>
      <c r="C19" s="109" t="e">
        <f>VLOOKUP(Table257519913140106110151155170178204275[[#This Row],[PEG]],Table1016[#All],2,FALSE)</f>
        <v>#N/A</v>
      </c>
      <c r="D19" s="117"/>
      <c r="E19" s="125" t="e">
        <f>VLOOKUP(Table257519913140106110151155170178204275[[#This Row],[PEG]],Table1016[#All],3,FALSE)</f>
        <v>#N/A</v>
      </c>
    </row>
    <row r="20" spans="1:5" x14ac:dyDescent="0.35">
      <c r="A20" s="118">
        <v>13</v>
      </c>
      <c r="B20" s="114" t="s">
        <v>114</v>
      </c>
      <c r="C20" s="109" t="e">
        <f>VLOOKUP(Table257519913140106110151155170178204275[[#This Row],[PEG]],Table1016[#All],2,FALSE)</f>
        <v>#N/A</v>
      </c>
      <c r="D20" s="117"/>
      <c r="E20" s="125" t="e">
        <f>VLOOKUP(Table257519913140106110151155170178204275[[#This Row],[PEG]],Table1016[#All],3,FALSE)</f>
        <v>#N/A</v>
      </c>
    </row>
    <row r="21" spans="1:5" x14ac:dyDescent="0.35">
      <c r="A21" s="118">
        <v>14</v>
      </c>
      <c r="B21" s="114" t="s">
        <v>12</v>
      </c>
      <c r="C21" s="109" t="e">
        <f>VLOOKUP(Table257519913140106110151155170178204275[[#This Row],[PEG]],Table1016[#All],2,FALSE)</f>
        <v>#N/A</v>
      </c>
      <c r="D21" s="117"/>
      <c r="E21" s="125" t="e">
        <f>VLOOKUP(Table257519913140106110151155170178204275[[#This Row],[PEG]],Table1016[#All],3,FALSE)</f>
        <v>#N/A</v>
      </c>
    </row>
    <row r="22" spans="1:5" x14ac:dyDescent="0.35">
      <c r="A22" s="118">
        <v>15</v>
      </c>
      <c r="B22" s="114" t="s">
        <v>12</v>
      </c>
      <c r="C22" s="109" t="e">
        <f>VLOOKUP(Table257519913140106110151155170178204275[[#This Row],[PEG]],Table1016[#All],2,FALSE)</f>
        <v>#N/A</v>
      </c>
      <c r="D22" s="117"/>
      <c r="E22" s="125" t="e">
        <f>VLOOKUP(Table257519913140106110151155170178204275[[#This Row],[PEG]],Table1016[#All],3,FALSE)</f>
        <v>#N/A</v>
      </c>
    </row>
    <row r="23" spans="1:5" x14ac:dyDescent="0.35">
      <c r="A23" s="118">
        <v>16</v>
      </c>
      <c r="B23" s="114" t="s">
        <v>115</v>
      </c>
      <c r="C23" s="109" t="e">
        <f>VLOOKUP(Table257519913140106110151155170178204275[[#This Row],[PEG]],Table1016[#All],2,FALSE)</f>
        <v>#N/A</v>
      </c>
      <c r="D23" s="117"/>
      <c r="E23" s="125" t="e">
        <f>VLOOKUP(Table257519913140106110151155170178204275[[#This Row],[PEG]],Table1016[#All],3,FALSE)</f>
        <v>#N/A</v>
      </c>
    </row>
    <row r="24" spans="1:5" x14ac:dyDescent="0.35">
      <c r="A24" s="118">
        <v>17</v>
      </c>
      <c r="B24" s="114" t="s">
        <v>114</v>
      </c>
      <c r="C24" s="109" t="e">
        <f>VLOOKUP(Table257519913140106110151155170178204275[[#This Row],[PEG]],Table1016[#All],2,FALSE)</f>
        <v>#N/A</v>
      </c>
      <c r="D24" s="117"/>
      <c r="E24" s="125" t="e">
        <f>VLOOKUP(Table257519913140106110151155170178204275[[#This Row],[PEG]],Table1016[#All],3,FALSE)</f>
        <v>#N/A</v>
      </c>
    </row>
    <row r="25" spans="1:5" x14ac:dyDescent="0.35">
      <c r="A25" s="118">
        <v>18</v>
      </c>
      <c r="B25" s="114" t="s">
        <v>12</v>
      </c>
      <c r="C25" s="109" t="e">
        <f>VLOOKUP(Table257519913140106110151155170178204275[[#This Row],[PEG]],Table1016[#All],2,FALSE)</f>
        <v>#N/A</v>
      </c>
      <c r="D25" s="117"/>
      <c r="E25" s="125" t="e">
        <f>VLOOKUP(Table257519913140106110151155170178204275[[#This Row],[PEG]],Table1016[#All],3,FALSE)</f>
        <v>#N/A</v>
      </c>
    </row>
    <row r="26" spans="1:5" x14ac:dyDescent="0.35">
      <c r="A26" s="118">
        <v>19</v>
      </c>
      <c r="B26" s="114" t="s">
        <v>12</v>
      </c>
      <c r="C26" s="109" t="e">
        <f>VLOOKUP(Table257519913140106110151155170178204275[[#This Row],[PEG]],Table1016[#All],2,FALSE)</f>
        <v>#N/A</v>
      </c>
      <c r="D26" s="117"/>
      <c r="E26" s="125" t="e">
        <f>VLOOKUP(Table257519913140106110151155170178204275[[#This Row],[PEG]],Table1016[#All],3,FALSE)</f>
        <v>#N/A</v>
      </c>
    </row>
    <row r="27" spans="1:5" x14ac:dyDescent="0.35">
      <c r="A27" s="118">
        <v>20</v>
      </c>
      <c r="B27" s="114" t="s">
        <v>115</v>
      </c>
      <c r="C27" s="109" t="e">
        <f>VLOOKUP(Table257519913140106110151155170178204275[[#This Row],[PEG]],Table1016[#All],2,FALSE)</f>
        <v>#N/A</v>
      </c>
      <c r="D27" s="117"/>
      <c r="E27" s="125" t="e">
        <f>VLOOKUP(Table257519913140106110151155170178204275[[#This Row],[PEG]],Table1016[#All],3,FALSE)</f>
        <v>#N/A</v>
      </c>
    </row>
    <row r="28" spans="1:5" x14ac:dyDescent="0.35">
      <c r="A28" s="118">
        <v>21</v>
      </c>
      <c r="B28" s="114" t="s">
        <v>114</v>
      </c>
      <c r="C28" s="109" t="e">
        <f>VLOOKUP(Table257519913140106110151155170178204275[[#This Row],[PEG]],Table1016[#All],2,FALSE)</f>
        <v>#N/A</v>
      </c>
      <c r="D28" s="117"/>
      <c r="E28" s="125" t="e">
        <f>VLOOKUP(Table257519913140106110151155170178204275[[#This Row],[PEG]],Table1016[#All],3,FALSE)</f>
        <v>#N/A</v>
      </c>
    </row>
    <row r="29" spans="1:5" x14ac:dyDescent="0.35">
      <c r="A29" s="118">
        <v>22</v>
      </c>
      <c r="B29" s="114" t="s">
        <v>12</v>
      </c>
      <c r="C29" s="109" t="e">
        <f>VLOOKUP(Table257519913140106110151155170178204275[[#This Row],[PEG]],Table1016[#All],2,FALSE)</f>
        <v>#N/A</v>
      </c>
      <c r="D29" s="117"/>
      <c r="E29" s="125" t="e">
        <f>VLOOKUP(Table257519913140106110151155170178204275[[#This Row],[PEG]],Table1016[#All],3,FALSE)</f>
        <v>#N/A</v>
      </c>
    </row>
    <row r="30" spans="1:5" x14ac:dyDescent="0.35">
      <c r="A30" s="118">
        <v>23</v>
      </c>
      <c r="B30" s="114" t="s">
        <v>12</v>
      </c>
      <c r="C30" s="109" t="e">
        <f>VLOOKUP(Table257519913140106110151155170178204275[[#This Row],[PEG]],Table1016[#All],2,FALSE)</f>
        <v>#N/A</v>
      </c>
      <c r="D30" s="117"/>
      <c r="E30" s="125" t="e">
        <f>VLOOKUP(Table257519913140106110151155170178204275[[#This Row],[PEG]],Table1016[#All],3,FALSE)</f>
        <v>#N/A</v>
      </c>
    </row>
    <row r="31" spans="1:5" x14ac:dyDescent="0.35">
      <c r="A31" s="118">
        <v>24</v>
      </c>
      <c r="B31" s="114" t="s">
        <v>115</v>
      </c>
      <c r="C31" s="109" t="e">
        <f>VLOOKUP(Table257519913140106110151155170178204275[[#This Row],[PEG]],Table1016[#All],2,FALSE)</f>
        <v>#N/A</v>
      </c>
      <c r="D31" s="117"/>
      <c r="E31" s="125" t="e">
        <f>VLOOKUP(Table257519913140106110151155170178204275[[#This Row],[PEG]],Table1016[#All],3,FALSE)</f>
        <v>#N/A</v>
      </c>
    </row>
    <row r="32" spans="1:5" x14ac:dyDescent="0.35">
      <c r="A32" s="118">
        <v>25</v>
      </c>
      <c r="B32" s="114" t="s">
        <v>115</v>
      </c>
      <c r="C32" s="109" t="e">
        <f>VLOOKUP(Table257519913140106110151155170178204275[[#This Row],[PEG]],Table1016[#All],2,FALSE)</f>
        <v>#N/A</v>
      </c>
      <c r="D32" s="117"/>
      <c r="E32" s="125" t="e">
        <f>VLOOKUP(Table257519913140106110151155170178204275[[#This Row],[PEG]],Table1016[#All],3,FALSE)</f>
        <v>#N/A</v>
      </c>
    </row>
    <row r="33" spans="1:5" x14ac:dyDescent="0.35">
      <c r="A33" s="118">
        <v>26</v>
      </c>
      <c r="B33" s="114" t="s">
        <v>124</v>
      </c>
      <c r="C33" s="109" t="e">
        <f>VLOOKUP(Table257519913140106110151155170178204275[[#This Row],[PEG]],Table1016[#All],2,FALSE)</f>
        <v>#N/A</v>
      </c>
      <c r="D33" s="117"/>
      <c r="E33" s="125" t="e">
        <f>VLOOKUP(Table257519913140106110151155170178204275[[#This Row],[PEG]],Table1016[#All],3,FALSE)</f>
        <v>#N/A</v>
      </c>
    </row>
    <row r="34" spans="1:5" x14ac:dyDescent="0.35">
      <c r="A34" s="118">
        <v>27</v>
      </c>
      <c r="B34" s="114" t="s">
        <v>115</v>
      </c>
      <c r="C34" s="109" t="e">
        <f>VLOOKUP(Table257519913140106110151155170178204275[[#This Row],[PEG]],Table1016[#All],2,FALSE)</f>
        <v>#N/A</v>
      </c>
      <c r="D34" s="117"/>
      <c r="E34" s="125" t="e">
        <f>VLOOKUP(Table257519913140106110151155170178204275[[#This Row],[PEG]],Table1016[#All],3,FALSE)</f>
        <v>#N/A</v>
      </c>
    </row>
    <row r="35" spans="1:5" x14ac:dyDescent="0.35">
      <c r="A35" s="118">
        <v>28</v>
      </c>
      <c r="B35" s="114" t="s">
        <v>124</v>
      </c>
      <c r="C35" s="109" t="e">
        <f>VLOOKUP(Table257519913140106110151155170178204275[[#This Row],[PEG]],Table1016[#All],2,FALSE)</f>
        <v>#N/A</v>
      </c>
      <c r="D35" s="117"/>
      <c r="E35" s="125" t="e">
        <f>VLOOKUP(Table257519913140106110151155170178204275[[#This Row],[PEG]],Table1016[#All],3,FALSE)</f>
        <v>#N/A</v>
      </c>
    </row>
    <row r="36" spans="1:5" x14ac:dyDescent="0.35">
      <c r="A36" s="118">
        <v>29</v>
      </c>
      <c r="B36" s="114" t="s">
        <v>115</v>
      </c>
      <c r="C36" s="109" t="e">
        <f>VLOOKUP(Table257519913140106110151155170178204275[[#This Row],[PEG]],Table1016[#All],2,FALSE)</f>
        <v>#N/A</v>
      </c>
      <c r="D36" s="117"/>
      <c r="E36" s="125" t="e">
        <f>VLOOKUP(Table257519913140106110151155170178204275[[#This Row],[PEG]],Table1016[#All],3,FALSE)</f>
        <v>#N/A</v>
      </c>
    </row>
    <row r="37" spans="1:5" x14ac:dyDescent="0.35">
      <c r="A37" s="118">
        <v>30</v>
      </c>
      <c r="B37" s="114" t="s">
        <v>12</v>
      </c>
      <c r="C37" s="109" t="e">
        <f>VLOOKUP(Table257519913140106110151155170178204275[[#This Row],[PEG]],Table1016[#All],2,FALSE)</f>
        <v>#N/A</v>
      </c>
      <c r="D37" s="117"/>
      <c r="E37" s="125" t="e">
        <f>VLOOKUP(Table257519913140106110151155170178204275[[#This Row],[PEG]],Table1016[#All],3,FALSE)</f>
        <v>#N/A</v>
      </c>
    </row>
    <row r="38" spans="1:5" x14ac:dyDescent="0.35">
      <c r="A38" s="118">
        <v>31</v>
      </c>
      <c r="B38" s="114" t="s">
        <v>12</v>
      </c>
      <c r="C38" s="109" t="e">
        <f>VLOOKUP(Table257519913140106110151155170178204275[[#This Row],[PEG]],Table1016[#All],2,FALSE)</f>
        <v>#N/A</v>
      </c>
      <c r="D38" s="117"/>
      <c r="E38" s="125" t="e">
        <f>VLOOKUP(Table257519913140106110151155170178204275[[#This Row],[PEG]],Table1016[#All],3,FALSE)</f>
        <v>#N/A</v>
      </c>
    </row>
    <row r="39" spans="1:5" x14ac:dyDescent="0.35">
      <c r="A39" s="118">
        <v>32</v>
      </c>
      <c r="B39" s="114" t="s">
        <v>12</v>
      </c>
      <c r="C39" s="109" t="e">
        <f>VLOOKUP(Table257519913140106110151155170178204275[[#This Row],[PEG]],Table1016[#All],2,FALSE)</f>
        <v>#N/A</v>
      </c>
      <c r="D39" s="117"/>
      <c r="E39" s="125" t="e">
        <f>VLOOKUP(Table257519913140106110151155170178204275[[#This Row],[PEG]],Table1016[#All],3,FALSE)</f>
        <v>#N/A</v>
      </c>
    </row>
    <row r="40" spans="1:5" x14ac:dyDescent="0.35">
      <c r="A40" s="118">
        <v>33</v>
      </c>
      <c r="B40" s="114" t="s">
        <v>12</v>
      </c>
      <c r="C40" s="109" t="e">
        <f>VLOOKUP(Table257519913140106110151155170178204275[[#This Row],[PEG]],Table1016[#All],2,FALSE)</f>
        <v>#N/A</v>
      </c>
      <c r="D40" s="117"/>
      <c r="E40" s="125" t="e">
        <f>VLOOKUP(Table257519913140106110151155170178204275[[#This Row],[PEG]],Table1016[#All],3,FALSE)</f>
        <v>#N/A</v>
      </c>
    </row>
    <row r="41" spans="1:5" x14ac:dyDescent="0.35">
      <c r="A41" s="118">
        <v>34</v>
      </c>
      <c r="B41" s="114" t="s">
        <v>115</v>
      </c>
      <c r="C41" s="109" t="e">
        <f>VLOOKUP(Table257519913140106110151155170178204275[[#This Row],[PEG]],Table1016[#All],2,FALSE)</f>
        <v>#N/A</v>
      </c>
      <c r="D41" s="117"/>
      <c r="E41" s="125" t="e">
        <f>VLOOKUP(Table257519913140106110151155170178204275[[#This Row],[PEG]],Table1016[#All],3,FALSE)</f>
        <v>#N/A</v>
      </c>
    </row>
    <row r="42" spans="1:5" x14ac:dyDescent="0.35">
      <c r="A42" s="118">
        <v>35</v>
      </c>
      <c r="B42" s="114" t="s">
        <v>12</v>
      </c>
      <c r="C42" s="109" t="e">
        <f>VLOOKUP(Table257519913140106110151155170178204275[[#This Row],[PEG]],Table1016[#All],2,FALSE)</f>
        <v>#N/A</v>
      </c>
      <c r="D42" s="115"/>
      <c r="E42" s="125" t="e">
        <f>VLOOKUP(Table257519913140106110151155170178204275[[#This Row],[PEG]],Table1016[#All],3,FALSE)</f>
        <v>#N/A</v>
      </c>
    </row>
    <row r="43" spans="1:5" x14ac:dyDescent="0.35">
      <c r="A43" s="118">
        <v>36</v>
      </c>
      <c r="B43" s="114" t="s">
        <v>115</v>
      </c>
      <c r="C43" s="109" t="e">
        <f>VLOOKUP(Table257519913140106110151155170178204275[[#This Row],[PEG]],Table1016[#All],2,FALSE)</f>
        <v>#N/A</v>
      </c>
      <c r="D43" s="115"/>
      <c r="E43" s="125" t="e">
        <f>VLOOKUP(Table257519913140106110151155170178204275[[#This Row],[PEG]],Table1016[#All],3,FALSE)</f>
        <v>#N/A</v>
      </c>
    </row>
    <row r="44" spans="1:5" x14ac:dyDescent="0.35">
      <c r="A44" s="118">
        <v>37</v>
      </c>
      <c r="B44" s="114" t="s">
        <v>13</v>
      </c>
      <c r="C44" s="18" t="s">
        <v>13</v>
      </c>
      <c r="D44" s="115"/>
      <c r="E44" s="32"/>
    </row>
  </sheetData>
  <mergeCells count="1">
    <mergeCell ref="A1:B1"/>
  </mergeCells>
  <conditionalFormatting sqref="B8:B18">
    <cfRule type="containsText" dxfId="369" priority="1" operator="containsText" text="Hear">
      <formula>NOT(ISERROR(SEARCH("Hear",B8)))</formula>
    </cfRule>
  </conditionalFormatting>
  <conditionalFormatting sqref="B30">
    <cfRule type="containsText" dxfId="368" priority="4" operator="containsText" text="Hear">
      <formula>NOT(ISERROR(SEARCH("Hear",B30)))</formula>
    </cfRule>
  </conditionalFormatting>
  <conditionalFormatting sqref="B43:B44">
    <cfRule type="containsText" dxfId="367" priority="8" operator="containsText" text="Hear">
      <formula>NOT(ISERROR(SEARCH("Hear",B43)))</formula>
    </cfRule>
  </conditionalFormatting>
  <conditionalFormatting sqref="E44">
    <cfRule type="containsText" dxfId="366" priority="6" operator="containsText" text="WEB SERVICE">
      <formula>NOT(ISERROR(SEARCH("WEB SERVICE",E44)))</formula>
    </cfRule>
    <cfRule type="containsText" dxfId="365" priority="7" operator="containsText" text="DB">
      <formula>NOT(ISERROR(SEARCH("DB",E44)))</formula>
    </cfRule>
  </conditionalFormatting>
  <conditionalFormatting sqref="C44">
    <cfRule type="expression" dxfId="364" priority="9">
      <formula>$B44="Dial"</formula>
    </cfRule>
  </conditionalFormatting>
  <conditionalFormatting sqref="C44">
    <cfRule type="expression" dxfId="363" priority="3">
      <formula>$B44="Speak"</formula>
    </cfRule>
  </conditionalFormatting>
  <conditionalFormatting sqref="B19:B29 B31:B35 B42">
    <cfRule type="containsText" dxfId="362" priority="5" operator="containsText" text="Hear">
      <formula>NOT(ISERROR(SEARCH("Hear",B19)))</formula>
    </cfRule>
  </conditionalFormatting>
  <hyperlinks>
    <hyperlink ref="A1" location="'Test Case Overview'!A1" display="Return to Test Case Overview" xr:uid="{EB05AB74-5D8B-4316-95AC-AB861C93C0EE}"/>
  </hyperlinks>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expression" priority="2" id="{1BA13CE0-A429-420B-AD13-59A9F8B06CB1}">
            <xm:f>'TC1'!$B8="HANGUP"</xm:f>
            <x14:dxf>
              <font>
                <b/>
                <i val="0"/>
              </font>
            </x14:dxf>
          </x14:cfRule>
          <xm:sqref>C8</xm:sqref>
        </x14:conditionalFormatting>
        <x14:conditionalFormatting xmlns:xm="http://schemas.microsoft.com/office/excel/2006/main">
          <x14:cfRule type="expression" priority="3378" id="{1BA13CE0-A429-420B-AD13-59A9F8B06CB1}">
            <xm:f>'TC1'!$B16="HANGUP"</xm:f>
            <x14:dxf>
              <font>
                <b/>
                <i val="0"/>
              </font>
            </x14:dxf>
          </x14:cfRule>
          <xm:sqref>C34:C43</xm:sqref>
        </x14:conditionalFormatting>
        <x14:conditionalFormatting xmlns:xm="http://schemas.microsoft.com/office/excel/2006/main">
          <x14:cfRule type="expression" priority="3379" id="{1BA13CE0-A429-420B-AD13-59A9F8B06CB1}">
            <xm:f>'TC1'!#REF!="HANGUP"</xm:f>
            <x14:dxf>
              <font>
                <b/>
                <i val="0"/>
              </font>
            </x14:dxf>
          </x14:cfRule>
          <xm:sqref>C17:C33</xm:sqref>
        </x14:conditionalFormatting>
        <x14:conditionalFormatting xmlns:xm="http://schemas.microsoft.com/office/excel/2006/main">
          <x14:cfRule type="expression" priority="5992" id="{1BA13CE0-A429-420B-AD13-59A9F8B06CB1}">
            <xm:f>'TC1'!$B9="HANGUP"</xm:f>
            <x14:dxf>
              <font>
                <b/>
                <i val="0"/>
              </font>
            </x14:dxf>
          </x14:cfRule>
          <xm:sqref>C12:C15</xm:sqref>
        </x14:conditionalFormatting>
        <x14:conditionalFormatting xmlns:xm="http://schemas.microsoft.com/office/excel/2006/main">
          <x14:cfRule type="expression" priority="5993" id="{1BA13CE0-A429-420B-AD13-59A9F8B06CB1}">
            <xm:f>'TC1'!#REF!="HANGUP"</xm:f>
            <x14:dxf>
              <font>
                <b/>
                <i val="0"/>
              </font>
            </x14:dxf>
          </x14:cfRule>
          <xm:sqref>C9:C11</xm:sqref>
        </x14:conditionalFormatting>
        <x14:conditionalFormatting xmlns:xm="http://schemas.microsoft.com/office/excel/2006/main">
          <x14:cfRule type="expression" priority="8157" id="{1BA13CE0-A429-420B-AD13-59A9F8B06CB1}">
            <xm:f>'TC1'!$B15="HANGUP"</xm:f>
            <x14:dxf>
              <font>
                <b/>
                <i val="0"/>
              </font>
            </x14:dxf>
          </x14:cfRule>
          <xm:sqref>C16</xm:sqref>
        </x14:conditionalFormatting>
      </x14:conditionalFormattings>
    </ext>
  </extLst>
</worksheet>
</file>

<file path=xl/worksheets/sheet1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B800-000000000000}">
  <sheetPr codeName="Sheet186"/>
  <dimension ref="A1:E44"/>
  <sheetViews>
    <sheetView zoomScaleNormal="100" workbookViewId="0">
      <selection sqref="A1:E44"/>
    </sheetView>
  </sheetViews>
  <sheetFormatPr defaultRowHeight="14.5" x14ac:dyDescent="0.35"/>
  <cols>
    <col min="1" max="1" width="14.453125" bestFit="1" customWidth="1"/>
    <col min="2" max="2" width="42.6328125" customWidth="1"/>
    <col min="3" max="3" width="106.1796875" customWidth="1"/>
    <col min="4" max="4" width="21.81640625" bestFit="1" customWidth="1"/>
    <col min="5" max="5" width="20.6328125" customWidth="1"/>
  </cols>
  <sheetData>
    <row r="1" spans="1:5" ht="18.5" x14ac:dyDescent="0.35">
      <c r="A1" s="192" t="s">
        <v>4</v>
      </c>
      <c r="B1" s="192"/>
      <c r="C1" s="105"/>
      <c r="D1" s="111"/>
      <c r="E1" s="97"/>
    </row>
    <row r="2" spans="1:5" x14ac:dyDescent="0.35">
      <c r="A2" s="106" t="s">
        <v>5</v>
      </c>
      <c r="B2" s="107" t="str">
        <f ca="1">MID(CELL("filename",A1),FIND("]",CELL("filename",A1))+1,LEN(CELL("filename",A1))-FIND("]",CELL("filename",A1)))</f>
        <v>TC184</v>
      </c>
      <c r="C2" s="98"/>
      <c r="D2" s="111"/>
      <c r="E2" s="97"/>
    </row>
    <row r="3" spans="1:5" x14ac:dyDescent="0.35">
      <c r="A3" s="104" t="s">
        <v>19</v>
      </c>
      <c r="B3" s="112" t="e">
        <f ca="1">VLOOKUP(B2,Table53[#All],2,FALSE)</f>
        <v>#N/A</v>
      </c>
      <c r="C3" s="98"/>
      <c r="D3" s="111"/>
      <c r="E3" s="97"/>
    </row>
    <row r="4" spans="1:5" ht="29" x14ac:dyDescent="0.35">
      <c r="A4" s="113" t="s">
        <v>20</v>
      </c>
      <c r="B4" s="99" t="e">
        <f ca="1">VLOOKUP(B2,Table53[#All],4,FALSE)</f>
        <v>#N/A</v>
      </c>
      <c r="C4" s="98"/>
      <c r="D4" s="111"/>
      <c r="E4" s="97"/>
    </row>
    <row r="5" spans="1:5" x14ac:dyDescent="0.35">
      <c r="A5" s="104" t="s">
        <v>6</v>
      </c>
      <c r="B5" s="77" t="e">
        <f ca="1">VLOOKUP(B2,Table53[#All],3,FALSE)</f>
        <v>#N/A</v>
      </c>
      <c r="C5" s="98"/>
      <c r="D5" s="111"/>
      <c r="E5" s="97"/>
    </row>
    <row r="6" spans="1:5" x14ac:dyDescent="0.35">
      <c r="A6" s="97"/>
      <c r="B6" s="97"/>
      <c r="C6" s="98"/>
      <c r="D6" s="111"/>
      <c r="E6" s="97"/>
    </row>
    <row r="7" spans="1:5" ht="15.5" x14ac:dyDescent="0.35">
      <c r="A7" s="100" t="s">
        <v>7</v>
      </c>
      <c r="B7" s="101" t="s">
        <v>8</v>
      </c>
      <c r="C7" s="102" t="s">
        <v>9</v>
      </c>
      <c r="D7" s="102" t="s">
        <v>14</v>
      </c>
      <c r="E7" s="103" t="s">
        <v>10</v>
      </c>
    </row>
    <row r="8" spans="1:5" x14ac:dyDescent="0.35">
      <c r="A8" s="118">
        <v>1</v>
      </c>
      <c r="B8" s="114" t="s">
        <v>114</v>
      </c>
      <c r="C8" s="109" t="s">
        <v>125</v>
      </c>
      <c r="D8" s="128"/>
      <c r="E8" s="125" t="s">
        <v>11</v>
      </c>
    </row>
    <row r="9" spans="1:5" x14ac:dyDescent="0.35">
      <c r="A9" s="118">
        <v>2</v>
      </c>
      <c r="B9" s="114" t="s">
        <v>12</v>
      </c>
      <c r="C9" s="109" t="e">
        <f>VLOOKUP(Table257519913140106110151155170178204277[[#This Row],[PEG]],Table1016[#All],2,FALSE)</f>
        <v>#N/A</v>
      </c>
      <c r="D9" s="128"/>
      <c r="E9" s="125" t="e">
        <f>VLOOKUP(Table257519913140106110151155170178204277[[#This Row],[PEG]],Table1016[#All],3,FALSE)</f>
        <v>#N/A</v>
      </c>
    </row>
    <row r="10" spans="1:5" x14ac:dyDescent="0.35">
      <c r="A10" s="118">
        <v>3</v>
      </c>
      <c r="B10" s="114" t="s">
        <v>115</v>
      </c>
      <c r="C10" s="109" t="e">
        <f>VLOOKUP(Table257519913140106110151155170178204277[[#This Row],[PEG]],Table1016[#All],2,FALSE)</f>
        <v>#N/A</v>
      </c>
      <c r="D10" s="128"/>
      <c r="E10" s="125" t="e">
        <f>VLOOKUP(Table257519913140106110151155170178204277[[#This Row],[PEG]],Table1016[#All],3,FALSE)</f>
        <v>#N/A</v>
      </c>
    </row>
    <row r="11" spans="1:5" x14ac:dyDescent="0.35">
      <c r="A11" s="118">
        <v>4</v>
      </c>
      <c r="B11" s="114" t="s">
        <v>115</v>
      </c>
      <c r="C11" s="109" t="e">
        <f>VLOOKUP(Table257519913140106110151155170178204277[[#This Row],[PEG]],Table1016[#All],2,FALSE)</f>
        <v>#N/A</v>
      </c>
      <c r="D11" s="128"/>
      <c r="E11" s="125" t="e">
        <f>VLOOKUP(Table257519913140106110151155170178204277[[#This Row],[PEG]],Table1016[#All],3,FALSE)</f>
        <v>#N/A</v>
      </c>
    </row>
    <row r="12" spans="1:5" x14ac:dyDescent="0.35">
      <c r="A12" s="118">
        <v>5</v>
      </c>
      <c r="B12" s="114" t="s">
        <v>114</v>
      </c>
      <c r="C12" s="109" t="e">
        <f>VLOOKUP(Table257519913140106110151155170178204277[[#This Row],[PEG]],Table1016[#All],2,FALSE)</f>
        <v>#N/A</v>
      </c>
      <c r="D12" s="128"/>
      <c r="E12" s="125" t="e">
        <f>VLOOKUP(Table257519913140106110151155170178204277[[#This Row],[PEG]],Table1016[#All],3,FALSE)</f>
        <v>#N/A</v>
      </c>
    </row>
    <row r="13" spans="1:5" x14ac:dyDescent="0.35">
      <c r="A13" s="118">
        <v>6</v>
      </c>
      <c r="B13" s="114" t="s">
        <v>115</v>
      </c>
      <c r="C13" s="109" t="e">
        <f>VLOOKUP(Table257519913140106110151155170178204277[[#This Row],[PEG]],Table1016[#All],2,FALSE)</f>
        <v>#N/A</v>
      </c>
      <c r="D13" s="128"/>
      <c r="E13" s="125" t="e">
        <f>VLOOKUP(Table257519913140106110151155170178204277[[#This Row],[PEG]],Table1016[#All],3,FALSE)</f>
        <v>#N/A</v>
      </c>
    </row>
    <row r="14" spans="1:5" x14ac:dyDescent="0.35">
      <c r="A14" s="118">
        <v>7</v>
      </c>
      <c r="B14" s="114" t="s">
        <v>114</v>
      </c>
      <c r="C14" s="109" t="e">
        <f>VLOOKUP(Table257519913140106110151155170178204277[[#This Row],[PEG]],Table1016[#All],2,FALSE)</f>
        <v>#N/A</v>
      </c>
      <c r="D14" s="128"/>
      <c r="E14" s="125" t="e">
        <f>VLOOKUP(Table257519913140106110151155170178204277[[#This Row],[PEG]],Table1016[#All],3,FALSE)</f>
        <v>#N/A</v>
      </c>
    </row>
    <row r="15" spans="1:5" x14ac:dyDescent="0.35">
      <c r="A15" s="118">
        <v>8</v>
      </c>
      <c r="B15" s="114" t="s">
        <v>115</v>
      </c>
      <c r="C15" s="109" t="e">
        <f>VLOOKUP(Table257519913140106110151155170178204277[[#This Row],[PEG]],Table1016[#All],2,FALSE)</f>
        <v>#N/A</v>
      </c>
      <c r="D15" s="116"/>
      <c r="E15" s="125" t="e">
        <f>VLOOKUP(Table257519913140106110151155170178204277[[#This Row],[PEG]],Table1016[#All],3,FALSE)</f>
        <v>#N/A</v>
      </c>
    </row>
    <row r="16" spans="1:5" x14ac:dyDescent="0.35">
      <c r="A16" s="118">
        <v>9</v>
      </c>
      <c r="B16" s="114" t="s">
        <v>12</v>
      </c>
      <c r="C16" s="109" t="e">
        <f>VLOOKUP(Table257519913140106110151155170178204277[[#This Row],[PEG]],Table1016[#All],2,FALSE)</f>
        <v>#N/A</v>
      </c>
      <c r="D16" s="116"/>
      <c r="E16" s="125" t="e">
        <f>VLOOKUP(Table257519913140106110151155170178204277[[#This Row],[PEG]],Table1016[#All],3,FALSE)</f>
        <v>#N/A</v>
      </c>
    </row>
    <row r="17" spans="1:5" x14ac:dyDescent="0.35">
      <c r="A17" s="118">
        <v>10</v>
      </c>
      <c r="B17" s="114" t="s">
        <v>12</v>
      </c>
      <c r="C17" s="109" t="e">
        <f>VLOOKUP(Table257519913140106110151155170178204277[[#This Row],[PEG]],Table1016[#All],2,FALSE)</f>
        <v>#N/A</v>
      </c>
      <c r="D17" s="117"/>
      <c r="E17" s="125" t="e">
        <f>VLOOKUP(Table257519913140106110151155170178204277[[#This Row],[PEG]],Table1016[#All],3,FALSE)</f>
        <v>#N/A</v>
      </c>
    </row>
    <row r="18" spans="1:5" x14ac:dyDescent="0.35">
      <c r="A18" s="118">
        <v>11</v>
      </c>
      <c r="B18" s="114" t="s">
        <v>115</v>
      </c>
      <c r="C18" s="109" t="e">
        <f>VLOOKUP(Table257519913140106110151155170178204277[[#This Row],[PEG]],Table1016[#All],2,FALSE)</f>
        <v>#N/A</v>
      </c>
      <c r="D18" s="117"/>
      <c r="E18" s="125" t="e">
        <f>VLOOKUP(Table257519913140106110151155170178204277[[#This Row],[PEG]],Table1016[#All],3,FALSE)</f>
        <v>#N/A</v>
      </c>
    </row>
    <row r="19" spans="1:5" x14ac:dyDescent="0.35">
      <c r="A19" s="118">
        <v>12</v>
      </c>
      <c r="B19" s="114" t="s">
        <v>115</v>
      </c>
      <c r="C19" s="109" t="e">
        <f>VLOOKUP(Table257519913140106110151155170178204277[[#This Row],[PEG]],Table1016[#All],2,FALSE)</f>
        <v>#N/A</v>
      </c>
      <c r="D19" s="117"/>
      <c r="E19" s="125" t="e">
        <f>VLOOKUP(Table257519913140106110151155170178204277[[#This Row],[PEG]],Table1016[#All],3,FALSE)</f>
        <v>#N/A</v>
      </c>
    </row>
    <row r="20" spans="1:5" x14ac:dyDescent="0.35">
      <c r="A20" s="118">
        <v>13</v>
      </c>
      <c r="B20" s="114" t="s">
        <v>114</v>
      </c>
      <c r="C20" s="109" t="e">
        <f>VLOOKUP(Table257519913140106110151155170178204277[[#This Row],[PEG]],Table1016[#All],2,FALSE)</f>
        <v>#N/A</v>
      </c>
      <c r="D20" s="117"/>
      <c r="E20" s="125" t="e">
        <f>VLOOKUP(Table257519913140106110151155170178204277[[#This Row],[PEG]],Table1016[#All],3,FALSE)</f>
        <v>#N/A</v>
      </c>
    </row>
    <row r="21" spans="1:5" x14ac:dyDescent="0.35">
      <c r="A21" s="118">
        <v>14</v>
      </c>
      <c r="B21" s="114" t="s">
        <v>12</v>
      </c>
      <c r="C21" s="109" t="e">
        <f>VLOOKUP(Table257519913140106110151155170178204277[[#This Row],[PEG]],Table1016[#All],2,FALSE)</f>
        <v>#N/A</v>
      </c>
      <c r="D21" s="117"/>
      <c r="E21" s="125" t="e">
        <f>VLOOKUP(Table257519913140106110151155170178204277[[#This Row],[PEG]],Table1016[#All],3,FALSE)</f>
        <v>#N/A</v>
      </c>
    </row>
    <row r="22" spans="1:5" x14ac:dyDescent="0.35">
      <c r="A22" s="118">
        <v>15</v>
      </c>
      <c r="B22" s="114" t="s">
        <v>12</v>
      </c>
      <c r="C22" s="109" t="e">
        <f>VLOOKUP(Table257519913140106110151155170178204277[[#This Row],[PEG]],Table1016[#All],2,FALSE)</f>
        <v>#N/A</v>
      </c>
      <c r="D22" s="117"/>
      <c r="E22" s="125" t="e">
        <f>VLOOKUP(Table257519913140106110151155170178204277[[#This Row],[PEG]],Table1016[#All],3,FALSE)</f>
        <v>#N/A</v>
      </c>
    </row>
    <row r="23" spans="1:5" x14ac:dyDescent="0.35">
      <c r="A23" s="118">
        <v>16</v>
      </c>
      <c r="B23" s="114" t="s">
        <v>115</v>
      </c>
      <c r="C23" s="109" t="e">
        <f>VLOOKUP(Table257519913140106110151155170178204277[[#This Row],[PEG]],Table1016[#All],2,FALSE)</f>
        <v>#N/A</v>
      </c>
      <c r="D23" s="117"/>
      <c r="E23" s="125" t="e">
        <f>VLOOKUP(Table257519913140106110151155170178204277[[#This Row],[PEG]],Table1016[#All],3,FALSE)</f>
        <v>#N/A</v>
      </c>
    </row>
    <row r="24" spans="1:5" x14ac:dyDescent="0.35">
      <c r="A24" s="118">
        <v>17</v>
      </c>
      <c r="B24" s="114" t="s">
        <v>114</v>
      </c>
      <c r="C24" s="109" t="e">
        <f>VLOOKUP(Table257519913140106110151155170178204277[[#This Row],[PEG]],Table1016[#All],2,FALSE)</f>
        <v>#N/A</v>
      </c>
      <c r="D24" s="117"/>
      <c r="E24" s="125" t="e">
        <f>VLOOKUP(Table257519913140106110151155170178204277[[#This Row],[PEG]],Table1016[#All],3,FALSE)</f>
        <v>#N/A</v>
      </c>
    </row>
    <row r="25" spans="1:5" x14ac:dyDescent="0.35">
      <c r="A25" s="118">
        <v>18</v>
      </c>
      <c r="B25" s="114" t="s">
        <v>12</v>
      </c>
      <c r="C25" s="109" t="e">
        <f>VLOOKUP(Table257519913140106110151155170178204277[[#This Row],[PEG]],Table1016[#All],2,FALSE)</f>
        <v>#N/A</v>
      </c>
      <c r="D25" s="117"/>
      <c r="E25" s="125" t="e">
        <f>VLOOKUP(Table257519913140106110151155170178204277[[#This Row],[PEG]],Table1016[#All],3,FALSE)</f>
        <v>#N/A</v>
      </c>
    </row>
    <row r="26" spans="1:5" x14ac:dyDescent="0.35">
      <c r="A26" s="118">
        <v>19</v>
      </c>
      <c r="B26" s="114" t="s">
        <v>12</v>
      </c>
      <c r="C26" s="109" t="e">
        <f>VLOOKUP(Table257519913140106110151155170178204277[[#This Row],[PEG]],Table1016[#All],2,FALSE)</f>
        <v>#N/A</v>
      </c>
      <c r="D26" s="117"/>
      <c r="E26" s="125" t="e">
        <f>VLOOKUP(Table257519913140106110151155170178204277[[#This Row],[PEG]],Table1016[#All],3,FALSE)</f>
        <v>#N/A</v>
      </c>
    </row>
    <row r="27" spans="1:5" x14ac:dyDescent="0.35">
      <c r="A27" s="118">
        <v>20</v>
      </c>
      <c r="B27" s="114" t="s">
        <v>115</v>
      </c>
      <c r="C27" s="109" t="e">
        <f>VLOOKUP(Table257519913140106110151155170178204277[[#This Row],[PEG]],Table1016[#All],2,FALSE)</f>
        <v>#N/A</v>
      </c>
      <c r="D27" s="117"/>
      <c r="E27" s="125" t="e">
        <f>VLOOKUP(Table257519913140106110151155170178204277[[#This Row],[PEG]],Table1016[#All],3,FALSE)</f>
        <v>#N/A</v>
      </c>
    </row>
    <row r="28" spans="1:5" x14ac:dyDescent="0.35">
      <c r="A28" s="118">
        <v>21</v>
      </c>
      <c r="B28" s="114" t="s">
        <v>114</v>
      </c>
      <c r="C28" s="109" t="e">
        <f>VLOOKUP(Table257519913140106110151155170178204277[[#This Row],[PEG]],Table1016[#All],2,FALSE)</f>
        <v>#N/A</v>
      </c>
      <c r="D28" s="117"/>
      <c r="E28" s="125" t="e">
        <f>VLOOKUP(Table257519913140106110151155170178204277[[#This Row],[PEG]],Table1016[#All],3,FALSE)</f>
        <v>#N/A</v>
      </c>
    </row>
    <row r="29" spans="1:5" x14ac:dyDescent="0.35">
      <c r="A29" s="118">
        <v>22</v>
      </c>
      <c r="B29" s="114" t="s">
        <v>12</v>
      </c>
      <c r="C29" s="109" t="e">
        <f>VLOOKUP(Table257519913140106110151155170178204277[[#This Row],[PEG]],Table1016[#All],2,FALSE)</f>
        <v>#N/A</v>
      </c>
      <c r="D29" s="117"/>
      <c r="E29" s="125" t="e">
        <f>VLOOKUP(Table257519913140106110151155170178204277[[#This Row],[PEG]],Table1016[#All],3,FALSE)</f>
        <v>#N/A</v>
      </c>
    </row>
    <row r="30" spans="1:5" x14ac:dyDescent="0.35">
      <c r="A30" s="118">
        <v>23</v>
      </c>
      <c r="B30" s="114" t="s">
        <v>12</v>
      </c>
      <c r="C30" s="109" t="e">
        <f>VLOOKUP(Table257519913140106110151155170178204277[[#This Row],[PEG]],Table1016[#All],2,FALSE)</f>
        <v>#N/A</v>
      </c>
      <c r="D30" s="117"/>
      <c r="E30" s="125" t="e">
        <f>VLOOKUP(Table257519913140106110151155170178204277[[#This Row],[PEG]],Table1016[#All],3,FALSE)</f>
        <v>#N/A</v>
      </c>
    </row>
    <row r="31" spans="1:5" x14ac:dyDescent="0.35">
      <c r="A31" s="118">
        <v>24</v>
      </c>
      <c r="B31" s="114" t="s">
        <v>115</v>
      </c>
      <c r="C31" s="109" t="e">
        <f>VLOOKUP(Table257519913140106110151155170178204277[[#This Row],[PEG]],Table1016[#All],2,FALSE)</f>
        <v>#N/A</v>
      </c>
      <c r="D31" s="117"/>
      <c r="E31" s="125" t="e">
        <f>VLOOKUP(Table257519913140106110151155170178204277[[#This Row],[PEG]],Table1016[#All],3,FALSE)</f>
        <v>#N/A</v>
      </c>
    </row>
    <row r="32" spans="1:5" x14ac:dyDescent="0.35">
      <c r="A32" s="118">
        <v>25</v>
      </c>
      <c r="B32" s="114" t="s">
        <v>115</v>
      </c>
      <c r="C32" s="109" t="e">
        <f>VLOOKUP(Table257519913140106110151155170178204277[[#This Row],[PEG]],Table1016[#All],2,FALSE)</f>
        <v>#N/A</v>
      </c>
      <c r="D32" s="117"/>
      <c r="E32" s="125" t="e">
        <f>VLOOKUP(Table257519913140106110151155170178204277[[#This Row],[PEG]],Table1016[#All],3,FALSE)</f>
        <v>#N/A</v>
      </c>
    </row>
    <row r="33" spans="1:5" x14ac:dyDescent="0.35">
      <c r="A33" s="118">
        <v>26</v>
      </c>
      <c r="B33" s="114" t="s">
        <v>124</v>
      </c>
      <c r="C33" s="109" t="e">
        <f>VLOOKUP(Table257519913140106110151155170178204277[[#This Row],[PEG]],Table1016[#All],2,FALSE)</f>
        <v>#N/A</v>
      </c>
      <c r="D33" s="117"/>
      <c r="E33" s="125" t="e">
        <f>VLOOKUP(Table257519913140106110151155170178204277[[#This Row],[PEG]],Table1016[#All],3,FALSE)</f>
        <v>#N/A</v>
      </c>
    </row>
    <row r="34" spans="1:5" x14ac:dyDescent="0.35">
      <c r="A34" s="118">
        <v>27</v>
      </c>
      <c r="B34" s="114" t="s">
        <v>115</v>
      </c>
      <c r="C34" s="109" t="e">
        <f>VLOOKUP(Table257519913140106110151155170178204277[[#This Row],[PEG]],Table1016[#All],2,FALSE)</f>
        <v>#N/A</v>
      </c>
      <c r="D34" s="117"/>
      <c r="E34" s="125" t="e">
        <f>VLOOKUP(Table257519913140106110151155170178204277[[#This Row],[PEG]],Table1016[#All],3,FALSE)</f>
        <v>#N/A</v>
      </c>
    </row>
    <row r="35" spans="1:5" x14ac:dyDescent="0.35">
      <c r="A35" s="118">
        <v>28</v>
      </c>
      <c r="B35" s="114" t="s">
        <v>124</v>
      </c>
      <c r="C35" s="109" t="e">
        <f>VLOOKUP(Table257519913140106110151155170178204277[[#This Row],[PEG]],Table1016[#All],2,FALSE)</f>
        <v>#N/A</v>
      </c>
      <c r="D35" s="117"/>
      <c r="E35" s="125" t="e">
        <f>VLOOKUP(Table257519913140106110151155170178204277[[#This Row],[PEG]],Table1016[#All],3,FALSE)</f>
        <v>#N/A</v>
      </c>
    </row>
    <row r="36" spans="1:5" x14ac:dyDescent="0.35">
      <c r="A36" s="118">
        <v>29</v>
      </c>
      <c r="B36" s="114" t="s">
        <v>115</v>
      </c>
      <c r="C36" s="109" t="e">
        <f>VLOOKUP(Table257519913140106110151155170178204277[[#This Row],[PEG]],Table1016[#All],2,FALSE)</f>
        <v>#N/A</v>
      </c>
      <c r="D36" s="117"/>
      <c r="E36" s="125" t="e">
        <f>VLOOKUP(Table257519913140106110151155170178204277[[#This Row],[PEG]],Table1016[#All],3,FALSE)</f>
        <v>#N/A</v>
      </c>
    </row>
    <row r="37" spans="1:5" x14ac:dyDescent="0.35">
      <c r="A37" s="118">
        <v>30</v>
      </c>
      <c r="B37" s="114" t="s">
        <v>12</v>
      </c>
      <c r="C37" s="109" t="e">
        <f>VLOOKUP(Table257519913140106110151155170178204277[[#This Row],[PEG]],Table1016[#All],2,FALSE)</f>
        <v>#N/A</v>
      </c>
      <c r="D37" s="117"/>
      <c r="E37" s="125" t="e">
        <f>VLOOKUP(Table257519913140106110151155170178204277[[#This Row],[PEG]],Table1016[#All],3,FALSE)</f>
        <v>#N/A</v>
      </c>
    </row>
    <row r="38" spans="1:5" x14ac:dyDescent="0.35">
      <c r="A38" s="118">
        <v>31</v>
      </c>
      <c r="B38" s="114" t="s">
        <v>12</v>
      </c>
      <c r="C38" s="109" t="e">
        <f>VLOOKUP(Table257519913140106110151155170178204277[[#This Row],[PEG]],Table1016[#All],2,FALSE)</f>
        <v>#N/A</v>
      </c>
      <c r="D38" s="117"/>
      <c r="E38" s="125" t="e">
        <f>VLOOKUP(Table257519913140106110151155170178204277[[#This Row],[PEG]],Table1016[#All],3,FALSE)</f>
        <v>#N/A</v>
      </c>
    </row>
    <row r="39" spans="1:5" x14ac:dyDescent="0.35">
      <c r="A39" s="118">
        <v>32</v>
      </c>
      <c r="B39" s="114" t="s">
        <v>12</v>
      </c>
      <c r="C39" s="109" t="e">
        <f>VLOOKUP(Table257519913140106110151155170178204277[[#This Row],[PEG]],Table1016[#All],2,FALSE)</f>
        <v>#N/A</v>
      </c>
      <c r="D39" s="117"/>
      <c r="E39" s="125" t="e">
        <f>VLOOKUP(Table257519913140106110151155170178204277[[#This Row],[PEG]],Table1016[#All],3,FALSE)</f>
        <v>#N/A</v>
      </c>
    </row>
    <row r="40" spans="1:5" x14ac:dyDescent="0.35">
      <c r="A40" s="118">
        <v>33</v>
      </c>
      <c r="B40" s="114" t="s">
        <v>12</v>
      </c>
      <c r="C40" s="109" t="e">
        <f>VLOOKUP(Table257519913140106110151155170178204277[[#This Row],[PEG]],Table1016[#All],2,FALSE)</f>
        <v>#N/A</v>
      </c>
      <c r="D40" s="117"/>
      <c r="E40" s="125" t="e">
        <f>VLOOKUP(Table257519913140106110151155170178204277[[#This Row],[PEG]],Table1016[#All],3,FALSE)</f>
        <v>#N/A</v>
      </c>
    </row>
    <row r="41" spans="1:5" x14ac:dyDescent="0.35">
      <c r="A41" s="118">
        <v>34</v>
      </c>
      <c r="B41" s="114" t="s">
        <v>115</v>
      </c>
      <c r="C41" s="109" t="e">
        <f>VLOOKUP(Table257519913140106110151155170178204277[[#This Row],[PEG]],Table1016[#All],2,FALSE)</f>
        <v>#N/A</v>
      </c>
      <c r="D41" s="117"/>
      <c r="E41" s="125" t="e">
        <f>VLOOKUP(Table257519913140106110151155170178204277[[#This Row],[PEG]],Table1016[#All],3,FALSE)</f>
        <v>#N/A</v>
      </c>
    </row>
    <row r="42" spans="1:5" x14ac:dyDescent="0.35">
      <c r="A42" s="118">
        <v>35</v>
      </c>
      <c r="B42" s="114" t="s">
        <v>12</v>
      </c>
      <c r="C42" s="109" t="e">
        <f>VLOOKUP(Table257519913140106110151155170178204277[[#This Row],[PEG]],Table1016[#All],2,FALSE)</f>
        <v>#N/A</v>
      </c>
      <c r="D42" s="115"/>
      <c r="E42" s="125" t="e">
        <f>VLOOKUP(Table257519913140106110151155170178204277[[#This Row],[PEG]],Table1016[#All],3,FALSE)</f>
        <v>#N/A</v>
      </c>
    </row>
    <row r="43" spans="1:5" x14ac:dyDescent="0.35">
      <c r="A43" s="118">
        <v>36</v>
      </c>
      <c r="B43" s="114" t="s">
        <v>115</v>
      </c>
      <c r="C43" s="109" t="e">
        <f>VLOOKUP(Table257519913140106110151155170178204277[[#This Row],[PEG]],Table1016[#All],2,FALSE)</f>
        <v>#N/A</v>
      </c>
      <c r="D43" s="115"/>
      <c r="E43" s="125" t="e">
        <f>VLOOKUP(Table257519913140106110151155170178204277[[#This Row],[PEG]],Table1016[#All],3,FALSE)</f>
        <v>#N/A</v>
      </c>
    </row>
    <row r="44" spans="1:5" x14ac:dyDescent="0.35">
      <c r="A44" s="118">
        <v>37</v>
      </c>
      <c r="B44" s="114" t="s">
        <v>13</v>
      </c>
      <c r="C44" s="18" t="s">
        <v>13</v>
      </c>
      <c r="D44" s="115"/>
      <c r="E44" s="32"/>
    </row>
  </sheetData>
  <mergeCells count="1">
    <mergeCell ref="A1:B1"/>
  </mergeCells>
  <conditionalFormatting sqref="B8:B18">
    <cfRule type="containsText" dxfId="355" priority="1" operator="containsText" text="Hear">
      <formula>NOT(ISERROR(SEARCH("Hear",B8)))</formula>
    </cfRule>
  </conditionalFormatting>
  <conditionalFormatting sqref="B30">
    <cfRule type="containsText" dxfId="354" priority="4" operator="containsText" text="Hear">
      <formula>NOT(ISERROR(SEARCH("Hear",B30)))</formula>
    </cfRule>
  </conditionalFormatting>
  <conditionalFormatting sqref="B43:B44">
    <cfRule type="containsText" dxfId="353" priority="8" operator="containsText" text="Hear">
      <formula>NOT(ISERROR(SEARCH("Hear",B43)))</formula>
    </cfRule>
  </conditionalFormatting>
  <conditionalFormatting sqref="E44">
    <cfRule type="containsText" dxfId="352" priority="6" operator="containsText" text="WEB SERVICE">
      <formula>NOT(ISERROR(SEARCH("WEB SERVICE",E44)))</formula>
    </cfRule>
    <cfRule type="containsText" dxfId="351" priority="7" operator="containsText" text="DB">
      <formula>NOT(ISERROR(SEARCH("DB",E44)))</formula>
    </cfRule>
  </conditionalFormatting>
  <conditionalFormatting sqref="C44">
    <cfRule type="expression" dxfId="350" priority="9">
      <formula>$B44="Dial"</formula>
    </cfRule>
  </conditionalFormatting>
  <conditionalFormatting sqref="C44">
    <cfRule type="expression" dxfId="349" priority="3">
      <formula>$B44="Speak"</formula>
    </cfRule>
  </conditionalFormatting>
  <conditionalFormatting sqref="B19:B29 B31:B35 B42">
    <cfRule type="containsText" dxfId="348" priority="5" operator="containsText" text="Hear">
      <formula>NOT(ISERROR(SEARCH("Hear",B19)))</formula>
    </cfRule>
  </conditionalFormatting>
  <hyperlinks>
    <hyperlink ref="A1" location="'Test Case Overview'!A1" display="Return to Test Case Overview" xr:uid="{8DB594EC-6A4D-416A-BB88-20381CC56F77}"/>
  </hyperlinks>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expression" priority="2" id="{58BDF12B-6FC7-4787-A931-E32A13AA1AE2}">
            <xm:f>'TC1'!$B8="HANGUP"</xm:f>
            <x14:dxf>
              <font>
                <b/>
                <i val="0"/>
              </font>
            </x14:dxf>
          </x14:cfRule>
          <xm:sqref>C8</xm:sqref>
        </x14:conditionalFormatting>
        <x14:conditionalFormatting xmlns:xm="http://schemas.microsoft.com/office/excel/2006/main">
          <x14:cfRule type="expression" priority="3382" id="{58BDF12B-6FC7-4787-A931-E32A13AA1AE2}">
            <xm:f>'TC1'!$B16="HANGUP"</xm:f>
            <x14:dxf>
              <font>
                <b/>
                <i val="0"/>
              </font>
            </x14:dxf>
          </x14:cfRule>
          <xm:sqref>C34:C43</xm:sqref>
        </x14:conditionalFormatting>
        <x14:conditionalFormatting xmlns:xm="http://schemas.microsoft.com/office/excel/2006/main">
          <x14:cfRule type="expression" priority="3383" id="{58BDF12B-6FC7-4787-A931-E32A13AA1AE2}">
            <xm:f>'TC1'!#REF!="HANGUP"</xm:f>
            <x14:dxf>
              <font>
                <b/>
                <i val="0"/>
              </font>
            </x14:dxf>
          </x14:cfRule>
          <xm:sqref>C17:C33</xm:sqref>
        </x14:conditionalFormatting>
        <x14:conditionalFormatting xmlns:xm="http://schemas.microsoft.com/office/excel/2006/main">
          <x14:cfRule type="expression" priority="5996" id="{58BDF12B-6FC7-4787-A931-E32A13AA1AE2}">
            <xm:f>'TC1'!$B9="HANGUP"</xm:f>
            <x14:dxf>
              <font>
                <b/>
                <i val="0"/>
              </font>
            </x14:dxf>
          </x14:cfRule>
          <xm:sqref>C12:C15</xm:sqref>
        </x14:conditionalFormatting>
        <x14:conditionalFormatting xmlns:xm="http://schemas.microsoft.com/office/excel/2006/main">
          <x14:cfRule type="expression" priority="5997" id="{58BDF12B-6FC7-4787-A931-E32A13AA1AE2}">
            <xm:f>'TC1'!#REF!="HANGUP"</xm:f>
            <x14:dxf>
              <font>
                <b/>
                <i val="0"/>
              </font>
            </x14:dxf>
          </x14:cfRule>
          <xm:sqref>C9:C11</xm:sqref>
        </x14:conditionalFormatting>
        <x14:conditionalFormatting xmlns:xm="http://schemas.microsoft.com/office/excel/2006/main">
          <x14:cfRule type="expression" priority="8160" id="{58BDF12B-6FC7-4787-A931-E32A13AA1AE2}">
            <xm:f>'TC1'!$B15="HANGUP"</xm:f>
            <x14:dxf>
              <font>
                <b/>
                <i val="0"/>
              </font>
            </x14:dxf>
          </x14:cfRule>
          <xm:sqref>C16</xm:sqref>
        </x14:conditionalFormatting>
      </x14:conditionalFormattings>
    </ext>
  </extLst>
</worksheet>
</file>

<file path=xl/worksheets/sheet1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B900-000000000000}">
  <sheetPr codeName="Sheet187"/>
  <dimension ref="A1:E44"/>
  <sheetViews>
    <sheetView zoomScaleNormal="100" workbookViewId="0">
      <selection sqref="A1:E44"/>
    </sheetView>
  </sheetViews>
  <sheetFormatPr defaultRowHeight="14.5" x14ac:dyDescent="0.35"/>
  <cols>
    <col min="1" max="1" width="14.453125" bestFit="1" customWidth="1"/>
    <col min="2" max="2" width="42.6328125" customWidth="1"/>
    <col min="3" max="3" width="106.1796875" customWidth="1"/>
    <col min="4" max="4" width="21.81640625" bestFit="1" customWidth="1"/>
    <col min="5" max="5" width="20.6328125" customWidth="1"/>
  </cols>
  <sheetData>
    <row r="1" spans="1:5" ht="18.5" x14ac:dyDescent="0.35">
      <c r="A1" s="192" t="s">
        <v>4</v>
      </c>
      <c r="B1" s="192"/>
      <c r="C1" s="105"/>
      <c r="D1" s="111"/>
      <c r="E1" s="97"/>
    </row>
    <row r="2" spans="1:5" x14ac:dyDescent="0.35">
      <c r="A2" s="106" t="s">
        <v>5</v>
      </c>
      <c r="B2" s="107" t="str">
        <f ca="1">MID(CELL("filename",A1),FIND("]",CELL("filename",A1))+1,LEN(CELL("filename",A1))-FIND("]",CELL("filename",A1)))</f>
        <v>TC185</v>
      </c>
      <c r="C2" s="98"/>
      <c r="D2" s="111"/>
      <c r="E2" s="97"/>
    </row>
    <row r="3" spans="1:5" x14ac:dyDescent="0.35">
      <c r="A3" s="104" t="s">
        <v>19</v>
      </c>
      <c r="B3" s="112" t="e">
        <f ca="1">VLOOKUP(B2,Table53[#All],2,FALSE)</f>
        <v>#N/A</v>
      </c>
      <c r="C3" s="98"/>
      <c r="D3" s="111"/>
      <c r="E3" s="97"/>
    </row>
    <row r="4" spans="1:5" ht="29" x14ac:dyDescent="0.35">
      <c r="A4" s="113" t="s">
        <v>20</v>
      </c>
      <c r="B4" s="99" t="e">
        <f ca="1">VLOOKUP(B2,Table53[#All],4,FALSE)</f>
        <v>#N/A</v>
      </c>
      <c r="C4" s="98"/>
      <c r="D4" s="111"/>
      <c r="E4" s="97"/>
    </row>
    <row r="5" spans="1:5" x14ac:dyDescent="0.35">
      <c r="A5" s="104" t="s">
        <v>6</v>
      </c>
      <c r="B5" s="77" t="e">
        <f ca="1">VLOOKUP(B2,Table53[#All],3,FALSE)</f>
        <v>#N/A</v>
      </c>
      <c r="C5" s="98"/>
      <c r="D5" s="111"/>
      <c r="E5" s="97"/>
    </row>
    <row r="6" spans="1:5" x14ac:dyDescent="0.35">
      <c r="A6" s="97"/>
      <c r="B6" s="97"/>
      <c r="C6" s="98"/>
      <c r="D6" s="111"/>
      <c r="E6" s="97"/>
    </row>
    <row r="7" spans="1:5" ht="15.5" x14ac:dyDescent="0.35">
      <c r="A7" s="100" t="s">
        <v>7</v>
      </c>
      <c r="B7" s="101" t="s">
        <v>8</v>
      </c>
      <c r="C7" s="102" t="s">
        <v>9</v>
      </c>
      <c r="D7" s="102" t="s">
        <v>14</v>
      </c>
      <c r="E7" s="103" t="s">
        <v>10</v>
      </c>
    </row>
    <row r="8" spans="1:5" x14ac:dyDescent="0.35">
      <c r="A8" s="118">
        <v>1</v>
      </c>
      <c r="B8" s="114" t="s">
        <v>114</v>
      </c>
      <c r="C8" s="109" t="s">
        <v>125</v>
      </c>
      <c r="D8" s="128"/>
      <c r="E8" s="125" t="s">
        <v>11</v>
      </c>
    </row>
    <row r="9" spans="1:5" x14ac:dyDescent="0.35">
      <c r="A9" s="118">
        <v>2</v>
      </c>
      <c r="B9" s="114" t="s">
        <v>12</v>
      </c>
      <c r="C9" s="109" t="e">
        <f>VLOOKUP(Table257519913140106110151155170178204279[[#This Row],[PEG]],Table1016[#All],2,FALSE)</f>
        <v>#N/A</v>
      </c>
      <c r="D9" s="128"/>
      <c r="E9" s="125" t="e">
        <f>VLOOKUP(Table257519913140106110151155170178204279[[#This Row],[PEG]],Table1016[#All],3,FALSE)</f>
        <v>#N/A</v>
      </c>
    </row>
    <row r="10" spans="1:5" x14ac:dyDescent="0.35">
      <c r="A10" s="118">
        <v>3</v>
      </c>
      <c r="B10" s="114" t="s">
        <v>115</v>
      </c>
      <c r="C10" s="109" t="e">
        <f>VLOOKUP(Table257519913140106110151155170178204279[[#This Row],[PEG]],Table1016[#All],2,FALSE)</f>
        <v>#N/A</v>
      </c>
      <c r="D10" s="128"/>
      <c r="E10" s="125" t="e">
        <f>VLOOKUP(Table257519913140106110151155170178204279[[#This Row],[PEG]],Table1016[#All],3,FALSE)</f>
        <v>#N/A</v>
      </c>
    </row>
    <row r="11" spans="1:5" x14ac:dyDescent="0.35">
      <c r="A11" s="118">
        <v>4</v>
      </c>
      <c r="B11" s="114" t="s">
        <v>115</v>
      </c>
      <c r="C11" s="109" t="e">
        <f>VLOOKUP(Table257519913140106110151155170178204279[[#This Row],[PEG]],Table1016[#All],2,FALSE)</f>
        <v>#N/A</v>
      </c>
      <c r="D11" s="128"/>
      <c r="E11" s="125" t="e">
        <f>VLOOKUP(Table257519913140106110151155170178204279[[#This Row],[PEG]],Table1016[#All],3,FALSE)</f>
        <v>#N/A</v>
      </c>
    </row>
    <row r="12" spans="1:5" x14ac:dyDescent="0.35">
      <c r="A12" s="118">
        <v>5</v>
      </c>
      <c r="B12" s="114" t="s">
        <v>114</v>
      </c>
      <c r="C12" s="109" t="e">
        <f>VLOOKUP(Table257519913140106110151155170178204279[[#This Row],[PEG]],Table1016[#All],2,FALSE)</f>
        <v>#N/A</v>
      </c>
      <c r="D12" s="128"/>
      <c r="E12" s="125" t="e">
        <f>VLOOKUP(Table257519913140106110151155170178204279[[#This Row],[PEG]],Table1016[#All],3,FALSE)</f>
        <v>#N/A</v>
      </c>
    </row>
    <row r="13" spans="1:5" x14ac:dyDescent="0.35">
      <c r="A13" s="118">
        <v>6</v>
      </c>
      <c r="B13" s="114" t="s">
        <v>115</v>
      </c>
      <c r="C13" s="109" t="e">
        <f>VLOOKUP(Table257519913140106110151155170178204279[[#This Row],[PEG]],Table1016[#All],2,FALSE)</f>
        <v>#N/A</v>
      </c>
      <c r="D13" s="128"/>
      <c r="E13" s="125" t="e">
        <f>VLOOKUP(Table257519913140106110151155170178204279[[#This Row],[PEG]],Table1016[#All],3,FALSE)</f>
        <v>#N/A</v>
      </c>
    </row>
    <row r="14" spans="1:5" x14ac:dyDescent="0.35">
      <c r="A14" s="118">
        <v>7</v>
      </c>
      <c r="B14" s="114" t="s">
        <v>114</v>
      </c>
      <c r="C14" s="109" t="e">
        <f>VLOOKUP(Table257519913140106110151155170178204279[[#This Row],[PEG]],Table1016[#All],2,FALSE)</f>
        <v>#N/A</v>
      </c>
      <c r="D14" s="128"/>
      <c r="E14" s="125" t="e">
        <f>VLOOKUP(Table257519913140106110151155170178204279[[#This Row],[PEG]],Table1016[#All],3,FALSE)</f>
        <v>#N/A</v>
      </c>
    </row>
    <row r="15" spans="1:5" x14ac:dyDescent="0.35">
      <c r="A15" s="118">
        <v>8</v>
      </c>
      <c r="B15" s="114" t="s">
        <v>115</v>
      </c>
      <c r="C15" s="109" t="e">
        <f>VLOOKUP(Table257519913140106110151155170178204279[[#This Row],[PEG]],Table1016[#All],2,FALSE)</f>
        <v>#N/A</v>
      </c>
      <c r="D15" s="116"/>
      <c r="E15" s="125" t="e">
        <f>VLOOKUP(Table257519913140106110151155170178204279[[#This Row],[PEG]],Table1016[#All],3,FALSE)</f>
        <v>#N/A</v>
      </c>
    </row>
    <row r="16" spans="1:5" x14ac:dyDescent="0.35">
      <c r="A16" s="118">
        <v>9</v>
      </c>
      <c r="B16" s="114" t="s">
        <v>12</v>
      </c>
      <c r="C16" s="109" t="e">
        <f>VLOOKUP(Table257519913140106110151155170178204279[[#This Row],[PEG]],Table1016[#All],2,FALSE)</f>
        <v>#N/A</v>
      </c>
      <c r="D16" s="116"/>
      <c r="E16" s="125" t="e">
        <f>VLOOKUP(Table257519913140106110151155170178204279[[#This Row],[PEG]],Table1016[#All],3,FALSE)</f>
        <v>#N/A</v>
      </c>
    </row>
    <row r="17" spans="1:5" x14ac:dyDescent="0.35">
      <c r="A17" s="118">
        <v>10</v>
      </c>
      <c r="B17" s="114" t="s">
        <v>12</v>
      </c>
      <c r="C17" s="109" t="e">
        <f>VLOOKUP(Table257519913140106110151155170178204279[[#This Row],[PEG]],Table1016[#All],2,FALSE)</f>
        <v>#N/A</v>
      </c>
      <c r="D17" s="117"/>
      <c r="E17" s="125" t="e">
        <f>VLOOKUP(Table257519913140106110151155170178204279[[#This Row],[PEG]],Table1016[#All],3,FALSE)</f>
        <v>#N/A</v>
      </c>
    </row>
    <row r="18" spans="1:5" x14ac:dyDescent="0.35">
      <c r="A18" s="118">
        <v>11</v>
      </c>
      <c r="B18" s="114" t="s">
        <v>115</v>
      </c>
      <c r="C18" s="109" t="e">
        <f>VLOOKUP(Table257519913140106110151155170178204279[[#This Row],[PEG]],Table1016[#All],2,FALSE)</f>
        <v>#N/A</v>
      </c>
      <c r="D18" s="117"/>
      <c r="E18" s="125" t="e">
        <f>VLOOKUP(Table257519913140106110151155170178204279[[#This Row],[PEG]],Table1016[#All],3,FALSE)</f>
        <v>#N/A</v>
      </c>
    </row>
    <row r="19" spans="1:5" x14ac:dyDescent="0.35">
      <c r="A19" s="118">
        <v>12</v>
      </c>
      <c r="B19" s="114" t="s">
        <v>115</v>
      </c>
      <c r="C19" s="109" t="e">
        <f>VLOOKUP(Table257519913140106110151155170178204279[[#This Row],[PEG]],Table1016[#All],2,FALSE)</f>
        <v>#N/A</v>
      </c>
      <c r="D19" s="117"/>
      <c r="E19" s="125" t="e">
        <f>VLOOKUP(Table257519913140106110151155170178204279[[#This Row],[PEG]],Table1016[#All],3,FALSE)</f>
        <v>#N/A</v>
      </c>
    </row>
    <row r="20" spans="1:5" x14ac:dyDescent="0.35">
      <c r="A20" s="118">
        <v>13</v>
      </c>
      <c r="B20" s="114" t="s">
        <v>114</v>
      </c>
      <c r="C20" s="109" t="e">
        <f>VLOOKUP(Table257519913140106110151155170178204279[[#This Row],[PEG]],Table1016[#All],2,FALSE)</f>
        <v>#N/A</v>
      </c>
      <c r="D20" s="117"/>
      <c r="E20" s="125" t="e">
        <f>VLOOKUP(Table257519913140106110151155170178204279[[#This Row],[PEG]],Table1016[#All],3,FALSE)</f>
        <v>#N/A</v>
      </c>
    </row>
    <row r="21" spans="1:5" x14ac:dyDescent="0.35">
      <c r="A21" s="118">
        <v>14</v>
      </c>
      <c r="B21" s="114" t="s">
        <v>12</v>
      </c>
      <c r="C21" s="109" t="e">
        <f>VLOOKUP(Table257519913140106110151155170178204279[[#This Row],[PEG]],Table1016[#All],2,FALSE)</f>
        <v>#N/A</v>
      </c>
      <c r="D21" s="117"/>
      <c r="E21" s="125" t="e">
        <f>VLOOKUP(Table257519913140106110151155170178204279[[#This Row],[PEG]],Table1016[#All],3,FALSE)</f>
        <v>#N/A</v>
      </c>
    </row>
    <row r="22" spans="1:5" x14ac:dyDescent="0.35">
      <c r="A22" s="118">
        <v>15</v>
      </c>
      <c r="B22" s="114" t="s">
        <v>12</v>
      </c>
      <c r="C22" s="109" t="e">
        <f>VLOOKUP(Table257519913140106110151155170178204279[[#This Row],[PEG]],Table1016[#All],2,FALSE)</f>
        <v>#N/A</v>
      </c>
      <c r="D22" s="117"/>
      <c r="E22" s="125" t="e">
        <f>VLOOKUP(Table257519913140106110151155170178204279[[#This Row],[PEG]],Table1016[#All],3,FALSE)</f>
        <v>#N/A</v>
      </c>
    </row>
    <row r="23" spans="1:5" x14ac:dyDescent="0.35">
      <c r="A23" s="118">
        <v>16</v>
      </c>
      <c r="B23" s="114" t="s">
        <v>115</v>
      </c>
      <c r="C23" s="109" t="e">
        <f>VLOOKUP(Table257519913140106110151155170178204279[[#This Row],[PEG]],Table1016[#All],2,FALSE)</f>
        <v>#N/A</v>
      </c>
      <c r="D23" s="117"/>
      <c r="E23" s="125" t="e">
        <f>VLOOKUP(Table257519913140106110151155170178204279[[#This Row],[PEG]],Table1016[#All],3,FALSE)</f>
        <v>#N/A</v>
      </c>
    </row>
    <row r="24" spans="1:5" x14ac:dyDescent="0.35">
      <c r="A24" s="118">
        <v>17</v>
      </c>
      <c r="B24" s="114" t="s">
        <v>114</v>
      </c>
      <c r="C24" s="109" t="e">
        <f>VLOOKUP(Table257519913140106110151155170178204279[[#This Row],[PEG]],Table1016[#All],2,FALSE)</f>
        <v>#N/A</v>
      </c>
      <c r="D24" s="117"/>
      <c r="E24" s="125" t="e">
        <f>VLOOKUP(Table257519913140106110151155170178204279[[#This Row],[PEG]],Table1016[#All],3,FALSE)</f>
        <v>#N/A</v>
      </c>
    </row>
    <row r="25" spans="1:5" x14ac:dyDescent="0.35">
      <c r="A25" s="118">
        <v>18</v>
      </c>
      <c r="B25" s="114" t="s">
        <v>12</v>
      </c>
      <c r="C25" s="109" t="e">
        <f>VLOOKUP(Table257519913140106110151155170178204279[[#This Row],[PEG]],Table1016[#All],2,FALSE)</f>
        <v>#N/A</v>
      </c>
      <c r="D25" s="117"/>
      <c r="E25" s="125" t="e">
        <f>VLOOKUP(Table257519913140106110151155170178204279[[#This Row],[PEG]],Table1016[#All],3,FALSE)</f>
        <v>#N/A</v>
      </c>
    </row>
    <row r="26" spans="1:5" x14ac:dyDescent="0.35">
      <c r="A26" s="118">
        <v>19</v>
      </c>
      <c r="B26" s="114" t="s">
        <v>12</v>
      </c>
      <c r="C26" s="109" t="e">
        <f>VLOOKUP(Table257519913140106110151155170178204279[[#This Row],[PEG]],Table1016[#All],2,FALSE)</f>
        <v>#N/A</v>
      </c>
      <c r="D26" s="117"/>
      <c r="E26" s="125" t="e">
        <f>VLOOKUP(Table257519913140106110151155170178204279[[#This Row],[PEG]],Table1016[#All],3,FALSE)</f>
        <v>#N/A</v>
      </c>
    </row>
    <row r="27" spans="1:5" x14ac:dyDescent="0.35">
      <c r="A27" s="118">
        <v>20</v>
      </c>
      <c r="B27" s="114" t="s">
        <v>115</v>
      </c>
      <c r="C27" s="109" t="e">
        <f>VLOOKUP(Table257519913140106110151155170178204279[[#This Row],[PEG]],Table1016[#All],2,FALSE)</f>
        <v>#N/A</v>
      </c>
      <c r="D27" s="117"/>
      <c r="E27" s="125" t="e">
        <f>VLOOKUP(Table257519913140106110151155170178204279[[#This Row],[PEG]],Table1016[#All],3,FALSE)</f>
        <v>#N/A</v>
      </c>
    </row>
    <row r="28" spans="1:5" x14ac:dyDescent="0.35">
      <c r="A28" s="118">
        <v>21</v>
      </c>
      <c r="B28" s="114" t="s">
        <v>114</v>
      </c>
      <c r="C28" s="109" t="e">
        <f>VLOOKUP(Table257519913140106110151155170178204279[[#This Row],[PEG]],Table1016[#All],2,FALSE)</f>
        <v>#N/A</v>
      </c>
      <c r="D28" s="117"/>
      <c r="E28" s="125" t="e">
        <f>VLOOKUP(Table257519913140106110151155170178204279[[#This Row],[PEG]],Table1016[#All],3,FALSE)</f>
        <v>#N/A</v>
      </c>
    </row>
    <row r="29" spans="1:5" x14ac:dyDescent="0.35">
      <c r="A29" s="118">
        <v>22</v>
      </c>
      <c r="B29" s="114" t="s">
        <v>12</v>
      </c>
      <c r="C29" s="109" t="e">
        <f>VLOOKUP(Table257519913140106110151155170178204279[[#This Row],[PEG]],Table1016[#All],2,FALSE)</f>
        <v>#N/A</v>
      </c>
      <c r="D29" s="117"/>
      <c r="E29" s="125" t="e">
        <f>VLOOKUP(Table257519913140106110151155170178204279[[#This Row],[PEG]],Table1016[#All],3,FALSE)</f>
        <v>#N/A</v>
      </c>
    </row>
    <row r="30" spans="1:5" x14ac:dyDescent="0.35">
      <c r="A30" s="118">
        <v>23</v>
      </c>
      <c r="B30" s="114" t="s">
        <v>12</v>
      </c>
      <c r="C30" s="109" t="e">
        <f>VLOOKUP(Table257519913140106110151155170178204279[[#This Row],[PEG]],Table1016[#All],2,FALSE)</f>
        <v>#N/A</v>
      </c>
      <c r="D30" s="117"/>
      <c r="E30" s="125" t="e">
        <f>VLOOKUP(Table257519913140106110151155170178204279[[#This Row],[PEG]],Table1016[#All],3,FALSE)</f>
        <v>#N/A</v>
      </c>
    </row>
    <row r="31" spans="1:5" x14ac:dyDescent="0.35">
      <c r="A31" s="118">
        <v>24</v>
      </c>
      <c r="B31" s="114" t="s">
        <v>115</v>
      </c>
      <c r="C31" s="109" t="e">
        <f>VLOOKUP(Table257519913140106110151155170178204279[[#This Row],[PEG]],Table1016[#All],2,FALSE)</f>
        <v>#N/A</v>
      </c>
      <c r="D31" s="117"/>
      <c r="E31" s="125" t="e">
        <f>VLOOKUP(Table257519913140106110151155170178204279[[#This Row],[PEG]],Table1016[#All],3,FALSE)</f>
        <v>#N/A</v>
      </c>
    </row>
    <row r="32" spans="1:5" x14ac:dyDescent="0.35">
      <c r="A32" s="118">
        <v>25</v>
      </c>
      <c r="B32" s="114" t="s">
        <v>115</v>
      </c>
      <c r="C32" s="109" t="e">
        <f>VLOOKUP(Table257519913140106110151155170178204279[[#This Row],[PEG]],Table1016[#All],2,FALSE)</f>
        <v>#N/A</v>
      </c>
      <c r="D32" s="117"/>
      <c r="E32" s="125" t="e">
        <f>VLOOKUP(Table257519913140106110151155170178204279[[#This Row],[PEG]],Table1016[#All],3,FALSE)</f>
        <v>#N/A</v>
      </c>
    </row>
    <row r="33" spans="1:5" x14ac:dyDescent="0.35">
      <c r="A33" s="118">
        <v>26</v>
      </c>
      <c r="B33" s="114" t="s">
        <v>124</v>
      </c>
      <c r="C33" s="109" t="e">
        <f>VLOOKUP(Table257519913140106110151155170178204279[[#This Row],[PEG]],Table1016[#All],2,FALSE)</f>
        <v>#N/A</v>
      </c>
      <c r="D33" s="117"/>
      <c r="E33" s="125" t="e">
        <f>VLOOKUP(Table257519913140106110151155170178204279[[#This Row],[PEG]],Table1016[#All],3,FALSE)</f>
        <v>#N/A</v>
      </c>
    </row>
    <row r="34" spans="1:5" x14ac:dyDescent="0.35">
      <c r="A34" s="118">
        <v>27</v>
      </c>
      <c r="B34" s="114" t="s">
        <v>115</v>
      </c>
      <c r="C34" s="109" t="e">
        <f>VLOOKUP(Table257519913140106110151155170178204279[[#This Row],[PEG]],Table1016[#All],2,FALSE)</f>
        <v>#N/A</v>
      </c>
      <c r="D34" s="117"/>
      <c r="E34" s="125" t="e">
        <f>VLOOKUP(Table257519913140106110151155170178204279[[#This Row],[PEG]],Table1016[#All],3,FALSE)</f>
        <v>#N/A</v>
      </c>
    </row>
    <row r="35" spans="1:5" x14ac:dyDescent="0.35">
      <c r="A35" s="118">
        <v>28</v>
      </c>
      <c r="B35" s="114" t="s">
        <v>124</v>
      </c>
      <c r="C35" s="109" t="e">
        <f>VLOOKUP(Table257519913140106110151155170178204279[[#This Row],[PEG]],Table1016[#All],2,FALSE)</f>
        <v>#N/A</v>
      </c>
      <c r="D35" s="117"/>
      <c r="E35" s="125" t="e">
        <f>VLOOKUP(Table257519913140106110151155170178204279[[#This Row],[PEG]],Table1016[#All],3,FALSE)</f>
        <v>#N/A</v>
      </c>
    </row>
    <row r="36" spans="1:5" x14ac:dyDescent="0.35">
      <c r="A36" s="118">
        <v>29</v>
      </c>
      <c r="B36" s="114" t="s">
        <v>115</v>
      </c>
      <c r="C36" s="109" t="e">
        <f>VLOOKUP(Table257519913140106110151155170178204279[[#This Row],[PEG]],Table1016[#All],2,FALSE)</f>
        <v>#N/A</v>
      </c>
      <c r="D36" s="117"/>
      <c r="E36" s="125" t="e">
        <f>VLOOKUP(Table257519913140106110151155170178204279[[#This Row],[PEG]],Table1016[#All],3,FALSE)</f>
        <v>#N/A</v>
      </c>
    </row>
    <row r="37" spans="1:5" x14ac:dyDescent="0.35">
      <c r="A37" s="118">
        <v>30</v>
      </c>
      <c r="B37" s="114" t="s">
        <v>12</v>
      </c>
      <c r="C37" s="109" t="e">
        <f>VLOOKUP(Table257519913140106110151155170178204279[[#This Row],[PEG]],Table1016[#All],2,FALSE)</f>
        <v>#N/A</v>
      </c>
      <c r="D37" s="117"/>
      <c r="E37" s="125" t="e">
        <f>VLOOKUP(Table257519913140106110151155170178204279[[#This Row],[PEG]],Table1016[#All],3,FALSE)</f>
        <v>#N/A</v>
      </c>
    </row>
    <row r="38" spans="1:5" x14ac:dyDescent="0.35">
      <c r="A38" s="118">
        <v>31</v>
      </c>
      <c r="B38" s="114" t="s">
        <v>12</v>
      </c>
      <c r="C38" s="109" t="e">
        <f>VLOOKUP(Table257519913140106110151155170178204279[[#This Row],[PEG]],Table1016[#All],2,FALSE)</f>
        <v>#N/A</v>
      </c>
      <c r="D38" s="117"/>
      <c r="E38" s="125" t="e">
        <f>VLOOKUP(Table257519913140106110151155170178204279[[#This Row],[PEG]],Table1016[#All],3,FALSE)</f>
        <v>#N/A</v>
      </c>
    </row>
    <row r="39" spans="1:5" x14ac:dyDescent="0.35">
      <c r="A39" s="118">
        <v>32</v>
      </c>
      <c r="B39" s="114" t="s">
        <v>12</v>
      </c>
      <c r="C39" s="109" t="e">
        <f>VLOOKUP(Table257519913140106110151155170178204279[[#This Row],[PEG]],Table1016[#All],2,FALSE)</f>
        <v>#N/A</v>
      </c>
      <c r="D39" s="117"/>
      <c r="E39" s="125" t="e">
        <f>VLOOKUP(Table257519913140106110151155170178204279[[#This Row],[PEG]],Table1016[#All],3,FALSE)</f>
        <v>#N/A</v>
      </c>
    </row>
    <row r="40" spans="1:5" x14ac:dyDescent="0.35">
      <c r="A40" s="118">
        <v>33</v>
      </c>
      <c r="B40" s="114" t="s">
        <v>12</v>
      </c>
      <c r="C40" s="109" t="e">
        <f>VLOOKUP(Table257519913140106110151155170178204279[[#This Row],[PEG]],Table1016[#All],2,FALSE)</f>
        <v>#N/A</v>
      </c>
      <c r="D40" s="117"/>
      <c r="E40" s="125" t="e">
        <f>VLOOKUP(Table257519913140106110151155170178204279[[#This Row],[PEG]],Table1016[#All],3,FALSE)</f>
        <v>#N/A</v>
      </c>
    </row>
    <row r="41" spans="1:5" x14ac:dyDescent="0.35">
      <c r="A41" s="118">
        <v>34</v>
      </c>
      <c r="B41" s="114" t="s">
        <v>115</v>
      </c>
      <c r="C41" s="109" t="e">
        <f>VLOOKUP(Table257519913140106110151155170178204279[[#This Row],[PEG]],Table1016[#All],2,FALSE)</f>
        <v>#N/A</v>
      </c>
      <c r="D41" s="117"/>
      <c r="E41" s="125" t="e">
        <f>VLOOKUP(Table257519913140106110151155170178204279[[#This Row],[PEG]],Table1016[#All],3,FALSE)</f>
        <v>#N/A</v>
      </c>
    </row>
    <row r="42" spans="1:5" x14ac:dyDescent="0.35">
      <c r="A42" s="118">
        <v>35</v>
      </c>
      <c r="B42" s="114" t="s">
        <v>12</v>
      </c>
      <c r="C42" s="109" t="e">
        <f>VLOOKUP(Table257519913140106110151155170178204279[[#This Row],[PEG]],Table1016[#All],2,FALSE)</f>
        <v>#N/A</v>
      </c>
      <c r="D42" s="115"/>
      <c r="E42" s="125" t="e">
        <f>VLOOKUP(Table257519913140106110151155170178204279[[#This Row],[PEG]],Table1016[#All],3,FALSE)</f>
        <v>#N/A</v>
      </c>
    </row>
    <row r="43" spans="1:5" x14ac:dyDescent="0.35">
      <c r="A43" s="118">
        <v>36</v>
      </c>
      <c r="B43" s="114" t="s">
        <v>115</v>
      </c>
      <c r="C43" s="109" t="e">
        <f>VLOOKUP(Table257519913140106110151155170178204279[[#This Row],[PEG]],Table1016[#All],2,FALSE)</f>
        <v>#N/A</v>
      </c>
      <c r="D43" s="115"/>
      <c r="E43" s="125" t="e">
        <f>VLOOKUP(Table257519913140106110151155170178204279[[#This Row],[PEG]],Table1016[#All],3,FALSE)</f>
        <v>#N/A</v>
      </c>
    </row>
    <row r="44" spans="1:5" x14ac:dyDescent="0.35">
      <c r="A44" s="118">
        <v>37</v>
      </c>
      <c r="B44" s="114" t="s">
        <v>13</v>
      </c>
      <c r="C44" s="18" t="s">
        <v>13</v>
      </c>
      <c r="D44" s="115"/>
      <c r="E44" s="32"/>
    </row>
  </sheetData>
  <mergeCells count="1">
    <mergeCell ref="A1:B1"/>
  </mergeCells>
  <conditionalFormatting sqref="B8:B18">
    <cfRule type="containsText" dxfId="341" priority="1" operator="containsText" text="Hear">
      <formula>NOT(ISERROR(SEARCH("Hear",B8)))</formula>
    </cfRule>
  </conditionalFormatting>
  <conditionalFormatting sqref="B30">
    <cfRule type="containsText" dxfId="340" priority="4" operator="containsText" text="Hear">
      <formula>NOT(ISERROR(SEARCH("Hear",B30)))</formula>
    </cfRule>
  </conditionalFormatting>
  <conditionalFormatting sqref="B43:B44">
    <cfRule type="containsText" dxfId="339" priority="8" operator="containsText" text="Hear">
      <formula>NOT(ISERROR(SEARCH("Hear",B43)))</formula>
    </cfRule>
  </conditionalFormatting>
  <conditionalFormatting sqref="E44">
    <cfRule type="containsText" dxfId="338" priority="6" operator="containsText" text="WEB SERVICE">
      <formula>NOT(ISERROR(SEARCH("WEB SERVICE",E44)))</formula>
    </cfRule>
    <cfRule type="containsText" dxfId="337" priority="7" operator="containsText" text="DB">
      <formula>NOT(ISERROR(SEARCH("DB",E44)))</formula>
    </cfRule>
  </conditionalFormatting>
  <conditionalFormatting sqref="C44">
    <cfRule type="expression" dxfId="336" priority="9">
      <formula>$B44="Dial"</formula>
    </cfRule>
  </conditionalFormatting>
  <conditionalFormatting sqref="C44">
    <cfRule type="expression" dxfId="335" priority="3">
      <formula>$B44="Speak"</formula>
    </cfRule>
  </conditionalFormatting>
  <conditionalFormatting sqref="B19:B29 B31:B35 B42">
    <cfRule type="containsText" dxfId="334" priority="5" operator="containsText" text="Hear">
      <formula>NOT(ISERROR(SEARCH("Hear",B19)))</formula>
    </cfRule>
  </conditionalFormatting>
  <hyperlinks>
    <hyperlink ref="A1" location="'Test Case Overview'!A1" display="Return to Test Case Overview" xr:uid="{0F691444-4CC2-4230-A106-6ED0CC435FDE}"/>
  </hyperlinks>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expression" priority="2" id="{415805D5-460D-4FF6-84AF-D67D54AABFAA}">
            <xm:f>'TC1'!$B8="HANGUP"</xm:f>
            <x14:dxf>
              <font>
                <b/>
                <i val="0"/>
              </font>
            </x14:dxf>
          </x14:cfRule>
          <xm:sqref>C8</xm:sqref>
        </x14:conditionalFormatting>
        <x14:conditionalFormatting xmlns:xm="http://schemas.microsoft.com/office/excel/2006/main">
          <x14:cfRule type="expression" priority="3386" id="{415805D5-460D-4FF6-84AF-D67D54AABFAA}">
            <xm:f>'TC1'!$B16="HANGUP"</xm:f>
            <x14:dxf>
              <font>
                <b/>
                <i val="0"/>
              </font>
            </x14:dxf>
          </x14:cfRule>
          <xm:sqref>C34:C43</xm:sqref>
        </x14:conditionalFormatting>
        <x14:conditionalFormatting xmlns:xm="http://schemas.microsoft.com/office/excel/2006/main">
          <x14:cfRule type="expression" priority="3387" id="{415805D5-460D-4FF6-84AF-D67D54AABFAA}">
            <xm:f>'TC1'!#REF!="HANGUP"</xm:f>
            <x14:dxf>
              <font>
                <b/>
                <i val="0"/>
              </font>
            </x14:dxf>
          </x14:cfRule>
          <xm:sqref>C17:C33</xm:sqref>
        </x14:conditionalFormatting>
        <x14:conditionalFormatting xmlns:xm="http://schemas.microsoft.com/office/excel/2006/main">
          <x14:cfRule type="expression" priority="6000" id="{415805D5-460D-4FF6-84AF-D67D54AABFAA}">
            <xm:f>'TC1'!$B9="HANGUP"</xm:f>
            <x14:dxf>
              <font>
                <b/>
                <i val="0"/>
              </font>
            </x14:dxf>
          </x14:cfRule>
          <xm:sqref>C12:C15</xm:sqref>
        </x14:conditionalFormatting>
        <x14:conditionalFormatting xmlns:xm="http://schemas.microsoft.com/office/excel/2006/main">
          <x14:cfRule type="expression" priority="6001" id="{415805D5-460D-4FF6-84AF-D67D54AABFAA}">
            <xm:f>'TC1'!#REF!="HANGUP"</xm:f>
            <x14:dxf>
              <font>
                <b/>
                <i val="0"/>
              </font>
            </x14:dxf>
          </x14:cfRule>
          <xm:sqref>C9:C11</xm:sqref>
        </x14:conditionalFormatting>
        <x14:conditionalFormatting xmlns:xm="http://schemas.microsoft.com/office/excel/2006/main">
          <x14:cfRule type="expression" priority="8163" id="{415805D5-460D-4FF6-84AF-D67D54AABFAA}">
            <xm:f>'TC1'!$B15="HANGUP"</xm:f>
            <x14:dxf>
              <font>
                <b/>
                <i val="0"/>
              </font>
            </x14:dxf>
          </x14:cfRule>
          <xm:sqref>C16</xm:sqref>
        </x14:conditionalFormatting>
      </x14:conditionalFormattings>
    </ext>
  </extLst>
</worksheet>
</file>

<file path=xl/worksheets/sheet1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BA00-000000000000}">
  <sheetPr codeName="Sheet188"/>
  <dimension ref="A1:E44"/>
  <sheetViews>
    <sheetView zoomScaleNormal="100" workbookViewId="0">
      <selection sqref="A1:E44"/>
    </sheetView>
  </sheetViews>
  <sheetFormatPr defaultRowHeight="14.5" x14ac:dyDescent="0.35"/>
  <cols>
    <col min="1" max="1" width="14.453125" bestFit="1" customWidth="1"/>
    <col min="2" max="2" width="42.6328125" customWidth="1"/>
    <col min="3" max="3" width="106.1796875" customWidth="1"/>
    <col min="4" max="4" width="21.81640625" bestFit="1" customWidth="1"/>
    <col min="5" max="5" width="20.6328125" customWidth="1"/>
  </cols>
  <sheetData>
    <row r="1" spans="1:5" ht="18.5" x14ac:dyDescent="0.35">
      <c r="A1" s="192" t="s">
        <v>4</v>
      </c>
      <c r="B1" s="192"/>
      <c r="C1" s="105"/>
      <c r="D1" s="111"/>
      <c r="E1" s="97"/>
    </row>
    <row r="2" spans="1:5" x14ac:dyDescent="0.35">
      <c r="A2" s="106" t="s">
        <v>5</v>
      </c>
      <c r="B2" s="107" t="str">
        <f ca="1">MID(CELL("filename",A1),FIND("]",CELL("filename",A1))+1,LEN(CELL("filename",A1))-FIND("]",CELL("filename",A1)))</f>
        <v>TC186</v>
      </c>
      <c r="C2" s="98"/>
      <c r="D2" s="111"/>
      <c r="E2" s="97"/>
    </row>
    <row r="3" spans="1:5" x14ac:dyDescent="0.35">
      <c r="A3" s="104" t="s">
        <v>19</v>
      </c>
      <c r="B3" s="112" t="e">
        <f ca="1">VLOOKUP(B2,Table53[#All],2,FALSE)</f>
        <v>#N/A</v>
      </c>
      <c r="C3" s="98"/>
      <c r="D3" s="111"/>
      <c r="E3" s="97"/>
    </row>
    <row r="4" spans="1:5" ht="29" x14ac:dyDescent="0.35">
      <c r="A4" s="113" t="s">
        <v>20</v>
      </c>
      <c r="B4" s="99" t="e">
        <f ca="1">VLOOKUP(B2,Table53[#All],4,FALSE)</f>
        <v>#N/A</v>
      </c>
      <c r="C4" s="98"/>
      <c r="D4" s="111"/>
      <c r="E4" s="97"/>
    </row>
    <row r="5" spans="1:5" x14ac:dyDescent="0.35">
      <c r="A5" s="104" t="s">
        <v>6</v>
      </c>
      <c r="B5" s="77" t="e">
        <f ca="1">VLOOKUP(B2,Table53[#All],3,FALSE)</f>
        <v>#N/A</v>
      </c>
      <c r="C5" s="98"/>
      <c r="D5" s="111"/>
      <c r="E5" s="97"/>
    </row>
    <row r="6" spans="1:5" x14ac:dyDescent="0.35">
      <c r="A6" s="97"/>
      <c r="B6" s="97"/>
      <c r="C6" s="98"/>
      <c r="D6" s="111"/>
      <c r="E6" s="97"/>
    </row>
    <row r="7" spans="1:5" ht="15.5" x14ac:dyDescent="0.35">
      <c r="A7" s="100" t="s">
        <v>7</v>
      </c>
      <c r="B7" s="101" t="s">
        <v>8</v>
      </c>
      <c r="C7" s="102" t="s">
        <v>9</v>
      </c>
      <c r="D7" s="102" t="s">
        <v>14</v>
      </c>
      <c r="E7" s="103" t="s">
        <v>10</v>
      </c>
    </row>
    <row r="8" spans="1:5" x14ac:dyDescent="0.35">
      <c r="A8" s="118">
        <v>1</v>
      </c>
      <c r="B8" s="114" t="s">
        <v>114</v>
      </c>
      <c r="C8" s="109" t="s">
        <v>125</v>
      </c>
      <c r="D8" s="128"/>
      <c r="E8" s="125" t="s">
        <v>11</v>
      </c>
    </row>
    <row r="9" spans="1:5" x14ac:dyDescent="0.35">
      <c r="A9" s="118">
        <v>2</v>
      </c>
      <c r="B9" s="114" t="s">
        <v>12</v>
      </c>
      <c r="C9" s="109" t="e">
        <f>VLOOKUP(Table257519913140106110151155170178204281[[#This Row],[PEG]],Table1016[#All],2,FALSE)</f>
        <v>#N/A</v>
      </c>
      <c r="D9" s="128"/>
      <c r="E9" s="125" t="e">
        <f>VLOOKUP(Table257519913140106110151155170178204281[[#This Row],[PEG]],Table1016[#All],3,FALSE)</f>
        <v>#N/A</v>
      </c>
    </row>
    <row r="10" spans="1:5" x14ac:dyDescent="0.35">
      <c r="A10" s="118">
        <v>3</v>
      </c>
      <c r="B10" s="114" t="s">
        <v>115</v>
      </c>
      <c r="C10" s="109" t="e">
        <f>VLOOKUP(Table257519913140106110151155170178204281[[#This Row],[PEG]],Table1016[#All],2,FALSE)</f>
        <v>#N/A</v>
      </c>
      <c r="D10" s="128"/>
      <c r="E10" s="125" t="e">
        <f>VLOOKUP(Table257519913140106110151155170178204281[[#This Row],[PEG]],Table1016[#All],3,FALSE)</f>
        <v>#N/A</v>
      </c>
    </row>
    <row r="11" spans="1:5" x14ac:dyDescent="0.35">
      <c r="A11" s="118">
        <v>4</v>
      </c>
      <c r="B11" s="114" t="s">
        <v>115</v>
      </c>
      <c r="C11" s="109" t="e">
        <f>VLOOKUP(Table257519913140106110151155170178204281[[#This Row],[PEG]],Table1016[#All],2,FALSE)</f>
        <v>#N/A</v>
      </c>
      <c r="D11" s="128"/>
      <c r="E11" s="125" t="e">
        <f>VLOOKUP(Table257519913140106110151155170178204281[[#This Row],[PEG]],Table1016[#All],3,FALSE)</f>
        <v>#N/A</v>
      </c>
    </row>
    <row r="12" spans="1:5" x14ac:dyDescent="0.35">
      <c r="A12" s="118">
        <v>5</v>
      </c>
      <c r="B12" s="114" t="s">
        <v>114</v>
      </c>
      <c r="C12" s="109" t="e">
        <f>VLOOKUP(Table257519913140106110151155170178204281[[#This Row],[PEG]],Table1016[#All],2,FALSE)</f>
        <v>#N/A</v>
      </c>
      <c r="D12" s="128"/>
      <c r="E12" s="125" t="e">
        <f>VLOOKUP(Table257519913140106110151155170178204281[[#This Row],[PEG]],Table1016[#All],3,FALSE)</f>
        <v>#N/A</v>
      </c>
    </row>
    <row r="13" spans="1:5" x14ac:dyDescent="0.35">
      <c r="A13" s="118">
        <v>6</v>
      </c>
      <c r="B13" s="114" t="s">
        <v>115</v>
      </c>
      <c r="C13" s="109" t="e">
        <f>VLOOKUP(Table257519913140106110151155170178204281[[#This Row],[PEG]],Table1016[#All],2,FALSE)</f>
        <v>#N/A</v>
      </c>
      <c r="D13" s="128"/>
      <c r="E13" s="125" t="e">
        <f>VLOOKUP(Table257519913140106110151155170178204281[[#This Row],[PEG]],Table1016[#All],3,FALSE)</f>
        <v>#N/A</v>
      </c>
    </row>
    <row r="14" spans="1:5" x14ac:dyDescent="0.35">
      <c r="A14" s="118">
        <v>7</v>
      </c>
      <c r="B14" s="114" t="s">
        <v>114</v>
      </c>
      <c r="C14" s="109" t="e">
        <f>VLOOKUP(Table257519913140106110151155170178204281[[#This Row],[PEG]],Table1016[#All],2,FALSE)</f>
        <v>#N/A</v>
      </c>
      <c r="D14" s="128"/>
      <c r="E14" s="125" t="e">
        <f>VLOOKUP(Table257519913140106110151155170178204281[[#This Row],[PEG]],Table1016[#All],3,FALSE)</f>
        <v>#N/A</v>
      </c>
    </row>
    <row r="15" spans="1:5" x14ac:dyDescent="0.35">
      <c r="A15" s="118">
        <v>8</v>
      </c>
      <c r="B15" s="114" t="s">
        <v>115</v>
      </c>
      <c r="C15" s="109" t="e">
        <f>VLOOKUP(Table257519913140106110151155170178204281[[#This Row],[PEG]],Table1016[#All],2,FALSE)</f>
        <v>#N/A</v>
      </c>
      <c r="D15" s="116"/>
      <c r="E15" s="125" t="e">
        <f>VLOOKUP(Table257519913140106110151155170178204281[[#This Row],[PEG]],Table1016[#All],3,FALSE)</f>
        <v>#N/A</v>
      </c>
    </row>
    <row r="16" spans="1:5" x14ac:dyDescent="0.35">
      <c r="A16" s="118">
        <v>9</v>
      </c>
      <c r="B16" s="114" t="s">
        <v>12</v>
      </c>
      <c r="C16" s="109" t="e">
        <f>VLOOKUP(Table257519913140106110151155170178204281[[#This Row],[PEG]],Table1016[#All],2,FALSE)</f>
        <v>#N/A</v>
      </c>
      <c r="D16" s="116"/>
      <c r="E16" s="125" t="e">
        <f>VLOOKUP(Table257519913140106110151155170178204281[[#This Row],[PEG]],Table1016[#All],3,FALSE)</f>
        <v>#N/A</v>
      </c>
    </row>
    <row r="17" spans="1:5" x14ac:dyDescent="0.35">
      <c r="A17" s="118">
        <v>10</v>
      </c>
      <c r="B17" s="114" t="s">
        <v>12</v>
      </c>
      <c r="C17" s="109" t="e">
        <f>VLOOKUP(Table257519913140106110151155170178204281[[#This Row],[PEG]],Table1016[#All],2,FALSE)</f>
        <v>#N/A</v>
      </c>
      <c r="D17" s="117"/>
      <c r="E17" s="125" t="e">
        <f>VLOOKUP(Table257519913140106110151155170178204281[[#This Row],[PEG]],Table1016[#All],3,FALSE)</f>
        <v>#N/A</v>
      </c>
    </row>
    <row r="18" spans="1:5" x14ac:dyDescent="0.35">
      <c r="A18" s="118">
        <v>11</v>
      </c>
      <c r="B18" s="114" t="s">
        <v>115</v>
      </c>
      <c r="C18" s="109" t="e">
        <f>VLOOKUP(Table257519913140106110151155170178204281[[#This Row],[PEG]],Table1016[#All],2,FALSE)</f>
        <v>#N/A</v>
      </c>
      <c r="D18" s="117"/>
      <c r="E18" s="125" t="e">
        <f>VLOOKUP(Table257519913140106110151155170178204281[[#This Row],[PEG]],Table1016[#All],3,FALSE)</f>
        <v>#N/A</v>
      </c>
    </row>
    <row r="19" spans="1:5" x14ac:dyDescent="0.35">
      <c r="A19" s="118">
        <v>12</v>
      </c>
      <c r="B19" s="114" t="s">
        <v>115</v>
      </c>
      <c r="C19" s="109" t="e">
        <f>VLOOKUP(Table257519913140106110151155170178204281[[#This Row],[PEG]],Table1016[#All],2,FALSE)</f>
        <v>#N/A</v>
      </c>
      <c r="D19" s="117"/>
      <c r="E19" s="125" t="e">
        <f>VLOOKUP(Table257519913140106110151155170178204281[[#This Row],[PEG]],Table1016[#All],3,FALSE)</f>
        <v>#N/A</v>
      </c>
    </row>
    <row r="20" spans="1:5" x14ac:dyDescent="0.35">
      <c r="A20" s="118">
        <v>13</v>
      </c>
      <c r="B20" s="114" t="s">
        <v>114</v>
      </c>
      <c r="C20" s="109" t="e">
        <f>VLOOKUP(Table257519913140106110151155170178204281[[#This Row],[PEG]],Table1016[#All],2,FALSE)</f>
        <v>#N/A</v>
      </c>
      <c r="D20" s="117"/>
      <c r="E20" s="125" t="e">
        <f>VLOOKUP(Table257519913140106110151155170178204281[[#This Row],[PEG]],Table1016[#All],3,FALSE)</f>
        <v>#N/A</v>
      </c>
    </row>
    <row r="21" spans="1:5" x14ac:dyDescent="0.35">
      <c r="A21" s="118">
        <v>14</v>
      </c>
      <c r="B21" s="114" t="s">
        <v>12</v>
      </c>
      <c r="C21" s="109" t="e">
        <f>VLOOKUP(Table257519913140106110151155170178204281[[#This Row],[PEG]],Table1016[#All],2,FALSE)</f>
        <v>#N/A</v>
      </c>
      <c r="D21" s="117"/>
      <c r="E21" s="125" t="e">
        <f>VLOOKUP(Table257519913140106110151155170178204281[[#This Row],[PEG]],Table1016[#All],3,FALSE)</f>
        <v>#N/A</v>
      </c>
    </row>
    <row r="22" spans="1:5" x14ac:dyDescent="0.35">
      <c r="A22" s="118">
        <v>15</v>
      </c>
      <c r="B22" s="114" t="s">
        <v>12</v>
      </c>
      <c r="C22" s="109" t="e">
        <f>VLOOKUP(Table257519913140106110151155170178204281[[#This Row],[PEG]],Table1016[#All],2,FALSE)</f>
        <v>#N/A</v>
      </c>
      <c r="D22" s="117"/>
      <c r="E22" s="125" t="e">
        <f>VLOOKUP(Table257519913140106110151155170178204281[[#This Row],[PEG]],Table1016[#All],3,FALSE)</f>
        <v>#N/A</v>
      </c>
    </row>
    <row r="23" spans="1:5" x14ac:dyDescent="0.35">
      <c r="A23" s="118">
        <v>16</v>
      </c>
      <c r="B23" s="114" t="s">
        <v>115</v>
      </c>
      <c r="C23" s="109" t="e">
        <f>VLOOKUP(Table257519913140106110151155170178204281[[#This Row],[PEG]],Table1016[#All],2,FALSE)</f>
        <v>#N/A</v>
      </c>
      <c r="D23" s="117"/>
      <c r="E23" s="125" t="e">
        <f>VLOOKUP(Table257519913140106110151155170178204281[[#This Row],[PEG]],Table1016[#All],3,FALSE)</f>
        <v>#N/A</v>
      </c>
    </row>
    <row r="24" spans="1:5" x14ac:dyDescent="0.35">
      <c r="A24" s="118">
        <v>17</v>
      </c>
      <c r="B24" s="114" t="s">
        <v>114</v>
      </c>
      <c r="C24" s="109" t="e">
        <f>VLOOKUP(Table257519913140106110151155170178204281[[#This Row],[PEG]],Table1016[#All],2,FALSE)</f>
        <v>#N/A</v>
      </c>
      <c r="D24" s="117"/>
      <c r="E24" s="125" t="e">
        <f>VLOOKUP(Table257519913140106110151155170178204281[[#This Row],[PEG]],Table1016[#All],3,FALSE)</f>
        <v>#N/A</v>
      </c>
    </row>
    <row r="25" spans="1:5" x14ac:dyDescent="0.35">
      <c r="A25" s="118">
        <v>18</v>
      </c>
      <c r="B25" s="114" t="s">
        <v>12</v>
      </c>
      <c r="C25" s="109" t="e">
        <f>VLOOKUP(Table257519913140106110151155170178204281[[#This Row],[PEG]],Table1016[#All],2,FALSE)</f>
        <v>#N/A</v>
      </c>
      <c r="D25" s="117"/>
      <c r="E25" s="125" t="e">
        <f>VLOOKUP(Table257519913140106110151155170178204281[[#This Row],[PEG]],Table1016[#All],3,FALSE)</f>
        <v>#N/A</v>
      </c>
    </row>
    <row r="26" spans="1:5" x14ac:dyDescent="0.35">
      <c r="A26" s="118">
        <v>19</v>
      </c>
      <c r="B26" s="114" t="s">
        <v>12</v>
      </c>
      <c r="C26" s="109" t="e">
        <f>VLOOKUP(Table257519913140106110151155170178204281[[#This Row],[PEG]],Table1016[#All],2,FALSE)</f>
        <v>#N/A</v>
      </c>
      <c r="D26" s="117"/>
      <c r="E26" s="125" t="e">
        <f>VLOOKUP(Table257519913140106110151155170178204281[[#This Row],[PEG]],Table1016[#All],3,FALSE)</f>
        <v>#N/A</v>
      </c>
    </row>
    <row r="27" spans="1:5" x14ac:dyDescent="0.35">
      <c r="A27" s="118">
        <v>20</v>
      </c>
      <c r="B27" s="114" t="s">
        <v>115</v>
      </c>
      <c r="C27" s="109" t="e">
        <f>VLOOKUP(Table257519913140106110151155170178204281[[#This Row],[PEG]],Table1016[#All],2,FALSE)</f>
        <v>#N/A</v>
      </c>
      <c r="D27" s="117"/>
      <c r="E27" s="125" t="e">
        <f>VLOOKUP(Table257519913140106110151155170178204281[[#This Row],[PEG]],Table1016[#All],3,FALSE)</f>
        <v>#N/A</v>
      </c>
    </row>
    <row r="28" spans="1:5" x14ac:dyDescent="0.35">
      <c r="A28" s="118">
        <v>21</v>
      </c>
      <c r="B28" s="114" t="s">
        <v>114</v>
      </c>
      <c r="C28" s="109" t="e">
        <f>VLOOKUP(Table257519913140106110151155170178204281[[#This Row],[PEG]],Table1016[#All],2,FALSE)</f>
        <v>#N/A</v>
      </c>
      <c r="D28" s="117"/>
      <c r="E28" s="125" t="e">
        <f>VLOOKUP(Table257519913140106110151155170178204281[[#This Row],[PEG]],Table1016[#All],3,FALSE)</f>
        <v>#N/A</v>
      </c>
    </row>
    <row r="29" spans="1:5" x14ac:dyDescent="0.35">
      <c r="A29" s="118">
        <v>22</v>
      </c>
      <c r="B29" s="114" t="s">
        <v>12</v>
      </c>
      <c r="C29" s="109" t="e">
        <f>VLOOKUP(Table257519913140106110151155170178204281[[#This Row],[PEG]],Table1016[#All],2,FALSE)</f>
        <v>#N/A</v>
      </c>
      <c r="D29" s="117"/>
      <c r="E29" s="125" t="e">
        <f>VLOOKUP(Table257519913140106110151155170178204281[[#This Row],[PEG]],Table1016[#All],3,FALSE)</f>
        <v>#N/A</v>
      </c>
    </row>
    <row r="30" spans="1:5" x14ac:dyDescent="0.35">
      <c r="A30" s="118">
        <v>23</v>
      </c>
      <c r="B30" s="114" t="s">
        <v>12</v>
      </c>
      <c r="C30" s="109" t="e">
        <f>VLOOKUP(Table257519913140106110151155170178204281[[#This Row],[PEG]],Table1016[#All],2,FALSE)</f>
        <v>#N/A</v>
      </c>
      <c r="D30" s="117"/>
      <c r="E30" s="125" t="e">
        <f>VLOOKUP(Table257519913140106110151155170178204281[[#This Row],[PEG]],Table1016[#All],3,FALSE)</f>
        <v>#N/A</v>
      </c>
    </row>
    <row r="31" spans="1:5" x14ac:dyDescent="0.35">
      <c r="A31" s="118">
        <v>24</v>
      </c>
      <c r="B31" s="114" t="s">
        <v>115</v>
      </c>
      <c r="C31" s="109" t="e">
        <f>VLOOKUP(Table257519913140106110151155170178204281[[#This Row],[PEG]],Table1016[#All],2,FALSE)</f>
        <v>#N/A</v>
      </c>
      <c r="D31" s="117"/>
      <c r="E31" s="125" t="e">
        <f>VLOOKUP(Table257519913140106110151155170178204281[[#This Row],[PEG]],Table1016[#All],3,FALSE)</f>
        <v>#N/A</v>
      </c>
    </row>
    <row r="32" spans="1:5" x14ac:dyDescent="0.35">
      <c r="A32" s="118">
        <v>25</v>
      </c>
      <c r="B32" s="114" t="s">
        <v>115</v>
      </c>
      <c r="C32" s="109" t="e">
        <f>VLOOKUP(Table257519913140106110151155170178204281[[#This Row],[PEG]],Table1016[#All],2,FALSE)</f>
        <v>#N/A</v>
      </c>
      <c r="D32" s="117"/>
      <c r="E32" s="125" t="e">
        <f>VLOOKUP(Table257519913140106110151155170178204281[[#This Row],[PEG]],Table1016[#All],3,FALSE)</f>
        <v>#N/A</v>
      </c>
    </row>
    <row r="33" spans="1:5" x14ac:dyDescent="0.35">
      <c r="A33" s="118">
        <v>26</v>
      </c>
      <c r="B33" s="114" t="s">
        <v>124</v>
      </c>
      <c r="C33" s="109" t="e">
        <f>VLOOKUP(Table257519913140106110151155170178204281[[#This Row],[PEG]],Table1016[#All],2,FALSE)</f>
        <v>#N/A</v>
      </c>
      <c r="D33" s="117"/>
      <c r="E33" s="125" t="e">
        <f>VLOOKUP(Table257519913140106110151155170178204281[[#This Row],[PEG]],Table1016[#All],3,FALSE)</f>
        <v>#N/A</v>
      </c>
    </row>
    <row r="34" spans="1:5" x14ac:dyDescent="0.35">
      <c r="A34" s="118">
        <v>27</v>
      </c>
      <c r="B34" s="114" t="s">
        <v>115</v>
      </c>
      <c r="C34" s="109" t="e">
        <f>VLOOKUP(Table257519913140106110151155170178204281[[#This Row],[PEG]],Table1016[#All],2,FALSE)</f>
        <v>#N/A</v>
      </c>
      <c r="D34" s="117"/>
      <c r="E34" s="125" t="e">
        <f>VLOOKUP(Table257519913140106110151155170178204281[[#This Row],[PEG]],Table1016[#All],3,FALSE)</f>
        <v>#N/A</v>
      </c>
    </row>
    <row r="35" spans="1:5" x14ac:dyDescent="0.35">
      <c r="A35" s="118">
        <v>28</v>
      </c>
      <c r="B35" s="114" t="s">
        <v>124</v>
      </c>
      <c r="C35" s="109" t="e">
        <f>VLOOKUP(Table257519913140106110151155170178204281[[#This Row],[PEG]],Table1016[#All],2,FALSE)</f>
        <v>#N/A</v>
      </c>
      <c r="D35" s="117"/>
      <c r="E35" s="125" t="e">
        <f>VLOOKUP(Table257519913140106110151155170178204281[[#This Row],[PEG]],Table1016[#All],3,FALSE)</f>
        <v>#N/A</v>
      </c>
    </row>
    <row r="36" spans="1:5" x14ac:dyDescent="0.35">
      <c r="A36" s="118">
        <v>29</v>
      </c>
      <c r="B36" s="114" t="s">
        <v>115</v>
      </c>
      <c r="C36" s="109" t="e">
        <f>VLOOKUP(Table257519913140106110151155170178204281[[#This Row],[PEG]],Table1016[#All],2,FALSE)</f>
        <v>#N/A</v>
      </c>
      <c r="D36" s="117"/>
      <c r="E36" s="125" t="e">
        <f>VLOOKUP(Table257519913140106110151155170178204281[[#This Row],[PEG]],Table1016[#All],3,FALSE)</f>
        <v>#N/A</v>
      </c>
    </row>
    <row r="37" spans="1:5" x14ac:dyDescent="0.35">
      <c r="A37" s="118">
        <v>30</v>
      </c>
      <c r="B37" s="114" t="s">
        <v>12</v>
      </c>
      <c r="C37" s="109" t="e">
        <f>VLOOKUP(Table257519913140106110151155170178204281[[#This Row],[PEG]],Table1016[#All],2,FALSE)</f>
        <v>#N/A</v>
      </c>
      <c r="D37" s="117"/>
      <c r="E37" s="125" t="e">
        <f>VLOOKUP(Table257519913140106110151155170178204281[[#This Row],[PEG]],Table1016[#All],3,FALSE)</f>
        <v>#N/A</v>
      </c>
    </row>
    <row r="38" spans="1:5" x14ac:dyDescent="0.35">
      <c r="A38" s="118">
        <v>31</v>
      </c>
      <c r="B38" s="114" t="s">
        <v>12</v>
      </c>
      <c r="C38" s="109" t="e">
        <f>VLOOKUP(Table257519913140106110151155170178204281[[#This Row],[PEG]],Table1016[#All],2,FALSE)</f>
        <v>#N/A</v>
      </c>
      <c r="D38" s="117"/>
      <c r="E38" s="125" t="e">
        <f>VLOOKUP(Table257519913140106110151155170178204281[[#This Row],[PEG]],Table1016[#All],3,FALSE)</f>
        <v>#N/A</v>
      </c>
    </row>
    <row r="39" spans="1:5" x14ac:dyDescent="0.35">
      <c r="A39" s="118">
        <v>32</v>
      </c>
      <c r="B39" s="114" t="s">
        <v>12</v>
      </c>
      <c r="C39" s="109" t="e">
        <f>VLOOKUP(Table257519913140106110151155170178204281[[#This Row],[PEG]],Table1016[#All],2,FALSE)</f>
        <v>#N/A</v>
      </c>
      <c r="D39" s="117"/>
      <c r="E39" s="125" t="e">
        <f>VLOOKUP(Table257519913140106110151155170178204281[[#This Row],[PEG]],Table1016[#All],3,FALSE)</f>
        <v>#N/A</v>
      </c>
    </row>
    <row r="40" spans="1:5" x14ac:dyDescent="0.35">
      <c r="A40" s="118">
        <v>33</v>
      </c>
      <c r="B40" s="114" t="s">
        <v>12</v>
      </c>
      <c r="C40" s="109" t="e">
        <f>VLOOKUP(Table257519913140106110151155170178204281[[#This Row],[PEG]],Table1016[#All],2,FALSE)</f>
        <v>#N/A</v>
      </c>
      <c r="D40" s="117"/>
      <c r="E40" s="125" t="e">
        <f>VLOOKUP(Table257519913140106110151155170178204281[[#This Row],[PEG]],Table1016[#All],3,FALSE)</f>
        <v>#N/A</v>
      </c>
    </row>
    <row r="41" spans="1:5" x14ac:dyDescent="0.35">
      <c r="A41" s="118">
        <v>34</v>
      </c>
      <c r="B41" s="114" t="s">
        <v>115</v>
      </c>
      <c r="C41" s="109" t="e">
        <f>VLOOKUP(Table257519913140106110151155170178204281[[#This Row],[PEG]],Table1016[#All],2,FALSE)</f>
        <v>#N/A</v>
      </c>
      <c r="D41" s="117"/>
      <c r="E41" s="125" t="e">
        <f>VLOOKUP(Table257519913140106110151155170178204281[[#This Row],[PEG]],Table1016[#All],3,FALSE)</f>
        <v>#N/A</v>
      </c>
    </row>
    <row r="42" spans="1:5" x14ac:dyDescent="0.35">
      <c r="A42" s="118">
        <v>35</v>
      </c>
      <c r="B42" s="114" t="s">
        <v>12</v>
      </c>
      <c r="C42" s="109" t="e">
        <f>VLOOKUP(Table257519913140106110151155170178204281[[#This Row],[PEG]],Table1016[#All],2,FALSE)</f>
        <v>#N/A</v>
      </c>
      <c r="D42" s="115"/>
      <c r="E42" s="125" t="e">
        <f>VLOOKUP(Table257519913140106110151155170178204281[[#This Row],[PEG]],Table1016[#All],3,FALSE)</f>
        <v>#N/A</v>
      </c>
    </row>
    <row r="43" spans="1:5" x14ac:dyDescent="0.35">
      <c r="A43" s="118">
        <v>36</v>
      </c>
      <c r="B43" s="114" t="s">
        <v>115</v>
      </c>
      <c r="C43" s="109" t="e">
        <f>VLOOKUP(Table257519913140106110151155170178204281[[#This Row],[PEG]],Table1016[#All],2,FALSE)</f>
        <v>#N/A</v>
      </c>
      <c r="D43" s="115"/>
      <c r="E43" s="125" t="e">
        <f>VLOOKUP(Table257519913140106110151155170178204281[[#This Row],[PEG]],Table1016[#All],3,FALSE)</f>
        <v>#N/A</v>
      </c>
    </row>
    <row r="44" spans="1:5" x14ac:dyDescent="0.35">
      <c r="A44" s="118">
        <v>37</v>
      </c>
      <c r="B44" s="114" t="s">
        <v>13</v>
      </c>
      <c r="C44" s="18" t="s">
        <v>13</v>
      </c>
      <c r="D44" s="115"/>
      <c r="E44" s="32"/>
    </row>
  </sheetData>
  <mergeCells count="1">
    <mergeCell ref="A1:B1"/>
  </mergeCells>
  <conditionalFormatting sqref="B8:B18">
    <cfRule type="containsText" dxfId="327" priority="1" operator="containsText" text="Hear">
      <formula>NOT(ISERROR(SEARCH("Hear",B8)))</formula>
    </cfRule>
  </conditionalFormatting>
  <conditionalFormatting sqref="B30">
    <cfRule type="containsText" dxfId="326" priority="4" operator="containsText" text="Hear">
      <formula>NOT(ISERROR(SEARCH("Hear",B30)))</formula>
    </cfRule>
  </conditionalFormatting>
  <conditionalFormatting sqref="B43:B44">
    <cfRule type="containsText" dxfId="325" priority="8" operator="containsText" text="Hear">
      <formula>NOT(ISERROR(SEARCH("Hear",B43)))</formula>
    </cfRule>
  </conditionalFormatting>
  <conditionalFormatting sqref="E44">
    <cfRule type="containsText" dxfId="324" priority="6" operator="containsText" text="WEB SERVICE">
      <formula>NOT(ISERROR(SEARCH("WEB SERVICE",E44)))</formula>
    </cfRule>
    <cfRule type="containsText" dxfId="323" priority="7" operator="containsText" text="DB">
      <formula>NOT(ISERROR(SEARCH("DB",E44)))</formula>
    </cfRule>
  </conditionalFormatting>
  <conditionalFormatting sqref="C44">
    <cfRule type="expression" dxfId="322" priority="9">
      <formula>$B44="Dial"</formula>
    </cfRule>
  </conditionalFormatting>
  <conditionalFormatting sqref="C44">
    <cfRule type="expression" dxfId="321" priority="3">
      <formula>$B44="Speak"</formula>
    </cfRule>
  </conditionalFormatting>
  <conditionalFormatting sqref="B19:B29 B31:B35 B42">
    <cfRule type="containsText" dxfId="320" priority="5" operator="containsText" text="Hear">
      <formula>NOT(ISERROR(SEARCH("Hear",B19)))</formula>
    </cfRule>
  </conditionalFormatting>
  <hyperlinks>
    <hyperlink ref="A1" location="'Test Case Overview'!A1" display="Return to Test Case Overview" xr:uid="{9ACC31F5-D22C-439A-B103-244F5B01C403}"/>
  </hyperlinks>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expression" priority="2" id="{0B2BBA32-7851-4AF7-B7FB-6CE7D26CCE43}">
            <xm:f>'TC1'!$B8="HANGUP"</xm:f>
            <x14:dxf>
              <font>
                <b/>
                <i val="0"/>
              </font>
            </x14:dxf>
          </x14:cfRule>
          <xm:sqref>C8</xm:sqref>
        </x14:conditionalFormatting>
        <x14:conditionalFormatting xmlns:xm="http://schemas.microsoft.com/office/excel/2006/main">
          <x14:cfRule type="expression" priority="3390" id="{0B2BBA32-7851-4AF7-B7FB-6CE7D26CCE43}">
            <xm:f>'TC1'!$B16="HANGUP"</xm:f>
            <x14:dxf>
              <font>
                <b/>
                <i val="0"/>
              </font>
            </x14:dxf>
          </x14:cfRule>
          <xm:sqref>C34:C43</xm:sqref>
        </x14:conditionalFormatting>
        <x14:conditionalFormatting xmlns:xm="http://schemas.microsoft.com/office/excel/2006/main">
          <x14:cfRule type="expression" priority="3391" id="{0B2BBA32-7851-4AF7-B7FB-6CE7D26CCE43}">
            <xm:f>'TC1'!#REF!="HANGUP"</xm:f>
            <x14:dxf>
              <font>
                <b/>
                <i val="0"/>
              </font>
            </x14:dxf>
          </x14:cfRule>
          <xm:sqref>C17:C33</xm:sqref>
        </x14:conditionalFormatting>
        <x14:conditionalFormatting xmlns:xm="http://schemas.microsoft.com/office/excel/2006/main">
          <x14:cfRule type="expression" priority="6004" id="{0B2BBA32-7851-4AF7-B7FB-6CE7D26CCE43}">
            <xm:f>'TC1'!$B9="HANGUP"</xm:f>
            <x14:dxf>
              <font>
                <b/>
                <i val="0"/>
              </font>
            </x14:dxf>
          </x14:cfRule>
          <xm:sqref>C12:C15</xm:sqref>
        </x14:conditionalFormatting>
        <x14:conditionalFormatting xmlns:xm="http://schemas.microsoft.com/office/excel/2006/main">
          <x14:cfRule type="expression" priority="6005" id="{0B2BBA32-7851-4AF7-B7FB-6CE7D26CCE43}">
            <xm:f>'TC1'!#REF!="HANGUP"</xm:f>
            <x14:dxf>
              <font>
                <b/>
                <i val="0"/>
              </font>
            </x14:dxf>
          </x14:cfRule>
          <xm:sqref>C9:C11</xm:sqref>
        </x14:conditionalFormatting>
        <x14:conditionalFormatting xmlns:xm="http://schemas.microsoft.com/office/excel/2006/main">
          <x14:cfRule type="expression" priority="8166" id="{0B2BBA32-7851-4AF7-B7FB-6CE7D26CCE43}">
            <xm:f>'TC1'!$B15="HANGUP"</xm:f>
            <x14:dxf>
              <font>
                <b/>
                <i val="0"/>
              </font>
            </x14:dxf>
          </x14:cfRule>
          <xm:sqref>C16</xm:sqref>
        </x14:conditionalFormatting>
      </x14:conditionalFormattings>
    </ext>
  </extLst>
</worksheet>
</file>

<file path=xl/worksheets/sheet1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BB00-000000000000}">
  <sheetPr codeName="Sheet189"/>
  <dimension ref="A1:E44"/>
  <sheetViews>
    <sheetView zoomScaleNormal="100" workbookViewId="0">
      <selection sqref="A1:E44"/>
    </sheetView>
  </sheetViews>
  <sheetFormatPr defaultRowHeight="14.5" x14ac:dyDescent="0.35"/>
  <cols>
    <col min="1" max="1" width="14.453125" bestFit="1" customWidth="1"/>
    <col min="2" max="2" width="42.6328125" customWidth="1"/>
    <col min="3" max="3" width="106.1796875" customWidth="1"/>
    <col min="4" max="4" width="21.81640625" bestFit="1" customWidth="1"/>
    <col min="5" max="5" width="20.6328125" customWidth="1"/>
  </cols>
  <sheetData>
    <row r="1" spans="1:5" ht="18.5" x14ac:dyDescent="0.35">
      <c r="A1" s="192" t="s">
        <v>4</v>
      </c>
      <c r="B1" s="192"/>
      <c r="C1" s="105"/>
      <c r="D1" s="111"/>
      <c r="E1" s="97"/>
    </row>
    <row r="2" spans="1:5" x14ac:dyDescent="0.35">
      <c r="A2" s="106" t="s">
        <v>5</v>
      </c>
      <c r="B2" s="107" t="str">
        <f ca="1">MID(CELL("filename",A1),FIND("]",CELL("filename",A1))+1,LEN(CELL("filename",A1))-FIND("]",CELL("filename",A1)))</f>
        <v>TC187</v>
      </c>
      <c r="C2" s="98"/>
      <c r="D2" s="111"/>
      <c r="E2" s="97"/>
    </row>
    <row r="3" spans="1:5" x14ac:dyDescent="0.35">
      <c r="A3" s="104" t="s">
        <v>19</v>
      </c>
      <c r="B3" s="112" t="e">
        <f ca="1">VLOOKUP(B2,Table53[#All],2,FALSE)</f>
        <v>#N/A</v>
      </c>
      <c r="C3" s="98"/>
      <c r="D3" s="111"/>
      <c r="E3" s="97"/>
    </row>
    <row r="4" spans="1:5" ht="29" x14ac:dyDescent="0.35">
      <c r="A4" s="113" t="s">
        <v>20</v>
      </c>
      <c r="B4" s="99" t="e">
        <f ca="1">VLOOKUP(B2,Table53[#All],4,FALSE)</f>
        <v>#N/A</v>
      </c>
      <c r="C4" s="98"/>
      <c r="D4" s="111"/>
      <c r="E4" s="97"/>
    </row>
    <row r="5" spans="1:5" x14ac:dyDescent="0.35">
      <c r="A5" s="104" t="s">
        <v>6</v>
      </c>
      <c r="B5" s="77" t="e">
        <f ca="1">VLOOKUP(B2,Table53[#All],3,FALSE)</f>
        <v>#N/A</v>
      </c>
      <c r="C5" s="98"/>
      <c r="D5" s="111"/>
      <c r="E5" s="97"/>
    </row>
    <row r="6" spans="1:5" x14ac:dyDescent="0.35">
      <c r="A6" s="97"/>
      <c r="B6" s="97"/>
      <c r="C6" s="98"/>
      <c r="D6" s="111"/>
      <c r="E6" s="97"/>
    </row>
    <row r="7" spans="1:5" ht="15.5" x14ac:dyDescent="0.35">
      <c r="A7" s="100" t="s">
        <v>7</v>
      </c>
      <c r="B7" s="101" t="s">
        <v>8</v>
      </c>
      <c r="C7" s="102" t="s">
        <v>9</v>
      </c>
      <c r="D7" s="102" t="s">
        <v>14</v>
      </c>
      <c r="E7" s="103" t="s">
        <v>10</v>
      </c>
    </row>
    <row r="8" spans="1:5" x14ac:dyDescent="0.35">
      <c r="A8" s="118">
        <v>1</v>
      </c>
      <c r="B8" s="114" t="s">
        <v>114</v>
      </c>
      <c r="C8" s="109" t="s">
        <v>125</v>
      </c>
      <c r="D8" s="128"/>
      <c r="E8" s="125" t="s">
        <v>11</v>
      </c>
    </row>
    <row r="9" spans="1:5" x14ac:dyDescent="0.35">
      <c r="A9" s="118">
        <v>2</v>
      </c>
      <c r="B9" s="114" t="s">
        <v>12</v>
      </c>
      <c r="C9" s="109" t="e">
        <f>VLOOKUP(Table257519913140106110151155170178204283[[#This Row],[PEG]],Table1016[#All],2,FALSE)</f>
        <v>#N/A</v>
      </c>
      <c r="D9" s="128"/>
      <c r="E9" s="125" t="e">
        <f>VLOOKUP(Table257519913140106110151155170178204283[[#This Row],[PEG]],Table1016[#All],3,FALSE)</f>
        <v>#N/A</v>
      </c>
    </row>
    <row r="10" spans="1:5" x14ac:dyDescent="0.35">
      <c r="A10" s="118">
        <v>3</v>
      </c>
      <c r="B10" s="114" t="s">
        <v>115</v>
      </c>
      <c r="C10" s="109" t="e">
        <f>VLOOKUP(Table257519913140106110151155170178204283[[#This Row],[PEG]],Table1016[#All],2,FALSE)</f>
        <v>#N/A</v>
      </c>
      <c r="D10" s="128"/>
      <c r="E10" s="125" t="e">
        <f>VLOOKUP(Table257519913140106110151155170178204283[[#This Row],[PEG]],Table1016[#All],3,FALSE)</f>
        <v>#N/A</v>
      </c>
    </row>
    <row r="11" spans="1:5" x14ac:dyDescent="0.35">
      <c r="A11" s="118">
        <v>4</v>
      </c>
      <c r="B11" s="114" t="s">
        <v>115</v>
      </c>
      <c r="C11" s="109" t="e">
        <f>VLOOKUP(Table257519913140106110151155170178204283[[#This Row],[PEG]],Table1016[#All],2,FALSE)</f>
        <v>#N/A</v>
      </c>
      <c r="D11" s="128"/>
      <c r="E11" s="125" t="e">
        <f>VLOOKUP(Table257519913140106110151155170178204283[[#This Row],[PEG]],Table1016[#All],3,FALSE)</f>
        <v>#N/A</v>
      </c>
    </row>
    <row r="12" spans="1:5" x14ac:dyDescent="0.35">
      <c r="A12" s="118">
        <v>5</v>
      </c>
      <c r="B12" s="114" t="s">
        <v>114</v>
      </c>
      <c r="C12" s="109" t="e">
        <f>VLOOKUP(Table257519913140106110151155170178204283[[#This Row],[PEG]],Table1016[#All],2,FALSE)</f>
        <v>#N/A</v>
      </c>
      <c r="D12" s="128"/>
      <c r="E12" s="125" t="e">
        <f>VLOOKUP(Table257519913140106110151155170178204283[[#This Row],[PEG]],Table1016[#All],3,FALSE)</f>
        <v>#N/A</v>
      </c>
    </row>
    <row r="13" spans="1:5" x14ac:dyDescent="0.35">
      <c r="A13" s="118">
        <v>6</v>
      </c>
      <c r="B13" s="114" t="s">
        <v>115</v>
      </c>
      <c r="C13" s="109" t="e">
        <f>VLOOKUP(Table257519913140106110151155170178204283[[#This Row],[PEG]],Table1016[#All],2,FALSE)</f>
        <v>#N/A</v>
      </c>
      <c r="D13" s="128"/>
      <c r="E13" s="125" t="e">
        <f>VLOOKUP(Table257519913140106110151155170178204283[[#This Row],[PEG]],Table1016[#All],3,FALSE)</f>
        <v>#N/A</v>
      </c>
    </row>
    <row r="14" spans="1:5" x14ac:dyDescent="0.35">
      <c r="A14" s="118">
        <v>7</v>
      </c>
      <c r="B14" s="114" t="s">
        <v>114</v>
      </c>
      <c r="C14" s="109" t="e">
        <f>VLOOKUP(Table257519913140106110151155170178204283[[#This Row],[PEG]],Table1016[#All],2,FALSE)</f>
        <v>#N/A</v>
      </c>
      <c r="D14" s="128"/>
      <c r="E14" s="125" t="e">
        <f>VLOOKUP(Table257519913140106110151155170178204283[[#This Row],[PEG]],Table1016[#All],3,FALSE)</f>
        <v>#N/A</v>
      </c>
    </row>
    <row r="15" spans="1:5" x14ac:dyDescent="0.35">
      <c r="A15" s="118">
        <v>8</v>
      </c>
      <c r="B15" s="114" t="s">
        <v>115</v>
      </c>
      <c r="C15" s="109" t="e">
        <f>VLOOKUP(Table257519913140106110151155170178204283[[#This Row],[PEG]],Table1016[#All],2,FALSE)</f>
        <v>#N/A</v>
      </c>
      <c r="D15" s="116"/>
      <c r="E15" s="125" t="e">
        <f>VLOOKUP(Table257519913140106110151155170178204283[[#This Row],[PEG]],Table1016[#All],3,FALSE)</f>
        <v>#N/A</v>
      </c>
    </row>
    <row r="16" spans="1:5" x14ac:dyDescent="0.35">
      <c r="A16" s="118">
        <v>9</v>
      </c>
      <c r="B16" s="114" t="s">
        <v>12</v>
      </c>
      <c r="C16" s="109" t="e">
        <f>VLOOKUP(Table257519913140106110151155170178204283[[#This Row],[PEG]],Table1016[#All],2,FALSE)</f>
        <v>#N/A</v>
      </c>
      <c r="D16" s="116"/>
      <c r="E16" s="125" t="e">
        <f>VLOOKUP(Table257519913140106110151155170178204283[[#This Row],[PEG]],Table1016[#All],3,FALSE)</f>
        <v>#N/A</v>
      </c>
    </row>
    <row r="17" spans="1:5" x14ac:dyDescent="0.35">
      <c r="A17" s="118">
        <v>10</v>
      </c>
      <c r="B17" s="114" t="s">
        <v>12</v>
      </c>
      <c r="C17" s="109" t="e">
        <f>VLOOKUP(Table257519913140106110151155170178204283[[#This Row],[PEG]],Table1016[#All],2,FALSE)</f>
        <v>#N/A</v>
      </c>
      <c r="D17" s="117"/>
      <c r="E17" s="125" t="e">
        <f>VLOOKUP(Table257519913140106110151155170178204283[[#This Row],[PEG]],Table1016[#All],3,FALSE)</f>
        <v>#N/A</v>
      </c>
    </row>
    <row r="18" spans="1:5" x14ac:dyDescent="0.35">
      <c r="A18" s="118">
        <v>11</v>
      </c>
      <c r="B18" s="114" t="s">
        <v>115</v>
      </c>
      <c r="C18" s="109" t="e">
        <f>VLOOKUP(Table257519913140106110151155170178204283[[#This Row],[PEG]],Table1016[#All],2,FALSE)</f>
        <v>#N/A</v>
      </c>
      <c r="D18" s="117"/>
      <c r="E18" s="125" t="e">
        <f>VLOOKUP(Table257519913140106110151155170178204283[[#This Row],[PEG]],Table1016[#All],3,FALSE)</f>
        <v>#N/A</v>
      </c>
    </row>
    <row r="19" spans="1:5" x14ac:dyDescent="0.35">
      <c r="A19" s="118">
        <v>12</v>
      </c>
      <c r="B19" s="114" t="s">
        <v>115</v>
      </c>
      <c r="C19" s="109" t="e">
        <f>VLOOKUP(Table257519913140106110151155170178204283[[#This Row],[PEG]],Table1016[#All],2,FALSE)</f>
        <v>#N/A</v>
      </c>
      <c r="D19" s="117"/>
      <c r="E19" s="125" t="e">
        <f>VLOOKUP(Table257519913140106110151155170178204283[[#This Row],[PEG]],Table1016[#All],3,FALSE)</f>
        <v>#N/A</v>
      </c>
    </row>
    <row r="20" spans="1:5" x14ac:dyDescent="0.35">
      <c r="A20" s="118">
        <v>13</v>
      </c>
      <c r="B20" s="114" t="s">
        <v>114</v>
      </c>
      <c r="C20" s="109" t="e">
        <f>VLOOKUP(Table257519913140106110151155170178204283[[#This Row],[PEG]],Table1016[#All],2,FALSE)</f>
        <v>#N/A</v>
      </c>
      <c r="D20" s="117"/>
      <c r="E20" s="125" t="e">
        <f>VLOOKUP(Table257519913140106110151155170178204283[[#This Row],[PEG]],Table1016[#All],3,FALSE)</f>
        <v>#N/A</v>
      </c>
    </row>
    <row r="21" spans="1:5" x14ac:dyDescent="0.35">
      <c r="A21" s="118">
        <v>14</v>
      </c>
      <c r="B21" s="114" t="s">
        <v>12</v>
      </c>
      <c r="C21" s="109" t="e">
        <f>VLOOKUP(Table257519913140106110151155170178204283[[#This Row],[PEG]],Table1016[#All],2,FALSE)</f>
        <v>#N/A</v>
      </c>
      <c r="D21" s="117"/>
      <c r="E21" s="125" t="e">
        <f>VLOOKUP(Table257519913140106110151155170178204283[[#This Row],[PEG]],Table1016[#All],3,FALSE)</f>
        <v>#N/A</v>
      </c>
    </row>
    <row r="22" spans="1:5" x14ac:dyDescent="0.35">
      <c r="A22" s="118">
        <v>15</v>
      </c>
      <c r="B22" s="114" t="s">
        <v>12</v>
      </c>
      <c r="C22" s="109" t="e">
        <f>VLOOKUP(Table257519913140106110151155170178204283[[#This Row],[PEG]],Table1016[#All],2,FALSE)</f>
        <v>#N/A</v>
      </c>
      <c r="D22" s="117"/>
      <c r="E22" s="125" t="e">
        <f>VLOOKUP(Table257519913140106110151155170178204283[[#This Row],[PEG]],Table1016[#All],3,FALSE)</f>
        <v>#N/A</v>
      </c>
    </row>
    <row r="23" spans="1:5" x14ac:dyDescent="0.35">
      <c r="A23" s="118">
        <v>16</v>
      </c>
      <c r="B23" s="114" t="s">
        <v>115</v>
      </c>
      <c r="C23" s="109" t="e">
        <f>VLOOKUP(Table257519913140106110151155170178204283[[#This Row],[PEG]],Table1016[#All],2,FALSE)</f>
        <v>#N/A</v>
      </c>
      <c r="D23" s="117"/>
      <c r="E23" s="125" t="e">
        <f>VLOOKUP(Table257519913140106110151155170178204283[[#This Row],[PEG]],Table1016[#All],3,FALSE)</f>
        <v>#N/A</v>
      </c>
    </row>
    <row r="24" spans="1:5" x14ac:dyDescent="0.35">
      <c r="A24" s="118">
        <v>17</v>
      </c>
      <c r="B24" s="114" t="s">
        <v>114</v>
      </c>
      <c r="C24" s="109" t="e">
        <f>VLOOKUP(Table257519913140106110151155170178204283[[#This Row],[PEG]],Table1016[#All],2,FALSE)</f>
        <v>#N/A</v>
      </c>
      <c r="D24" s="117"/>
      <c r="E24" s="125" t="e">
        <f>VLOOKUP(Table257519913140106110151155170178204283[[#This Row],[PEG]],Table1016[#All],3,FALSE)</f>
        <v>#N/A</v>
      </c>
    </row>
    <row r="25" spans="1:5" x14ac:dyDescent="0.35">
      <c r="A25" s="118">
        <v>18</v>
      </c>
      <c r="B25" s="114" t="s">
        <v>12</v>
      </c>
      <c r="C25" s="109" t="e">
        <f>VLOOKUP(Table257519913140106110151155170178204283[[#This Row],[PEG]],Table1016[#All],2,FALSE)</f>
        <v>#N/A</v>
      </c>
      <c r="D25" s="117"/>
      <c r="E25" s="125" t="e">
        <f>VLOOKUP(Table257519913140106110151155170178204283[[#This Row],[PEG]],Table1016[#All],3,FALSE)</f>
        <v>#N/A</v>
      </c>
    </row>
    <row r="26" spans="1:5" x14ac:dyDescent="0.35">
      <c r="A26" s="118">
        <v>19</v>
      </c>
      <c r="B26" s="114" t="s">
        <v>12</v>
      </c>
      <c r="C26" s="109" t="e">
        <f>VLOOKUP(Table257519913140106110151155170178204283[[#This Row],[PEG]],Table1016[#All],2,FALSE)</f>
        <v>#N/A</v>
      </c>
      <c r="D26" s="117"/>
      <c r="E26" s="125" t="e">
        <f>VLOOKUP(Table257519913140106110151155170178204283[[#This Row],[PEG]],Table1016[#All],3,FALSE)</f>
        <v>#N/A</v>
      </c>
    </row>
    <row r="27" spans="1:5" x14ac:dyDescent="0.35">
      <c r="A27" s="118">
        <v>20</v>
      </c>
      <c r="B27" s="114" t="s">
        <v>115</v>
      </c>
      <c r="C27" s="109" t="e">
        <f>VLOOKUP(Table257519913140106110151155170178204283[[#This Row],[PEG]],Table1016[#All],2,FALSE)</f>
        <v>#N/A</v>
      </c>
      <c r="D27" s="117"/>
      <c r="E27" s="125" t="e">
        <f>VLOOKUP(Table257519913140106110151155170178204283[[#This Row],[PEG]],Table1016[#All],3,FALSE)</f>
        <v>#N/A</v>
      </c>
    </row>
    <row r="28" spans="1:5" x14ac:dyDescent="0.35">
      <c r="A28" s="118">
        <v>21</v>
      </c>
      <c r="B28" s="114" t="s">
        <v>114</v>
      </c>
      <c r="C28" s="109" t="e">
        <f>VLOOKUP(Table257519913140106110151155170178204283[[#This Row],[PEG]],Table1016[#All],2,FALSE)</f>
        <v>#N/A</v>
      </c>
      <c r="D28" s="117"/>
      <c r="E28" s="125" t="e">
        <f>VLOOKUP(Table257519913140106110151155170178204283[[#This Row],[PEG]],Table1016[#All],3,FALSE)</f>
        <v>#N/A</v>
      </c>
    </row>
    <row r="29" spans="1:5" x14ac:dyDescent="0.35">
      <c r="A29" s="118">
        <v>22</v>
      </c>
      <c r="B29" s="114" t="s">
        <v>12</v>
      </c>
      <c r="C29" s="109" t="e">
        <f>VLOOKUP(Table257519913140106110151155170178204283[[#This Row],[PEG]],Table1016[#All],2,FALSE)</f>
        <v>#N/A</v>
      </c>
      <c r="D29" s="117"/>
      <c r="E29" s="125" t="e">
        <f>VLOOKUP(Table257519913140106110151155170178204283[[#This Row],[PEG]],Table1016[#All],3,FALSE)</f>
        <v>#N/A</v>
      </c>
    </row>
    <row r="30" spans="1:5" x14ac:dyDescent="0.35">
      <c r="A30" s="118">
        <v>23</v>
      </c>
      <c r="B30" s="114" t="s">
        <v>12</v>
      </c>
      <c r="C30" s="109" t="e">
        <f>VLOOKUP(Table257519913140106110151155170178204283[[#This Row],[PEG]],Table1016[#All],2,FALSE)</f>
        <v>#N/A</v>
      </c>
      <c r="D30" s="117"/>
      <c r="E30" s="125" t="e">
        <f>VLOOKUP(Table257519913140106110151155170178204283[[#This Row],[PEG]],Table1016[#All],3,FALSE)</f>
        <v>#N/A</v>
      </c>
    </row>
    <row r="31" spans="1:5" x14ac:dyDescent="0.35">
      <c r="A31" s="118">
        <v>24</v>
      </c>
      <c r="B31" s="114" t="s">
        <v>115</v>
      </c>
      <c r="C31" s="109" t="e">
        <f>VLOOKUP(Table257519913140106110151155170178204283[[#This Row],[PEG]],Table1016[#All],2,FALSE)</f>
        <v>#N/A</v>
      </c>
      <c r="D31" s="117"/>
      <c r="E31" s="125" t="e">
        <f>VLOOKUP(Table257519913140106110151155170178204283[[#This Row],[PEG]],Table1016[#All],3,FALSE)</f>
        <v>#N/A</v>
      </c>
    </row>
    <row r="32" spans="1:5" x14ac:dyDescent="0.35">
      <c r="A32" s="118">
        <v>25</v>
      </c>
      <c r="B32" s="114" t="s">
        <v>115</v>
      </c>
      <c r="C32" s="109" t="e">
        <f>VLOOKUP(Table257519913140106110151155170178204283[[#This Row],[PEG]],Table1016[#All],2,FALSE)</f>
        <v>#N/A</v>
      </c>
      <c r="D32" s="117"/>
      <c r="E32" s="125" t="e">
        <f>VLOOKUP(Table257519913140106110151155170178204283[[#This Row],[PEG]],Table1016[#All],3,FALSE)</f>
        <v>#N/A</v>
      </c>
    </row>
    <row r="33" spans="1:5" x14ac:dyDescent="0.35">
      <c r="A33" s="118">
        <v>26</v>
      </c>
      <c r="B33" s="114" t="s">
        <v>124</v>
      </c>
      <c r="C33" s="109" t="e">
        <f>VLOOKUP(Table257519913140106110151155170178204283[[#This Row],[PEG]],Table1016[#All],2,FALSE)</f>
        <v>#N/A</v>
      </c>
      <c r="D33" s="117"/>
      <c r="E33" s="125" t="e">
        <f>VLOOKUP(Table257519913140106110151155170178204283[[#This Row],[PEG]],Table1016[#All],3,FALSE)</f>
        <v>#N/A</v>
      </c>
    </row>
    <row r="34" spans="1:5" x14ac:dyDescent="0.35">
      <c r="A34" s="118">
        <v>27</v>
      </c>
      <c r="B34" s="114" t="s">
        <v>115</v>
      </c>
      <c r="C34" s="109" t="e">
        <f>VLOOKUP(Table257519913140106110151155170178204283[[#This Row],[PEG]],Table1016[#All],2,FALSE)</f>
        <v>#N/A</v>
      </c>
      <c r="D34" s="117"/>
      <c r="E34" s="125" t="e">
        <f>VLOOKUP(Table257519913140106110151155170178204283[[#This Row],[PEG]],Table1016[#All],3,FALSE)</f>
        <v>#N/A</v>
      </c>
    </row>
    <row r="35" spans="1:5" x14ac:dyDescent="0.35">
      <c r="A35" s="118">
        <v>28</v>
      </c>
      <c r="B35" s="114" t="s">
        <v>124</v>
      </c>
      <c r="C35" s="109" t="e">
        <f>VLOOKUP(Table257519913140106110151155170178204283[[#This Row],[PEG]],Table1016[#All],2,FALSE)</f>
        <v>#N/A</v>
      </c>
      <c r="D35" s="117"/>
      <c r="E35" s="125" t="e">
        <f>VLOOKUP(Table257519913140106110151155170178204283[[#This Row],[PEG]],Table1016[#All],3,FALSE)</f>
        <v>#N/A</v>
      </c>
    </row>
    <row r="36" spans="1:5" x14ac:dyDescent="0.35">
      <c r="A36" s="118">
        <v>29</v>
      </c>
      <c r="B36" s="114" t="s">
        <v>115</v>
      </c>
      <c r="C36" s="109" t="e">
        <f>VLOOKUP(Table257519913140106110151155170178204283[[#This Row],[PEG]],Table1016[#All],2,FALSE)</f>
        <v>#N/A</v>
      </c>
      <c r="D36" s="117"/>
      <c r="E36" s="125" t="e">
        <f>VLOOKUP(Table257519913140106110151155170178204283[[#This Row],[PEG]],Table1016[#All],3,FALSE)</f>
        <v>#N/A</v>
      </c>
    </row>
    <row r="37" spans="1:5" x14ac:dyDescent="0.35">
      <c r="A37" s="118">
        <v>30</v>
      </c>
      <c r="B37" s="114" t="s">
        <v>12</v>
      </c>
      <c r="C37" s="109" t="e">
        <f>VLOOKUP(Table257519913140106110151155170178204283[[#This Row],[PEG]],Table1016[#All],2,FALSE)</f>
        <v>#N/A</v>
      </c>
      <c r="D37" s="117"/>
      <c r="E37" s="125" t="e">
        <f>VLOOKUP(Table257519913140106110151155170178204283[[#This Row],[PEG]],Table1016[#All],3,FALSE)</f>
        <v>#N/A</v>
      </c>
    </row>
    <row r="38" spans="1:5" x14ac:dyDescent="0.35">
      <c r="A38" s="118">
        <v>31</v>
      </c>
      <c r="B38" s="114" t="s">
        <v>12</v>
      </c>
      <c r="C38" s="109" t="e">
        <f>VLOOKUP(Table257519913140106110151155170178204283[[#This Row],[PEG]],Table1016[#All],2,FALSE)</f>
        <v>#N/A</v>
      </c>
      <c r="D38" s="117"/>
      <c r="E38" s="125" t="e">
        <f>VLOOKUP(Table257519913140106110151155170178204283[[#This Row],[PEG]],Table1016[#All],3,FALSE)</f>
        <v>#N/A</v>
      </c>
    </row>
    <row r="39" spans="1:5" x14ac:dyDescent="0.35">
      <c r="A39" s="118">
        <v>32</v>
      </c>
      <c r="B39" s="114" t="s">
        <v>12</v>
      </c>
      <c r="C39" s="109" t="e">
        <f>VLOOKUP(Table257519913140106110151155170178204283[[#This Row],[PEG]],Table1016[#All],2,FALSE)</f>
        <v>#N/A</v>
      </c>
      <c r="D39" s="117"/>
      <c r="E39" s="125" t="e">
        <f>VLOOKUP(Table257519913140106110151155170178204283[[#This Row],[PEG]],Table1016[#All],3,FALSE)</f>
        <v>#N/A</v>
      </c>
    </row>
    <row r="40" spans="1:5" x14ac:dyDescent="0.35">
      <c r="A40" s="118">
        <v>33</v>
      </c>
      <c r="B40" s="114" t="s">
        <v>12</v>
      </c>
      <c r="C40" s="109" t="e">
        <f>VLOOKUP(Table257519913140106110151155170178204283[[#This Row],[PEG]],Table1016[#All],2,FALSE)</f>
        <v>#N/A</v>
      </c>
      <c r="D40" s="117"/>
      <c r="E40" s="125" t="e">
        <f>VLOOKUP(Table257519913140106110151155170178204283[[#This Row],[PEG]],Table1016[#All],3,FALSE)</f>
        <v>#N/A</v>
      </c>
    </row>
    <row r="41" spans="1:5" x14ac:dyDescent="0.35">
      <c r="A41" s="118">
        <v>34</v>
      </c>
      <c r="B41" s="114" t="s">
        <v>115</v>
      </c>
      <c r="C41" s="109" t="e">
        <f>VLOOKUP(Table257519913140106110151155170178204283[[#This Row],[PEG]],Table1016[#All],2,FALSE)</f>
        <v>#N/A</v>
      </c>
      <c r="D41" s="117"/>
      <c r="E41" s="125" t="e">
        <f>VLOOKUP(Table257519913140106110151155170178204283[[#This Row],[PEG]],Table1016[#All],3,FALSE)</f>
        <v>#N/A</v>
      </c>
    </row>
    <row r="42" spans="1:5" x14ac:dyDescent="0.35">
      <c r="A42" s="118">
        <v>35</v>
      </c>
      <c r="B42" s="114" t="s">
        <v>12</v>
      </c>
      <c r="C42" s="109" t="e">
        <f>VLOOKUP(Table257519913140106110151155170178204283[[#This Row],[PEG]],Table1016[#All],2,FALSE)</f>
        <v>#N/A</v>
      </c>
      <c r="D42" s="115"/>
      <c r="E42" s="125" t="e">
        <f>VLOOKUP(Table257519913140106110151155170178204283[[#This Row],[PEG]],Table1016[#All],3,FALSE)</f>
        <v>#N/A</v>
      </c>
    </row>
    <row r="43" spans="1:5" x14ac:dyDescent="0.35">
      <c r="A43" s="118">
        <v>36</v>
      </c>
      <c r="B43" s="114" t="s">
        <v>115</v>
      </c>
      <c r="C43" s="109" t="e">
        <f>VLOOKUP(Table257519913140106110151155170178204283[[#This Row],[PEG]],Table1016[#All],2,FALSE)</f>
        <v>#N/A</v>
      </c>
      <c r="D43" s="115"/>
      <c r="E43" s="125" t="e">
        <f>VLOOKUP(Table257519913140106110151155170178204283[[#This Row],[PEG]],Table1016[#All],3,FALSE)</f>
        <v>#N/A</v>
      </c>
    </row>
    <row r="44" spans="1:5" x14ac:dyDescent="0.35">
      <c r="A44" s="118">
        <v>37</v>
      </c>
      <c r="B44" s="114" t="s">
        <v>13</v>
      </c>
      <c r="C44" s="18" t="s">
        <v>13</v>
      </c>
      <c r="D44" s="115"/>
      <c r="E44" s="32"/>
    </row>
  </sheetData>
  <mergeCells count="1">
    <mergeCell ref="A1:B1"/>
  </mergeCells>
  <conditionalFormatting sqref="B8:B18">
    <cfRule type="containsText" dxfId="313" priority="1" operator="containsText" text="Hear">
      <formula>NOT(ISERROR(SEARCH("Hear",B8)))</formula>
    </cfRule>
  </conditionalFormatting>
  <conditionalFormatting sqref="B30">
    <cfRule type="containsText" dxfId="312" priority="4" operator="containsText" text="Hear">
      <formula>NOT(ISERROR(SEARCH("Hear",B30)))</formula>
    </cfRule>
  </conditionalFormatting>
  <conditionalFormatting sqref="B43:B44">
    <cfRule type="containsText" dxfId="311" priority="8" operator="containsText" text="Hear">
      <formula>NOT(ISERROR(SEARCH("Hear",B43)))</formula>
    </cfRule>
  </conditionalFormatting>
  <conditionalFormatting sqref="E44">
    <cfRule type="containsText" dxfId="310" priority="6" operator="containsText" text="WEB SERVICE">
      <formula>NOT(ISERROR(SEARCH("WEB SERVICE",E44)))</formula>
    </cfRule>
    <cfRule type="containsText" dxfId="309" priority="7" operator="containsText" text="DB">
      <formula>NOT(ISERROR(SEARCH("DB",E44)))</formula>
    </cfRule>
  </conditionalFormatting>
  <conditionalFormatting sqref="C44">
    <cfRule type="expression" dxfId="308" priority="9">
      <formula>$B44="Dial"</formula>
    </cfRule>
  </conditionalFormatting>
  <conditionalFormatting sqref="C44">
    <cfRule type="expression" dxfId="307" priority="3">
      <formula>$B44="Speak"</formula>
    </cfRule>
  </conditionalFormatting>
  <conditionalFormatting sqref="B19:B29 B31:B35 B42">
    <cfRule type="containsText" dxfId="306" priority="5" operator="containsText" text="Hear">
      <formula>NOT(ISERROR(SEARCH("Hear",B19)))</formula>
    </cfRule>
  </conditionalFormatting>
  <hyperlinks>
    <hyperlink ref="A1" location="'Test Case Overview'!A1" display="Return to Test Case Overview" xr:uid="{169E1F3B-5B8F-43DD-80DC-283C11E40197}"/>
  </hyperlinks>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expression" priority="2" id="{ADEF6078-770F-4F08-8E4D-BC0106ABB48F}">
            <xm:f>'TC1'!$B8="HANGUP"</xm:f>
            <x14:dxf>
              <font>
                <b/>
                <i val="0"/>
              </font>
            </x14:dxf>
          </x14:cfRule>
          <xm:sqref>C8</xm:sqref>
        </x14:conditionalFormatting>
        <x14:conditionalFormatting xmlns:xm="http://schemas.microsoft.com/office/excel/2006/main">
          <x14:cfRule type="expression" priority="3394" id="{ADEF6078-770F-4F08-8E4D-BC0106ABB48F}">
            <xm:f>'TC1'!$B16="HANGUP"</xm:f>
            <x14:dxf>
              <font>
                <b/>
                <i val="0"/>
              </font>
            </x14:dxf>
          </x14:cfRule>
          <xm:sqref>C34:C43</xm:sqref>
        </x14:conditionalFormatting>
        <x14:conditionalFormatting xmlns:xm="http://schemas.microsoft.com/office/excel/2006/main">
          <x14:cfRule type="expression" priority="3395" id="{ADEF6078-770F-4F08-8E4D-BC0106ABB48F}">
            <xm:f>'TC1'!#REF!="HANGUP"</xm:f>
            <x14:dxf>
              <font>
                <b/>
                <i val="0"/>
              </font>
            </x14:dxf>
          </x14:cfRule>
          <xm:sqref>C17:C33</xm:sqref>
        </x14:conditionalFormatting>
        <x14:conditionalFormatting xmlns:xm="http://schemas.microsoft.com/office/excel/2006/main">
          <x14:cfRule type="expression" priority="6008" id="{ADEF6078-770F-4F08-8E4D-BC0106ABB48F}">
            <xm:f>'TC1'!$B9="HANGUP"</xm:f>
            <x14:dxf>
              <font>
                <b/>
                <i val="0"/>
              </font>
            </x14:dxf>
          </x14:cfRule>
          <xm:sqref>C12:C15</xm:sqref>
        </x14:conditionalFormatting>
        <x14:conditionalFormatting xmlns:xm="http://schemas.microsoft.com/office/excel/2006/main">
          <x14:cfRule type="expression" priority="6009" id="{ADEF6078-770F-4F08-8E4D-BC0106ABB48F}">
            <xm:f>'TC1'!#REF!="HANGUP"</xm:f>
            <x14:dxf>
              <font>
                <b/>
                <i val="0"/>
              </font>
            </x14:dxf>
          </x14:cfRule>
          <xm:sqref>C9:C11</xm:sqref>
        </x14:conditionalFormatting>
        <x14:conditionalFormatting xmlns:xm="http://schemas.microsoft.com/office/excel/2006/main">
          <x14:cfRule type="expression" priority="8169" id="{ADEF6078-770F-4F08-8E4D-BC0106ABB48F}">
            <xm:f>'TC1'!$B15="HANGUP"</xm:f>
            <x14:dxf>
              <font>
                <b/>
                <i val="0"/>
              </font>
            </x14:dxf>
          </x14:cfRule>
          <xm:sqref>C16</xm:sqref>
        </x14:conditionalFormatting>
      </x14:conditionalFormattings>
    </ext>
  </extLst>
</worksheet>
</file>

<file path=xl/worksheets/sheet1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BC00-000000000000}">
  <sheetPr codeName="Sheet190"/>
  <dimension ref="A1:E44"/>
  <sheetViews>
    <sheetView zoomScaleNormal="100" workbookViewId="0">
      <selection sqref="A1:E44"/>
    </sheetView>
  </sheetViews>
  <sheetFormatPr defaultRowHeight="14.5" x14ac:dyDescent="0.35"/>
  <cols>
    <col min="1" max="1" width="14.453125" bestFit="1" customWidth="1"/>
    <col min="2" max="2" width="42.6328125" customWidth="1"/>
    <col min="3" max="3" width="106.1796875" customWidth="1"/>
    <col min="4" max="4" width="21.81640625" bestFit="1" customWidth="1"/>
    <col min="5" max="5" width="20.6328125" customWidth="1"/>
  </cols>
  <sheetData>
    <row r="1" spans="1:5" ht="18.5" x14ac:dyDescent="0.35">
      <c r="A1" s="192" t="s">
        <v>4</v>
      </c>
      <c r="B1" s="192"/>
      <c r="C1" s="105"/>
      <c r="D1" s="111"/>
      <c r="E1" s="97"/>
    </row>
    <row r="2" spans="1:5" x14ac:dyDescent="0.35">
      <c r="A2" s="106" t="s">
        <v>5</v>
      </c>
      <c r="B2" s="107" t="str">
        <f ca="1">MID(CELL("filename",A1),FIND("]",CELL("filename",A1))+1,LEN(CELL("filename",A1))-FIND("]",CELL("filename",A1)))</f>
        <v>TC188</v>
      </c>
      <c r="C2" s="98"/>
      <c r="D2" s="111"/>
      <c r="E2" s="97"/>
    </row>
    <row r="3" spans="1:5" x14ac:dyDescent="0.35">
      <c r="A3" s="104" t="s">
        <v>19</v>
      </c>
      <c r="B3" s="112" t="e">
        <f ca="1">VLOOKUP(B2,Table53[#All],2,FALSE)</f>
        <v>#N/A</v>
      </c>
      <c r="C3" s="98"/>
      <c r="D3" s="111"/>
      <c r="E3" s="97"/>
    </row>
    <row r="4" spans="1:5" ht="29" x14ac:dyDescent="0.35">
      <c r="A4" s="113" t="s">
        <v>20</v>
      </c>
      <c r="B4" s="99" t="e">
        <f ca="1">VLOOKUP(B2,Table53[#All],4,FALSE)</f>
        <v>#N/A</v>
      </c>
      <c r="C4" s="98"/>
      <c r="D4" s="111"/>
      <c r="E4" s="97"/>
    </row>
    <row r="5" spans="1:5" x14ac:dyDescent="0.35">
      <c r="A5" s="104" t="s">
        <v>6</v>
      </c>
      <c r="B5" s="77" t="e">
        <f ca="1">VLOOKUP(B2,Table53[#All],3,FALSE)</f>
        <v>#N/A</v>
      </c>
      <c r="C5" s="98"/>
      <c r="D5" s="111"/>
      <c r="E5" s="97"/>
    </row>
    <row r="6" spans="1:5" x14ac:dyDescent="0.35">
      <c r="A6" s="97"/>
      <c r="B6" s="97"/>
      <c r="C6" s="98"/>
      <c r="D6" s="111"/>
      <c r="E6" s="97"/>
    </row>
    <row r="7" spans="1:5" ht="15.5" x14ac:dyDescent="0.35">
      <c r="A7" s="100" t="s">
        <v>7</v>
      </c>
      <c r="B7" s="101" t="s">
        <v>8</v>
      </c>
      <c r="C7" s="102" t="s">
        <v>9</v>
      </c>
      <c r="D7" s="102" t="s">
        <v>14</v>
      </c>
      <c r="E7" s="103" t="s">
        <v>10</v>
      </c>
    </row>
    <row r="8" spans="1:5" x14ac:dyDescent="0.35">
      <c r="A8" s="118">
        <v>1</v>
      </c>
      <c r="B8" s="114" t="s">
        <v>114</v>
      </c>
      <c r="C8" s="109" t="s">
        <v>125</v>
      </c>
      <c r="D8" s="128"/>
      <c r="E8" s="125" t="s">
        <v>11</v>
      </c>
    </row>
    <row r="9" spans="1:5" x14ac:dyDescent="0.35">
      <c r="A9" s="118">
        <v>2</v>
      </c>
      <c r="B9" s="114" t="s">
        <v>12</v>
      </c>
      <c r="C9" s="109" t="e">
        <f>VLOOKUP(Table257519913140106110151155170178204285[[#This Row],[PEG]],Table1016[#All],2,FALSE)</f>
        <v>#N/A</v>
      </c>
      <c r="D9" s="128"/>
      <c r="E9" s="125" t="e">
        <f>VLOOKUP(Table257519913140106110151155170178204285[[#This Row],[PEG]],Table1016[#All],3,FALSE)</f>
        <v>#N/A</v>
      </c>
    </row>
    <row r="10" spans="1:5" x14ac:dyDescent="0.35">
      <c r="A10" s="118">
        <v>3</v>
      </c>
      <c r="B10" s="114" t="s">
        <v>115</v>
      </c>
      <c r="C10" s="109" t="e">
        <f>VLOOKUP(Table257519913140106110151155170178204285[[#This Row],[PEG]],Table1016[#All],2,FALSE)</f>
        <v>#N/A</v>
      </c>
      <c r="D10" s="128"/>
      <c r="E10" s="125" t="e">
        <f>VLOOKUP(Table257519913140106110151155170178204285[[#This Row],[PEG]],Table1016[#All],3,FALSE)</f>
        <v>#N/A</v>
      </c>
    </row>
    <row r="11" spans="1:5" x14ac:dyDescent="0.35">
      <c r="A11" s="118">
        <v>4</v>
      </c>
      <c r="B11" s="114" t="s">
        <v>115</v>
      </c>
      <c r="C11" s="109" t="e">
        <f>VLOOKUP(Table257519913140106110151155170178204285[[#This Row],[PEG]],Table1016[#All],2,FALSE)</f>
        <v>#N/A</v>
      </c>
      <c r="D11" s="128"/>
      <c r="E11" s="125" t="e">
        <f>VLOOKUP(Table257519913140106110151155170178204285[[#This Row],[PEG]],Table1016[#All],3,FALSE)</f>
        <v>#N/A</v>
      </c>
    </row>
    <row r="12" spans="1:5" x14ac:dyDescent="0.35">
      <c r="A12" s="118">
        <v>5</v>
      </c>
      <c r="B12" s="114" t="s">
        <v>114</v>
      </c>
      <c r="C12" s="109" t="e">
        <f>VLOOKUP(Table257519913140106110151155170178204285[[#This Row],[PEG]],Table1016[#All],2,FALSE)</f>
        <v>#N/A</v>
      </c>
      <c r="D12" s="128"/>
      <c r="E12" s="125" t="e">
        <f>VLOOKUP(Table257519913140106110151155170178204285[[#This Row],[PEG]],Table1016[#All],3,FALSE)</f>
        <v>#N/A</v>
      </c>
    </row>
    <row r="13" spans="1:5" x14ac:dyDescent="0.35">
      <c r="A13" s="118">
        <v>6</v>
      </c>
      <c r="B13" s="114" t="s">
        <v>115</v>
      </c>
      <c r="C13" s="109" t="e">
        <f>VLOOKUP(Table257519913140106110151155170178204285[[#This Row],[PEG]],Table1016[#All],2,FALSE)</f>
        <v>#N/A</v>
      </c>
      <c r="D13" s="128"/>
      <c r="E13" s="125" t="e">
        <f>VLOOKUP(Table257519913140106110151155170178204285[[#This Row],[PEG]],Table1016[#All],3,FALSE)</f>
        <v>#N/A</v>
      </c>
    </row>
    <row r="14" spans="1:5" x14ac:dyDescent="0.35">
      <c r="A14" s="118">
        <v>7</v>
      </c>
      <c r="B14" s="114" t="s">
        <v>114</v>
      </c>
      <c r="C14" s="109" t="e">
        <f>VLOOKUP(Table257519913140106110151155170178204285[[#This Row],[PEG]],Table1016[#All],2,FALSE)</f>
        <v>#N/A</v>
      </c>
      <c r="D14" s="128"/>
      <c r="E14" s="125" t="e">
        <f>VLOOKUP(Table257519913140106110151155170178204285[[#This Row],[PEG]],Table1016[#All],3,FALSE)</f>
        <v>#N/A</v>
      </c>
    </row>
    <row r="15" spans="1:5" x14ac:dyDescent="0.35">
      <c r="A15" s="118">
        <v>8</v>
      </c>
      <c r="B15" s="114" t="s">
        <v>115</v>
      </c>
      <c r="C15" s="109" t="e">
        <f>VLOOKUP(Table257519913140106110151155170178204285[[#This Row],[PEG]],Table1016[#All],2,FALSE)</f>
        <v>#N/A</v>
      </c>
      <c r="D15" s="116"/>
      <c r="E15" s="125" t="e">
        <f>VLOOKUP(Table257519913140106110151155170178204285[[#This Row],[PEG]],Table1016[#All],3,FALSE)</f>
        <v>#N/A</v>
      </c>
    </row>
    <row r="16" spans="1:5" x14ac:dyDescent="0.35">
      <c r="A16" s="118">
        <v>9</v>
      </c>
      <c r="B16" s="114" t="s">
        <v>12</v>
      </c>
      <c r="C16" s="109" t="e">
        <f>VLOOKUP(Table257519913140106110151155170178204285[[#This Row],[PEG]],Table1016[#All],2,FALSE)</f>
        <v>#N/A</v>
      </c>
      <c r="D16" s="116"/>
      <c r="E16" s="125" t="e">
        <f>VLOOKUP(Table257519913140106110151155170178204285[[#This Row],[PEG]],Table1016[#All],3,FALSE)</f>
        <v>#N/A</v>
      </c>
    </row>
    <row r="17" spans="1:5" x14ac:dyDescent="0.35">
      <c r="A17" s="118">
        <v>10</v>
      </c>
      <c r="B17" s="114" t="s">
        <v>12</v>
      </c>
      <c r="C17" s="109" t="e">
        <f>VLOOKUP(Table257519913140106110151155170178204285[[#This Row],[PEG]],Table1016[#All],2,FALSE)</f>
        <v>#N/A</v>
      </c>
      <c r="D17" s="117"/>
      <c r="E17" s="125" t="e">
        <f>VLOOKUP(Table257519913140106110151155170178204285[[#This Row],[PEG]],Table1016[#All],3,FALSE)</f>
        <v>#N/A</v>
      </c>
    </row>
    <row r="18" spans="1:5" x14ac:dyDescent="0.35">
      <c r="A18" s="118">
        <v>11</v>
      </c>
      <c r="B18" s="114" t="s">
        <v>115</v>
      </c>
      <c r="C18" s="109" t="e">
        <f>VLOOKUP(Table257519913140106110151155170178204285[[#This Row],[PEG]],Table1016[#All],2,FALSE)</f>
        <v>#N/A</v>
      </c>
      <c r="D18" s="117"/>
      <c r="E18" s="125" t="e">
        <f>VLOOKUP(Table257519913140106110151155170178204285[[#This Row],[PEG]],Table1016[#All],3,FALSE)</f>
        <v>#N/A</v>
      </c>
    </row>
    <row r="19" spans="1:5" x14ac:dyDescent="0.35">
      <c r="A19" s="118">
        <v>12</v>
      </c>
      <c r="B19" s="114" t="s">
        <v>115</v>
      </c>
      <c r="C19" s="109" t="e">
        <f>VLOOKUP(Table257519913140106110151155170178204285[[#This Row],[PEG]],Table1016[#All],2,FALSE)</f>
        <v>#N/A</v>
      </c>
      <c r="D19" s="117"/>
      <c r="E19" s="125" t="e">
        <f>VLOOKUP(Table257519913140106110151155170178204285[[#This Row],[PEG]],Table1016[#All],3,FALSE)</f>
        <v>#N/A</v>
      </c>
    </row>
    <row r="20" spans="1:5" x14ac:dyDescent="0.35">
      <c r="A20" s="118">
        <v>13</v>
      </c>
      <c r="B20" s="114" t="s">
        <v>114</v>
      </c>
      <c r="C20" s="109" t="e">
        <f>VLOOKUP(Table257519913140106110151155170178204285[[#This Row],[PEG]],Table1016[#All],2,FALSE)</f>
        <v>#N/A</v>
      </c>
      <c r="D20" s="117"/>
      <c r="E20" s="125" t="e">
        <f>VLOOKUP(Table257519913140106110151155170178204285[[#This Row],[PEG]],Table1016[#All],3,FALSE)</f>
        <v>#N/A</v>
      </c>
    </row>
    <row r="21" spans="1:5" x14ac:dyDescent="0.35">
      <c r="A21" s="118">
        <v>14</v>
      </c>
      <c r="B21" s="114" t="s">
        <v>12</v>
      </c>
      <c r="C21" s="109" t="e">
        <f>VLOOKUP(Table257519913140106110151155170178204285[[#This Row],[PEG]],Table1016[#All],2,FALSE)</f>
        <v>#N/A</v>
      </c>
      <c r="D21" s="117"/>
      <c r="E21" s="125" t="e">
        <f>VLOOKUP(Table257519913140106110151155170178204285[[#This Row],[PEG]],Table1016[#All],3,FALSE)</f>
        <v>#N/A</v>
      </c>
    </row>
    <row r="22" spans="1:5" x14ac:dyDescent="0.35">
      <c r="A22" s="118">
        <v>15</v>
      </c>
      <c r="B22" s="114" t="s">
        <v>12</v>
      </c>
      <c r="C22" s="109" t="e">
        <f>VLOOKUP(Table257519913140106110151155170178204285[[#This Row],[PEG]],Table1016[#All],2,FALSE)</f>
        <v>#N/A</v>
      </c>
      <c r="D22" s="117"/>
      <c r="E22" s="125" t="e">
        <f>VLOOKUP(Table257519913140106110151155170178204285[[#This Row],[PEG]],Table1016[#All],3,FALSE)</f>
        <v>#N/A</v>
      </c>
    </row>
    <row r="23" spans="1:5" x14ac:dyDescent="0.35">
      <c r="A23" s="118">
        <v>16</v>
      </c>
      <c r="B23" s="114" t="s">
        <v>115</v>
      </c>
      <c r="C23" s="109" t="e">
        <f>VLOOKUP(Table257519913140106110151155170178204285[[#This Row],[PEG]],Table1016[#All],2,FALSE)</f>
        <v>#N/A</v>
      </c>
      <c r="D23" s="117"/>
      <c r="E23" s="125" t="e">
        <f>VLOOKUP(Table257519913140106110151155170178204285[[#This Row],[PEG]],Table1016[#All],3,FALSE)</f>
        <v>#N/A</v>
      </c>
    </row>
    <row r="24" spans="1:5" x14ac:dyDescent="0.35">
      <c r="A24" s="118">
        <v>17</v>
      </c>
      <c r="B24" s="114" t="s">
        <v>114</v>
      </c>
      <c r="C24" s="109" t="e">
        <f>VLOOKUP(Table257519913140106110151155170178204285[[#This Row],[PEG]],Table1016[#All],2,FALSE)</f>
        <v>#N/A</v>
      </c>
      <c r="D24" s="117"/>
      <c r="E24" s="125" t="e">
        <f>VLOOKUP(Table257519913140106110151155170178204285[[#This Row],[PEG]],Table1016[#All],3,FALSE)</f>
        <v>#N/A</v>
      </c>
    </row>
    <row r="25" spans="1:5" x14ac:dyDescent="0.35">
      <c r="A25" s="118">
        <v>18</v>
      </c>
      <c r="B25" s="114" t="s">
        <v>12</v>
      </c>
      <c r="C25" s="109" t="e">
        <f>VLOOKUP(Table257519913140106110151155170178204285[[#This Row],[PEG]],Table1016[#All],2,FALSE)</f>
        <v>#N/A</v>
      </c>
      <c r="D25" s="117"/>
      <c r="E25" s="125" t="e">
        <f>VLOOKUP(Table257519913140106110151155170178204285[[#This Row],[PEG]],Table1016[#All],3,FALSE)</f>
        <v>#N/A</v>
      </c>
    </row>
    <row r="26" spans="1:5" x14ac:dyDescent="0.35">
      <c r="A26" s="118">
        <v>19</v>
      </c>
      <c r="B26" s="114" t="s">
        <v>12</v>
      </c>
      <c r="C26" s="109" t="e">
        <f>VLOOKUP(Table257519913140106110151155170178204285[[#This Row],[PEG]],Table1016[#All],2,FALSE)</f>
        <v>#N/A</v>
      </c>
      <c r="D26" s="117"/>
      <c r="E26" s="125" t="e">
        <f>VLOOKUP(Table257519913140106110151155170178204285[[#This Row],[PEG]],Table1016[#All],3,FALSE)</f>
        <v>#N/A</v>
      </c>
    </row>
    <row r="27" spans="1:5" x14ac:dyDescent="0.35">
      <c r="A27" s="118">
        <v>20</v>
      </c>
      <c r="B27" s="114" t="s">
        <v>115</v>
      </c>
      <c r="C27" s="109" t="e">
        <f>VLOOKUP(Table257519913140106110151155170178204285[[#This Row],[PEG]],Table1016[#All],2,FALSE)</f>
        <v>#N/A</v>
      </c>
      <c r="D27" s="117"/>
      <c r="E27" s="125" t="e">
        <f>VLOOKUP(Table257519913140106110151155170178204285[[#This Row],[PEG]],Table1016[#All],3,FALSE)</f>
        <v>#N/A</v>
      </c>
    </row>
    <row r="28" spans="1:5" x14ac:dyDescent="0.35">
      <c r="A28" s="118">
        <v>21</v>
      </c>
      <c r="B28" s="114" t="s">
        <v>114</v>
      </c>
      <c r="C28" s="109" t="e">
        <f>VLOOKUP(Table257519913140106110151155170178204285[[#This Row],[PEG]],Table1016[#All],2,FALSE)</f>
        <v>#N/A</v>
      </c>
      <c r="D28" s="117"/>
      <c r="E28" s="125" t="e">
        <f>VLOOKUP(Table257519913140106110151155170178204285[[#This Row],[PEG]],Table1016[#All],3,FALSE)</f>
        <v>#N/A</v>
      </c>
    </row>
    <row r="29" spans="1:5" x14ac:dyDescent="0.35">
      <c r="A29" s="118">
        <v>22</v>
      </c>
      <c r="B29" s="114" t="s">
        <v>12</v>
      </c>
      <c r="C29" s="109" t="e">
        <f>VLOOKUP(Table257519913140106110151155170178204285[[#This Row],[PEG]],Table1016[#All],2,FALSE)</f>
        <v>#N/A</v>
      </c>
      <c r="D29" s="117"/>
      <c r="E29" s="125" t="e">
        <f>VLOOKUP(Table257519913140106110151155170178204285[[#This Row],[PEG]],Table1016[#All],3,FALSE)</f>
        <v>#N/A</v>
      </c>
    </row>
    <row r="30" spans="1:5" x14ac:dyDescent="0.35">
      <c r="A30" s="118">
        <v>23</v>
      </c>
      <c r="B30" s="114" t="s">
        <v>12</v>
      </c>
      <c r="C30" s="109" t="e">
        <f>VLOOKUP(Table257519913140106110151155170178204285[[#This Row],[PEG]],Table1016[#All],2,FALSE)</f>
        <v>#N/A</v>
      </c>
      <c r="D30" s="117"/>
      <c r="E30" s="125" t="e">
        <f>VLOOKUP(Table257519913140106110151155170178204285[[#This Row],[PEG]],Table1016[#All],3,FALSE)</f>
        <v>#N/A</v>
      </c>
    </row>
    <row r="31" spans="1:5" x14ac:dyDescent="0.35">
      <c r="A31" s="118">
        <v>24</v>
      </c>
      <c r="B31" s="114" t="s">
        <v>115</v>
      </c>
      <c r="C31" s="109" t="e">
        <f>VLOOKUP(Table257519913140106110151155170178204285[[#This Row],[PEG]],Table1016[#All],2,FALSE)</f>
        <v>#N/A</v>
      </c>
      <c r="D31" s="117"/>
      <c r="E31" s="125" t="e">
        <f>VLOOKUP(Table257519913140106110151155170178204285[[#This Row],[PEG]],Table1016[#All],3,FALSE)</f>
        <v>#N/A</v>
      </c>
    </row>
    <row r="32" spans="1:5" x14ac:dyDescent="0.35">
      <c r="A32" s="118">
        <v>25</v>
      </c>
      <c r="B32" s="114" t="s">
        <v>115</v>
      </c>
      <c r="C32" s="109" t="e">
        <f>VLOOKUP(Table257519913140106110151155170178204285[[#This Row],[PEG]],Table1016[#All],2,FALSE)</f>
        <v>#N/A</v>
      </c>
      <c r="D32" s="117"/>
      <c r="E32" s="125" t="e">
        <f>VLOOKUP(Table257519913140106110151155170178204285[[#This Row],[PEG]],Table1016[#All],3,FALSE)</f>
        <v>#N/A</v>
      </c>
    </row>
    <row r="33" spans="1:5" x14ac:dyDescent="0.35">
      <c r="A33" s="118">
        <v>26</v>
      </c>
      <c r="B33" s="114" t="s">
        <v>124</v>
      </c>
      <c r="C33" s="109" t="e">
        <f>VLOOKUP(Table257519913140106110151155170178204285[[#This Row],[PEG]],Table1016[#All],2,FALSE)</f>
        <v>#N/A</v>
      </c>
      <c r="D33" s="117"/>
      <c r="E33" s="125" t="e">
        <f>VLOOKUP(Table257519913140106110151155170178204285[[#This Row],[PEG]],Table1016[#All],3,FALSE)</f>
        <v>#N/A</v>
      </c>
    </row>
    <row r="34" spans="1:5" x14ac:dyDescent="0.35">
      <c r="A34" s="118">
        <v>27</v>
      </c>
      <c r="B34" s="114" t="s">
        <v>115</v>
      </c>
      <c r="C34" s="109" t="e">
        <f>VLOOKUP(Table257519913140106110151155170178204285[[#This Row],[PEG]],Table1016[#All],2,FALSE)</f>
        <v>#N/A</v>
      </c>
      <c r="D34" s="117"/>
      <c r="E34" s="125" t="e">
        <f>VLOOKUP(Table257519913140106110151155170178204285[[#This Row],[PEG]],Table1016[#All],3,FALSE)</f>
        <v>#N/A</v>
      </c>
    </row>
    <row r="35" spans="1:5" x14ac:dyDescent="0.35">
      <c r="A35" s="118">
        <v>28</v>
      </c>
      <c r="B35" s="114" t="s">
        <v>124</v>
      </c>
      <c r="C35" s="109" t="e">
        <f>VLOOKUP(Table257519913140106110151155170178204285[[#This Row],[PEG]],Table1016[#All],2,FALSE)</f>
        <v>#N/A</v>
      </c>
      <c r="D35" s="117"/>
      <c r="E35" s="125" t="e">
        <f>VLOOKUP(Table257519913140106110151155170178204285[[#This Row],[PEG]],Table1016[#All],3,FALSE)</f>
        <v>#N/A</v>
      </c>
    </row>
    <row r="36" spans="1:5" x14ac:dyDescent="0.35">
      <c r="A36" s="118">
        <v>29</v>
      </c>
      <c r="B36" s="114" t="s">
        <v>115</v>
      </c>
      <c r="C36" s="109" t="e">
        <f>VLOOKUP(Table257519913140106110151155170178204285[[#This Row],[PEG]],Table1016[#All],2,FALSE)</f>
        <v>#N/A</v>
      </c>
      <c r="D36" s="117"/>
      <c r="E36" s="125" t="e">
        <f>VLOOKUP(Table257519913140106110151155170178204285[[#This Row],[PEG]],Table1016[#All],3,FALSE)</f>
        <v>#N/A</v>
      </c>
    </row>
    <row r="37" spans="1:5" x14ac:dyDescent="0.35">
      <c r="A37" s="118">
        <v>30</v>
      </c>
      <c r="B37" s="114" t="s">
        <v>12</v>
      </c>
      <c r="C37" s="109" t="e">
        <f>VLOOKUP(Table257519913140106110151155170178204285[[#This Row],[PEG]],Table1016[#All],2,FALSE)</f>
        <v>#N/A</v>
      </c>
      <c r="D37" s="117"/>
      <c r="E37" s="125" t="e">
        <f>VLOOKUP(Table257519913140106110151155170178204285[[#This Row],[PEG]],Table1016[#All],3,FALSE)</f>
        <v>#N/A</v>
      </c>
    </row>
    <row r="38" spans="1:5" x14ac:dyDescent="0.35">
      <c r="A38" s="118">
        <v>31</v>
      </c>
      <c r="B38" s="114" t="s">
        <v>12</v>
      </c>
      <c r="C38" s="109" t="e">
        <f>VLOOKUP(Table257519913140106110151155170178204285[[#This Row],[PEG]],Table1016[#All],2,FALSE)</f>
        <v>#N/A</v>
      </c>
      <c r="D38" s="117"/>
      <c r="E38" s="125" t="e">
        <f>VLOOKUP(Table257519913140106110151155170178204285[[#This Row],[PEG]],Table1016[#All],3,FALSE)</f>
        <v>#N/A</v>
      </c>
    </row>
    <row r="39" spans="1:5" x14ac:dyDescent="0.35">
      <c r="A39" s="118">
        <v>32</v>
      </c>
      <c r="B39" s="114" t="s">
        <v>12</v>
      </c>
      <c r="C39" s="109" t="e">
        <f>VLOOKUP(Table257519913140106110151155170178204285[[#This Row],[PEG]],Table1016[#All],2,FALSE)</f>
        <v>#N/A</v>
      </c>
      <c r="D39" s="117"/>
      <c r="E39" s="125" t="e">
        <f>VLOOKUP(Table257519913140106110151155170178204285[[#This Row],[PEG]],Table1016[#All],3,FALSE)</f>
        <v>#N/A</v>
      </c>
    </row>
    <row r="40" spans="1:5" x14ac:dyDescent="0.35">
      <c r="A40" s="118">
        <v>33</v>
      </c>
      <c r="B40" s="114" t="s">
        <v>12</v>
      </c>
      <c r="C40" s="109" t="e">
        <f>VLOOKUP(Table257519913140106110151155170178204285[[#This Row],[PEG]],Table1016[#All],2,FALSE)</f>
        <v>#N/A</v>
      </c>
      <c r="D40" s="117"/>
      <c r="E40" s="125" t="e">
        <f>VLOOKUP(Table257519913140106110151155170178204285[[#This Row],[PEG]],Table1016[#All],3,FALSE)</f>
        <v>#N/A</v>
      </c>
    </row>
    <row r="41" spans="1:5" x14ac:dyDescent="0.35">
      <c r="A41" s="118">
        <v>34</v>
      </c>
      <c r="B41" s="114" t="s">
        <v>115</v>
      </c>
      <c r="C41" s="109" t="e">
        <f>VLOOKUP(Table257519913140106110151155170178204285[[#This Row],[PEG]],Table1016[#All],2,FALSE)</f>
        <v>#N/A</v>
      </c>
      <c r="D41" s="117"/>
      <c r="E41" s="125" t="e">
        <f>VLOOKUP(Table257519913140106110151155170178204285[[#This Row],[PEG]],Table1016[#All],3,FALSE)</f>
        <v>#N/A</v>
      </c>
    </row>
    <row r="42" spans="1:5" x14ac:dyDescent="0.35">
      <c r="A42" s="118">
        <v>35</v>
      </c>
      <c r="B42" s="114" t="s">
        <v>12</v>
      </c>
      <c r="C42" s="109" t="e">
        <f>VLOOKUP(Table257519913140106110151155170178204285[[#This Row],[PEG]],Table1016[#All],2,FALSE)</f>
        <v>#N/A</v>
      </c>
      <c r="D42" s="115"/>
      <c r="E42" s="125" t="e">
        <f>VLOOKUP(Table257519913140106110151155170178204285[[#This Row],[PEG]],Table1016[#All],3,FALSE)</f>
        <v>#N/A</v>
      </c>
    </row>
    <row r="43" spans="1:5" x14ac:dyDescent="0.35">
      <c r="A43" s="118">
        <v>36</v>
      </c>
      <c r="B43" s="114" t="s">
        <v>115</v>
      </c>
      <c r="C43" s="109" t="e">
        <f>VLOOKUP(Table257519913140106110151155170178204285[[#This Row],[PEG]],Table1016[#All],2,FALSE)</f>
        <v>#N/A</v>
      </c>
      <c r="D43" s="115"/>
      <c r="E43" s="125" t="e">
        <f>VLOOKUP(Table257519913140106110151155170178204285[[#This Row],[PEG]],Table1016[#All],3,FALSE)</f>
        <v>#N/A</v>
      </c>
    </row>
    <row r="44" spans="1:5" x14ac:dyDescent="0.35">
      <c r="A44" s="118">
        <v>37</v>
      </c>
      <c r="B44" s="114" t="s">
        <v>13</v>
      </c>
      <c r="C44" s="18" t="s">
        <v>13</v>
      </c>
      <c r="D44" s="115"/>
      <c r="E44" s="32"/>
    </row>
  </sheetData>
  <mergeCells count="1">
    <mergeCell ref="A1:B1"/>
  </mergeCells>
  <conditionalFormatting sqref="B8:B18">
    <cfRule type="containsText" dxfId="299" priority="1" operator="containsText" text="Hear">
      <formula>NOT(ISERROR(SEARCH("Hear",B8)))</formula>
    </cfRule>
  </conditionalFormatting>
  <conditionalFormatting sqref="B30">
    <cfRule type="containsText" dxfId="298" priority="4" operator="containsText" text="Hear">
      <formula>NOT(ISERROR(SEARCH("Hear",B30)))</formula>
    </cfRule>
  </conditionalFormatting>
  <conditionalFormatting sqref="B43:B44">
    <cfRule type="containsText" dxfId="297" priority="8" operator="containsText" text="Hear">
      <formula>NOT(ISERROR(SEARCH("Hear",B43)))</formula>
    </cfRule>
  </conditionalFormatting>
  <conditionalFormatting sqref="E44">
    <cfRule type="containsText" dxfId="296" priority="6" operator="containsText" text="WEB SERVICE">
      <formula>NOT(ISERROR(SEARCH("WEB SERVICE",E44)))</formula>
    </cfRule>
    <cfRule type="containsText" dxfId="295" priority="7" operator="containsText" text="DB">
      <formula>NOT(ISERROR(SEARCH("DB",E44)))</formula>
    </cfRule>
  </conditionalFormatting>
  <conditionalFormatting sqref="C44">
    <cfRule type="expression" dxfId="294" priority="9">
      <formula>$B44="Dial"</formula>
    </cfRule>
  </conditionalFormatting>
  <conditionalFormatting sqref="C44">
    <cfRule type="expression" dxfId="293" priority="3">
      <formula>$B44="Speak"</formula>
    </cfRule>
  </conditionalFormatting>
  <conditionalFormatting sqref="B19:B29 B31:B35 B42">
    <cfRule type="containsText" dxfId="292" priority="5" operator="containsText" text="Hear">
      <formula>NOT(ISERROR(SEARCH("Hear",B19)))</formula>
    </cfRule>
  </conditionalFormatting>
  <hyperlinks>
    <hyperlink ref="A1" location="'Test Case Overview'!A1" display="Return to Test Case Overview" xr:uid="{A0393EFD-17AF-41CE-8A40-B518D068AA1C}"/>
  </hyperlinks>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expression" priority="2" id="{267BB730-E69F-426F-898E-033B78667304}">
            <xm:f>'TC1'!$B8="HANGUP"</xm:f>
            <x14:dxf>
              <font>
                <b/>
                <i val="0"/>
              </font>
            </x14:dxf>
          </x14:cfRule>
          <xm:sqref>C8</xm:sqref>
        </x14:conditionalFormatting>
        <x14:conditionalFormatting xmlns:xm="http://schemas.microsoft.com/office/excel/2006/main">
          <x14:cfRule type="expression" priority="3398" id="{267BB730-E69F-426F-898E-033B78667304}">
            <xm:f>'TC1'!$B16="HANGUP"</xm:f>
            <x14:dxf>
              <font>
                <b/>
                <i val="0"/>
              </font>
            </x14:dxf>
          </x14:cfRule>
          <xm:sqref>C34:C43</xm:sqref>
        </x14:conditionalFormatting>
        <x14:conditionalFormatting xmlns:xm="http://schemas.microsoft.com/office/excel/2006/main">
          <x14:cfRule type="expression" priority="3399" id="{267BB730-E69F-426F-898E-033B78667304}">
            <xm:f>'TC1'!#REF!="HANGUP"</xm:f>
            <x14:dxf>
              <font>
                <b/>
                <i val="0"/>
              </font>
            </x14:dxf>
          </x14:cfRule>
          <xm:sqref>C17:C33</xm:sqref>
        </x14:conditionalFormatting>
        <x14:conditionalFormatting xmlns:xm="http://schemas.microsoft.com/office/excel/2006/main">
          <x14:cfRule type="expression" priority="6012" id="{267BB730-E69F-426F-898E-033B78667304}">
            <xm:f>'TC1'!$B9="HANGUP"</xm:f>
            <x14:dxf>
              <font>
                <b/>
                <i val="0"/>
              </font>
            </x14:dxf>
          </x14:cfRule>
          <xm:sqref>C12:C15</xm:sqref>
        </x14:conditionalFormatting>
        <x14:conditionalFormatting xmlns:xm="http://schemas.microsoft.com/office/excel/2006/main">
          <x14:cfRule type="expression" priority="6013" id="{267BB730-E69F-426F-898E-033B78667304}">
            <xm:f>'TC1'!#REF!="HANGUP"</xm:f>
            <x14:dxf>
              <font>
                <b/>
                <i val="0"/>
              </font>
            </x14:dxf>
          </x14:cfRule>
          <xm:sqref>C9:C11</xm:sqref>
        </x14:conditionalFormatting>
        <x14:conditionalFormatting xmlns:xm="http://schemas.microsoft.com/office/excel/2006/main">
          <x14:cfRule type="expression" priority="8172" id="{267BB730-E69F-426F-898E-033B78667304}">
            <xm:f>'TC1'!$B15="HANGUP"</xm:f>
            <x14:dxf>
              <font>
                <b/>
                <i val="0"/>
              </font>
            </x14:dxf>
          </x14:cfRule>
          <xm:sqref>C16</xm:sqref>
        </x14:conditionalFormatting>
      </x14:conditionalFormattings>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20"/>
  <dimension ref="A1:E64"/>
  <sheetViews>
    <sheetView zoomScaleNormal="100" workbookViewId="0">
      <selection sqref="A1:B1"/>
    </sheetView>
  </sheetViews>
  <sheetFormatPr defaultRowHeight="14.5" x14ac:dyDescent="0.35"/>
  <cols>
    <col min="1" max="1" width="14.453125" style="97" bestFit="1" customWidth="1"/>
    <col min="2" max="2" width="42.6328125" style="97" customWidth="1"/>
    <col min="3" max="3" width="106.1796875" style="98" customWidth="1"/>
    <col min="4" max="4" width="21.81640625" style="111" bestFit="1" customWidth="1"/>
    <col min="5" max="5" width="20.6328125" style="97" customWidth="1"/>
  </cols>
  <sheetData>
    <row r="1" spans="1:5" ht="18.5" x14ac:dyDescent="0.35">
      <c r="A1" s="192" t="s">
        <v>4</v>
      </c>
      <c r="B1" s="192"/>
      <c r="C1" s="105"/>
    </row>
    <row r="2" spans="1:5" x14ac:dyDescent="0.35">
      <c r="A2" s="106" t="s">
        <v>5</v>
      </c>
      <c r="B2" s="107" t="str">
        <f ca="1">MID(CELL("filename",A1),FIND("]",CELL("filename",A1))+1,LEN(CELL("filename",A1))-FIND("]",CELL("filename",A1)))</f>
        <v>TC18</v>
      </c>
    </row>
    <row r="3" spans="1:5" x14ac:dyDescent="0.35">
      <c r="A3" s="104" t="s">
        <v>19</v>
      </c>
      <c r="B3" s="112">
        <f ca="1">VLOOKUP(B2,Table1[#All],2,FALSE)</f>
        <v>0</v>
      </c>
    </row>
    <row r="4" spans="1:5" ht="29" x14ac:dyDescent="0.35">
      <c r="A4" s="113" t="s">
        <v>20</v>
      </c>
      <c r="B4" s="99" t="str">
        <f ca="1">VLOOKUP(B2,Table1[#All],4,FALSE)</f>
        <v>Partial Payment, Stored Pmt, SMS No, Debit Pmt Mthd for remaining balance</v>
      </c>
    </row>
    <row r="5" spans="1:5" x14ac:dyDescent="0.35">
      <c r="A5" s="104" t="s">
        <v>6</v>
      </c>
      <c r="B5" s="93" t="str">
        <f ca="1">VLOOKUP(B2,Table1[#All],3,FALSE)</f>
        <v>Remaining Balance - YES</v>
      </c>
    </row>
    <row r="7" spans="1:5" ht="15.5" x14ac:dyDescent="0.35">
      <c r="A7" s="100" t="s">
        <v>7</v>
      </c>
      <c r="B7" s="101" t="s">
        <v>8</v>
      </c>
      <c r="C7" s="102" t="s">
        <v>9</v>
      </c>
      <c r="D7" s="102" t="s">
        <v>14</v>
      </c>
      <c r="E7" s="103" t="s">
        <v>10</v>
      </c>
    </row>
    <row r="8" spans="1:5" x14ac:dyDescent="0.35">
      <c r="A8" s="118">
        <v>1</v>
      </c>
      <c r="B8" s="114" t="s">
        <v>114</v>
      </c>
      <c r="C8" s="127" t="s">
        <v>125</v>
      </c>
      <c r="D8" s="128"/>
      <c r="E8" s="125" t="s">
        <v>11</v>
      </c>
    </row>
    <row r="9" spans="1:5" x14ac:dyDescent="0.35">
      <c r="A9" s="118">
        <v>2</v>
      </c>
      <c r="B9" s="114" t="s">
        <v>115</v>
      </c>
      <c r="C9" s="109" t="str">
        <f>VLOOKUP(Table25755252691013434446[[#This Row],[PEG]],Table1016[#All],2,FALSE)</f>
        <v>To get started, tell me your Account Number</v>
      </c>
      <c r="D9" s="141" t="s">
        <v>245</v>
      </c>
      <c r="E9" s="125" t="str">
        <f>VLOOKUP(Table25755252691013434446[[#This Row],[PEG]],Table1016[#All],3,FALSE)</f>
        <v>Prompt</v>
      </c>
    </row>
    <row r="10" spans="1:5" x14ac:dyDescent="0.35">
      <c r="A10" s="118">
        <v>3</v>
      </c>
      <c r="B10" s="114" t="s">
        <v>124</v>
      </c>
      <c r="C10" s="109"/>
      <c r="D10" s="128"/>
      <c r="E10" s="125" t="e">
        <f>VLOOKUP(Table25755252691013434446[[#This Row],[PEG]],Table1016[#All],3,FALSE)</f>
        <v>#N/A</v>
      </c>
    </row>
    <row r="11" spans="1:5" ht="174" x14ac:dyDescent="0.35">
      <c r="A11" s="118">
        <v>4</v>
      </c>
      <c r="B11" s="114" t="s">
        <v>12</v>
      </c>
      <c r="C11" s="109" t="str">
        <f>VLOOKUP(Table25755252691013434446[[#This Row],[PEG]],Table1016[#All],2,FALSE)</f>
        <v>SAP HANA – SAP01_GetMember
inputs:
idnumber = iIdnumber	T
idtype 	= iIdtype
outputs:
~ Billing Reference
~ Enrollment Details
~ Billing Details
~ Last Payment
~ Recurring Payment Method
~ Stored Payment Method</v>
      </c>
      <c r="D11" s="141" t="s">
        <v>371</v>
      </c>
      <c r="E11" s="125" t="str">
        <f>VLOOKUP(Table25755252691013434446[[#This Row],[PEG]],Table1016[#All],3,FALSE)</f>
        <v>DB</v>
      </c>
    </row>
    <row r="12" spans="1:5" x14ac:dyDescent="0.35">
      <c r="A12" s="118">
        <v>5</v>
      </c>
      <c r="B12" s="114" t="s">
        <v>115</v>
      </c>
      <c r="C12" s="109" t="str">
        <f>VLOOKUP(Table25755252691013434446[[#This Row],[PEG]],Table1016[#All],2,FALSE)</f>
        <v>Thanks, I found your account!</v>
      </c>
      <c r="D12" s="142" t="s">
        <v>248</v>
      </c>
      <c r="E12" s="125" t="str">
        <f>VLOOKUP(Table25755252691013434446[[#This Row],[PEG]],Table1016[#All],3,FALSE)</f>
        <v>Prompt</v>
      </c>
    </row>
    <row r="13" spans="1:5" x14ac:dyDescent="0.35">
      <c r="A13" s="118">
        <v>6</v>
      </c>
      <c r="B13" s="114" t="s">
        <v>115</v>
      </c>
      <c r="C13" s="109" t="str">
        <f>VLOOKUP(Table25755252691013434446[[#This Row],[PEG]],Table1016[#All],2,FALSE)</f>
        <v>Your last payment of &lt;SAP01_ivrLastPaymentAmount&gt; was received on &lt;SAP01_ivrLastPaymentDate&gt;</v>
      </c>
      <c r="D13" s="142" t="s">
        <v>257</v>
      </c>
      <c r="E13" s="125" t="str">
        <f>VLOOKUP(Table25755252691013434446[[#This Row],[PEG]],Table1016[#All],3,FALSE)</f>
        <v>Prompt</v>
      </c>
    </row>
    <row r="14" spans="1:5" x14ac:dyDescent="0.35">
      <c r="A14" s="118">
        <v>7</v>
      </c>
      <c r="B14" s="114" t="s">
        <v>115</v>
      </c>
      <c r="C14" s="130" t="str">
        <f>VLOOKUP(Table25755252691013434446[[#This Row],[PEG]],Table1016[#All],2,FALSE)</f>
        <v>A current balance of &lt;SAP01_CurrentDue&gt; is due by &lt;SAP01_Duedate&gt;.</v>
      </c>
      <c r="D14" s="143" t="s">
        <v>258</v>
      </c>
      <c r="E14" s="125" t="str">
        <f>VLOOKUP(Table25755252691013434446[[#This Row],[PEG]],Table1016[#All],3,FALSE)</f>
        <v>Prompt</v>
      </c>
    </row>
    <row r="15" spans="1:5" x14ac:dyDescent="0.35">
      <c r="A15" s="118">
        <v>8</v>
      </c>
      <c r="B15" s="114" t="s">
        <v>115</v>
      </c>
      <c r="C15" s="109" t="str">
        <f>VLOOKUP(Table25755252691013434446[[#This Row],[PEG]],Table1016[#All],2,FALSE)</f>
        <v>Would you like to pay this in full today?</v>
      </c>
      <c r="D15" s="143" t="s">
        <v>260</v>
      </c>
      <c r="E15" s="125" t="str">
        <f>VLOOKUP(Table25755252691013434446[[#This Row],[PEG]],Table1016[#All],3,FALSE)</f>
        <v>Prompt</v>
      </c>
    </row>
    <row r="16" spans="1:5" x14ac:dyDescent="0.35">
      <c r="A16" s="118">
        <v>9</v>
      </c>
      <c r="B16" s="114" t="s">
        <v>124</v>
      </c>
      <c r="C16" s="127" t="s">
        <v>415</v>
      </c>
      <c r="D16" s="143"/>
      <c r="E16" s="125" t="e">
        <f>VLOOKUP(Table25755252691013434446[[#This Row],[PEG]],Table1016[#All],3,FALSE)</f>
        <v>#N/A</v>
      </c>
    </row>
    <row r="17" spans="1:5" x14ac:dyDescent="0.35">
      <c r="A17" s="118">
        <v>10</v>
      </c>
      <c r="B17" s="114" t="s">
        <v>115</v>
      </c>
      <c r="C17" s="109" t="str">
        <f>VLOOKUP(Table25755252691013434446[[#This Row],[PEG]],Table1016[#All],2,FALSE)</f>
        <v>Ok, what amount do you want to pay?</v>
      </c>
      <c r="D17" s="143" t="s">
        <v>263</v>
      </c>
      <c r="E17" s="125" t="str">
        <f>VLOOKUP(Table25755252691013434446[[#This Row],[PEG]],Table1016[#All],3,FALSE)</f>
        <v>Prompt</v>
      </c>
    </row>
    <row r="18" spans="1:5" x14ac:dyDescent="0.35">
      <c r="A18" s="118">
        <v>11</v>
      </c>
      <c r="B18" s="114" t="s">
        <v>124</v>
      </c>
      <c r="C18" s="109" t="s">
        <v>432</v>
      </c>
      <c r="D18" s="143"/>
      <c r="E18" s="125" t="e">
        <f>VLOOKUP(Table25755252691013434446[[#This Row],[PEG]],Table1016[#All],3,FALSE)</f>
        <v>#N/A</v>
      </c>
    </row>
    <row r="19" spans="1:5" x14ac:dyDescent="0.35">
      <c r="A19" s="118">
        <v>12</v>
      </c>
      <c r="B19" s="114" t="s">
        <v>115</v>
      </c>
      <c r="C19" s="109" t="str">
        <f>VLOOKUP(Table25755252691013434446[[#This Row],[PEG]],Table1016[#All],2,FALSE)</f>
        <v>Do you want to use the card account on file ending in &lt;SAP01_ivrStoredPmtLast4Digits&gt;.</v>
      </c>
      <c r="D19" s="143" t="s">
        <v>277</v>
      </c>
      <c r="E19" s="125" t="str">
        <f>VLOOKUP(Table25755252691013434446[[#This Row],[PEG]],Table1016[#All],3,FALSE)</f>
        <v>Prompt</v>
      </c>
    </row>
    <row r="20" spans="1:5" x14ac:dyDescent="0.35">
      <c r="A20" s="118">
        <v>13</v>
      </c>
      <c r="B20" s="114" t="s">
        <v>124</v>
      </c>
      <c r="C20" s="109" t="s">
        <v>388</v>
      </c>
      <c r="D20" s="143"/>
      <c r="E20" s="125" t="e">
        <f>VLOOKUP(Table25755252691013434446[[#This Row],[PEG]],Table1016[#All],3,FALSE)</f>
        <v>#N/A</v>
      </c>
    </row>
    <row r="21" spans="1:5" ht="29" x14ac:dyDescent="0.35">
      <c r="A21" s="118">
        <v>14</v>
      </c>
      <c r="B21" s="114" t="s">
        <v>115</v>
      </c>
      <c r="C21" s="109" t="str">
        <f>VLOOKUP(Table25755252691013434446[[#This Row],[PEG]],Table1016[#All],2,FALSE)</f>
        <v>To confirm, you want to pay &lt;ivrPmtAmt&gt; with the account ending in &lt;SAP01_ivrStoredPmtLast4Digits&gt;
Is that right?</v>
      </c>
      <c r="D21" s="143" t="s">
        <v>391</v>
      </c>
      <c r="E21" s="125">
        <f>VLOOKUP(Table25755252691013434446[[#This Row],[PEG]],Table1016[#All],3,FALSE)</f>
        <v>0</v>
      </c>
    </row>
    <row r="22" spans="1:5" x14ac:dyDescent="0.35">
      <c r="A22" s="118">
        <v>15</v>
      </c>
      <c r="B22" s="114" t="s">
        <v>124</v>
      </c>
      <c r="C22" s="109" t="s">
        <v>388</v>
      </c>
      <c r="D22" s="143"/>
      <c r="E22" s="125" t="e">
        <f>VLOOKUP(Table25755252691013434446[[#This Row],[PEG]],Table1016[#All],3,FALSE)</f>
        <v>#N/A</v>
      </c>
    </row>
    <row r="23" spans="1:5" ht="333.5" x14ac:dyDescent="0.35">
      <c r="A23" s="118">
        <v>16</v>
      </c>
      <c r="B23" s="114" t="s">
        <v>12</v>
      </c>
      <c r="C23" s="109" t="str">
        <f>VLOOKUP(Table25755252691013434446[[#This Row],[PEG]],Table1016[#All],2,FALSE)</f>
        <v xml:space="preserve">CyberSource – CYB02_AuthCard
Input a card_tokenId or a card_number.
inputs:
clientReference_code = IVR.sessionid+"-" +paymentCount
card_tokenId = ivrStoredCardTokenId	
card_number = ivrCardNbr
card_expirationMonth	= ivrCardExpMM		
card_expirationYear = ivrCardExpYYYY			
totalAmount = ivrPmtAmt		
first_name =
last_name =
actionTokenizeFlag = true		
outputs:
CYB02_submitTimeUtc	
CYB02_id	
CYB02_status	
CYB02_approvalCode					
CYB02_responseCode	
CYB02_errorReason
CYB02_errorMesssage
CYB02_cardTokenId	</v>
      </c>
      <c r="D23" s="143" t="s">
        <v>382</v>
      </c>
      <c r="E23" s="125" t="str">
        <f>VLOOKUP(Table25755252691013434446[[#This Row],[PEG]],Table1016[#All],3,FALSE)</f>
        <v>DB</v>
      </c>
    </row>
    <row r="24" spans="1:5" ht="232" x14ac:dyDescent="0.35">
      <c r="A24" s="118">
        <v>17</v>
      </c>
      <c r="B24" s="114" t="s">
        <v>12</v>
      </c>
      <c r="C24" s="109" t="str">
        <f>VLOOKUP(Table25755252691013434446[[#This Row],[PEG]],Table1016[#All],2,FALSE)</f>
        <v>SAP HANA - SAP03_CardPaymentNotification
inputs:
Businesspartner   = SAP01_Partner
Insobject                 = SAP01_Insobject
subscriberID	    = CYB02_cardTokenId
Type		    = ivrCardType	             
Name                        = ivrFirstName + ' ' + ivrLastName				
Expiration	    = ivrExpiration 
Recurring	    = ivrRecurring  
Stored		    = ivrPmtMethodStored  
Last4Digits	    = ivrLast4Digits 
Paymentamount  = ivrPmtAmt 
ReferenceNumber= CYB02_approvalCode
outputs:
SAP03_ConfirmationNum  Payment Confirmation Number</v>
      </c>
      <c r="D24" s="143" t="s">
        <v>374</v>
      </c>
      <c r="E24" s="125" t="str">
        <f>VLOOKUP(Table25755252691013434446[[#This Row],[PEG]],Table1016[#All],3,FALSE)</f>
        <v>DB</v>
      </c>
    </row>
    <row r="25" spans="1:5" ht="29" x14ac:dyDescent="0.35">
      <c r="A25" s="118">
        <v>18</v>
      </c>
      <c r="B25" s="114" t="s">
        <v>115</v>
      </c>
      <c r="C25" s="109" t="str">
        <f>VLOOKUP(Table25755252691013434446[[#This Row],[PEG]],Table1016[#All],2,FALSE)</f>
        <v>Today's payment in the amount of &lt;ivrPmtAmt&gt;, has been processed.  Your confirmation number is &lt;ivrConfirmationNum&gt;. Again, that confirmation number is &lt;ivrConfirmationNum&gt;.</v>
      </c>
      <c r="D25" s="143" t="s">
        <v>340</v>
      </c>
      <c r="E25" s="125" t="str">
        <f>VLOOKUP(Table25755252691013434446[[#This Row],[PEG]],Table1016[#All],3,FALSE)</f>
        <v>Prompt</v>
      </c>
    </row>
    <row r="26" spans="1:5" x14ac:dyDescent="0.35">
      <c r="A26" s="118">
        <v>19</v>
      </c>
      <c r="B26" s="114" t="s">
        <v>115</v>
      </c>
      <c r="C26" s="109" t="str">
        <f>VLOOKUP(Table25755252691013434446[[#This Row],[PEG]],Table1016[#All],2,FALSE)</f>
        <v>Would you like me to text the confirmation number?</v>
      </c>
      <c r="D26" s="143" t="s">
        <v>341</v>
      </c>
      <c r="E26" s="125" t="str">
        <f>VLOOKUP(Table25755252691013434446[[#This Row],[PEG]],Table1016[#All],3,FALSE)</f>
        <v>Prompt</v>
      </c>
    </row>
    <row r="27" spans="1:5" x14ac:dyDescent="0.35">
      <c r="A27" s="118">
        <v>20</v>
      </c>
      <c r="B27" s="114" t="s">
        <v>124</v>
      </c>
      <c r="C27" s="109" t="s">
        <v>415</v>
      </c>
      <c r="D27" s="143"/>
      <c r="E27" s="125" t="e">
        <f>VLOOKUP(Table25755252691013434446[[#This Row],[PEG]],Table1016[#All],3,FALSE)</f>
        <v>#N/A</v>
      </c>
    </row>
    <row r="28" spans="1:5" ht="29" x14ac:dyDescent="0.35">
      <c r="A28" s="118">
        <v>21</v>
      </c>
      <c r="B28" s="114" t="s">
        <v>115</v>
      </c>
      <c r="C28" s="109" t="str">
        <f>VLOOKUP(Table25755252691013434446[[#This Row],[PEG]],Table1016[#All],2,FALSE)</f>
        <v>Would you like to use a different account to pay the remaining balance?  Your account will be suspended if payment is not received within 60 days.</v>
      </c>
      <c r="D28" s="143" t="s">
        <v>357</v>
      </c>
      <c r="E28" s="125" t="str">
        <f>VLOOKUP(Table25755252691013434446[[#This Row],[PEG]],Table1016[#All],3,FALSE)</f>
        <v>Prompt</v>
      </c>
    </row>
    <row r="29" spans="1:5" s="97" customFormat="1" x14ac:dyDescent="0.35">
      <c r="A29" s="118">
        <v>22</v>
      </c>
      <c r="B29" s="114" t="s">
        <v>124</v>
      </c>
      <c r="C29" s="109" t="s">
        <v>388</v>
      </c>
      <c r="D29" s="143"/>
      <c r="E29" s="125"/>
    </row>
    <row r="30" spans="1:5" s="97" customFormat="1" x14ac:dyDescent="0.35">
      <c r="A30" s="118">
        <v>23</v>
      </c>
      <c r="B30" s="114" t="s">
        <v>115</v>
      </c>
      <c r="C30" s="109" t="str">
        <f>VLOOKUP(Table25755252691013434446[[#This Row],[PEG]],Table1016[#All],2,FALSE)</f>
        <v>Ok, are you using Credit, Debit, Checking or Savings?</v>
      </c>
      <c r="D30" s="143" t="s">
        <v>286</v>
      </c>
      <c r="E30" s="125"/>
    </row>
    <row r="31" spans="1:5" s="97" customFormat="1" x14ac:dyDescent="0.35">
      <c r="A31" s="118">
        <v>24</v>
      </c>
      <c r="B31" s="114" t="s">
        <v>124</v>
      </c>
      <c r="C31" s="109" t="s">
        <v>413</v>
      </c>
      <c r="D31" s="143"/>
      <c r="E31" s="125"/>
    </row>
    <row r="32" spans="1:5" s="97" customFormat="1" x14ac:dyDescent="0.35">
      <c r="A32" s="118">
        <v>25</v>
      </c>
      <c r="B32" s="114" t="s">
        <v>115</v>
      </c>
      <c r="C32" s="109" t="str">
        <f>VLOOKUP(Table25755252691013434446[[#This Row],[PEG]],Table1016[#All],2,FALSE)</f>
        <v>Tell me the card number you wish to use.</v>
      </c>
      <c r="D32" s="143" t="s">
        <v>318</v>
      </c>
      <c r="E32" s="125"/>
    </row>
    <row r="33" spans="1:5" s="97" customFormat="1" x14ac:dyDescent="0.35">
      <c r="A33" s="118">
        <v>26</v>
      </c>
      <c r="B33" s="114" t="s">
        <v>124</v>
      </c>
      <c r="C33" s="109" t="s">
        <v>433</v>
      </c>
      <c r="D33" s="143"/>
      <c r="E33" s="125"/>
    </row>
    <row r="34" spans="1:5" s="97" customFormat="1" x14ac:dyDescent="0.35">
      <c r="A34" s="118">
        <v>27</v>
      </c>
      <c r="B34" s="114" t="s">
        <v>115</v>
      </c>
      <c r="C34" s="109" t="str">
        <f>VLOOKUP(Table25755252691013434446[[#This Row],[PEG]],Table1016[#All],2,FALSE)</f>
        <v>Is &lt;ivrCardNbr&gt; the right number?</v>
      </c>
      <c r="D34" s="143" t="s">
        <v>320</v>
      </c>
      <c r="E34" s="125"/>
    </row>
    <row r="35" spans="1:5" s="97" customFormat="1" x14ac:dyDescent="0.35">
      <c r="A35" s="118">
        <v>28</v>
      </c>
      <c r="B35" s="114" t="s">
        <v>124</v>
      </c>
      <c r="C35" s="109" t="s">
        <v>388</v>
      </c>
      <c r="D35" s="143"/>
      <c r="E35" s="125"/>
    </row>
    <row r="36" spans="1:5" s="97" customFormat="1" ht="29" x14ac:dyDescent="0.35">
      <c r="A36" s="118">
        <v>29</v>
      </c>
      <c r="B36" s="114" t="s">
        <v>115</v>
      </c>
      <c r="C36" s="109" t="str">
        <f>VLOOKUP(Table25755252691013434446[[#This Row],[PEG]],Table1016[#All],2,FALSE)</f>
        <v>Now, what is the expiration date?  Just say it like this, March &lt;Current Year +3&gt; 
Now go ahead.</v>
      </c>
      <c r="D36" s="143" t="s">
        <v>323</v>
      </c>
      <c r="E36" s="125"/>
    </row>
    <row r="37" spans="1:5" s="97" customFormat="1" x14ac:dyDescent="0.35">
      <c r="A37" s="118">
        <v>30</v>
      </c>
      <c r="B37" s="114" t="s">
        <v>124</v>
      </c>
      <c r="C37" s="109" t="s">
        <v>399</v>
      </c>
      <c r="D37" s="143"/>
      <c r="E37" s="125"/>
    </row>
    <row r="38" spans="1:5" s="97" customFormat="1" ht="29" x14ac:dyDescent="0.35">
      <c r="A38" s="118">
        <v>31</v>
      </c>
      <c r="B38" s="114" t="s">
        <v>115</v>
      </c>
      <c r="C38" s="109" t="str">
        <f>VLOOKUP(Table25755252691013434446[[#This Row],[PEG]],Table1016[#All],2,FALSE)</f>
        <v>To confirm, you want to pay &lt;ivrPmtAmt&gt; with a card ending in &lt;last 4 digits of ivrCardNbr&gt;.
Is that right?</v>
      </c>
      <c r="D38" s="143" t="s">
        <v>326</v>
      </c>
      <c r="E38" s="125"/>
    </row>
    <row r="39" spans="1:5" s="97" customFormat="1" x14ac:dyDescent="0.35">
      <c r="A39" s="118">
        <v>32</v>
      </c>
      <c r="B39" s="114" t="s">
        <v>124</v>
      </c>
      <c r="C39" s="109" t="s">
        <v>388</v>
      </c>
      <c r="D39" s="143"/>
      <c r="E39" s="125"/>
    </row>
    <row r="40" spans="1:5" s="97" customFormat="1" ht="333.5" x14ac:dyDescent="0.35">
      <c r="A40" s="118">
        <v>33</v>
      </c>
      <c r="B40" s="114" t="s">
        <v>12</v>
      </c>
      <c r="C40" s="109" t="str">
        <f>VLOOKUP(Table25755252691013434446[[#This Row],[PEG]],Table1016[#All],2,FALSE)</f>
        <v xml:space="preserve">CyberSource – CYB02_AuthCard
Input a card_tokenId or a card_number.
inputs:
clientReference_code = IVR.sessionid+"-" +paymentCount
card_tokenId = ivrStoredCardTokenId	
card_number = ivrCardNbr
card_expirationMonth	= ivrCardExpMM		
card_expirationYear = ivrCardExpYYYY			
totalAmount = ivrPmtAmt		
first_name =
last_name =
actionTokenizeFlag = true		
outputs:
CYB02_submitTimeUtc	
CYB02_id	
CYB02_status	
CYB02_approvalCode					
CYB02_responseCode	
CYB02_errorReason
CYB02_errorMesssage
CYB02_cardTokenId	</v>
      </c>
      <c r="D40" s="143" t="s">
        <v>382</v>
      </c>
      <c r="E40" s="125"/>
    </row>
    <row r="41" spans="1:5" s="97" customFormat="1" ht="232" x14ac:dyDescent="0.35">
      <c r="A41" s="118">
        <v>34</v>
      </c>
      <c r="B41" s="114" t="s">
        <v>12</v>
      </c>
      <c r="C41" s="109" t="str">
        <f>VLOOKUP(Table25755252691013434446[[#This Row],[PEG]],Table1016[#All],2,FALSE)</f>
        <v>SAP HANA - SAP03_CardPaymentNotification
inputs:
Businesspartner   = SAP01_Partner
Insobject                 = SAP01_Insobject
subscriberID	    = CYB02_cardTokenId
Type		    = ivrCardType	             
Name                        = ivrFirstName + ' ' + ivrLastName				
Expiration	    = ivrExpiration 
Recurring	    = ivrRecurring  
Stored		    = ivrPmtMethodStored  
Last4Digits	    = ivrLast4Digits 
Paymentamount  = ivrPmtAmt 
ReferenceNumber= CYB02_approvalCode
outputs:
SAP03_ConfirmationNum  Payment Confirmation Number</v>
      </c>
      <c r="D41" s="143" t="s">
        <v>374</v>
      </c>
      <c r="E41" s="125"/>
    </row>
    <row r="42" spans="1:5" s="97" customFormat="1" ht="29" x14ac:dyDescent="0.35">
      <c r="A42" s="118">
        <v>35</v>
      </c>
      <c r="B42" s="114" t="s">
        <v>115</v>
      </c>
      <c r="C42" s="109" t="str">
        <f>VLOOKUP(Table25755252691013434446[[#This Row],[PEG]],Table1016[#All],2,FALSE)</f>
        <v>Today's payment in the amount of &lt;ivrPmtAmt&gt;, has been processed.  Your confirmation number is &lt;ivrConfirmationNum&gt;. Again, that confirmation number is &lt;ivrConfirmationNum&gt;.</v>
      </c>
      <c r="D42" s="143" t="s">
        <v>340</v>
      </c>
      <c r="E42" s="125"/>
    </row>
    <row r="43" spans="1:5" s="97" customFormat="1" x14ac:dyDescent="0.35">
      <c r="A43" s="118">
        <v>36</v>
      </c>
      <c r="B43" s="114" t="s">
        <v>115</v>
      </c>
      <c r="C43" s="109" t="str">
        <f>VLOOKUP(Table25755252691013434446[[#This Row],[PEG]],Table1016[#All],2,FALSE)</f>
        <v>Would you like me to text the confirmation number?</v>
      </c>
      <c r="D43" s="143" t="s">
        <v>341</v>
      </c>
      <c r="E43" s="125"/>
    </row>
    <row r="44" spans="1:5" s="97" customFormat="1" x14ac:dyDescent="0.35">
      <c r="A44" s="118">
        <v>37</v>
      </c>
      <c r="B44" s="114" t="s">
        <v>124</v>
      </c>
      <c r="C44" s="109" t="s">
        <v>390</v>
      </c>
      <c r="D44" s="143"/>
      <c r="E44" s="125"/>
    </row>
    <row r="45" spans="1:5" s="97" customFormat="1" ht="29" x14ac:dyDescent="0.35">
      <c r="A45" s="118">
        <v>38</v>
      </c>
      <c r="B45" s="114" t="s">
        <v>115</v>
      </c>
      <c r="C45" s="109" t="str">
        <f>VLOOKUP(Table25755252691013434446[[#This Row],[PEG]],Table1016[#All],2,FALSE)</f>
        <v>Thank you for your payment today.  For future transactions, you can access your plan details or manage your account anytime online at members.lacare.com.</v>
      </c>
      <c r="D45" s="143" t="s">
        <v>364</v>
      </c>
      <c r="E45" s="125"/>
    </row>
    <row r="46" spans="1:5" x14ac:dyDescent="0.35">
      <c r="A46" s="118">
        <v>39</v>
      </c>
      <c r="B46" s="114" t="s">
        <v>13</v>
      </c>
      <c r="C46" s="109" t="s">
        <v>13</v>
      </c>
      <c r="D46" s="153"/>
      <c r="E46" s="32"/>
    </row>
    <row r="47" spans="1:5" x14ac:dyDescent="0.35">
      <c r="C47" s="26"/>
      <c r="D47" s="111" t="s">
        <v>0</v>
      </c>
    </row>
    <row r="48" spans="1:5" x14ac:dyDescent="0.35">
      <c r="C48" s="26"/>
    </row>
    <row r="49" spans="3:3" x14ac:dyDescent="0.35">
      <c r="C49" s="26"/>
    </row>
    <row r="50" spans="3:3" x14ac:dyDescent="0.35">
      <c r="C50" s="26"/>
    </row>
    <row r="51" spans="3:3" x14ac:dyDescent="0.35">
      <c r="C51" s="26"/>
    </row>
    <row r="52" spans="3:3" x14ac:dyDescent="0.35">
      <c r="C52" s="26"/>
    </row>
    <row r="53" spans="3:3" x14ac:dyDescent="0.35">
      <c r="C53" s="26"/>
    </row>
    <row r="54" spans="3:3" x14ac:dyDescent="0.35">
      <c r="C54" s="26"/>
    </row>
    <row r="55" spans="3:3" x14ac:dyDescent="0.35">
      <c r="C55" s="26"/>
    </row>
    <row r="56" spans="3:3" x14ac:dyDescent="0.35">
      <c r="C56" s="26"/>
    </row>
    <row r="57" spans="3:3" x14ac:dyDescent="0.35">
      <c r="C57" s="26"/>
    </row>
    <row r="58" spans="3:3" x14ac:dyDescent="0.35">
      <c r="C58" s="26"/>
    </row>
    <row r="59" spans="3:3" x14ac:dyDescent="0.35">
      <c r="C59" s="26"/>
    </row>
    <row r="60" spans="3:3" x14ac:dyDescent="0.35">
      <c r="C60" s="26"/>
    </row>
    <row r="61" spans="3:3" x14ac:dyDescent="0.35">
      <c r="C61" s="26"/>
    </row>
    <row r="62" spans="3:3" x14ac:dyDescent="0.35">
      <c r="C62" s="27"/>
    </row>
    <row r="63" spans="3:3" x14ac:dyDescent="0.35">
      <c r="C63" s="27"/>
    </row>
    <row r="64" spans="3:3" x14ac:dyDescent="0.35">
      <c r="C64" s="27"/>
    </row>
  </sheetData>
  <mergeCells count="1">
    <mergeCell ref="A1:B1"/>
  </mergeCells>
  <conditionalFormatting sqref="E46">
    <cfRule type="containsText" dxfId="5588" priority="34" operator="containsText" text="WEB SERVICE">
      <formula>NOT(ISERROR(SEARCH("WEB SERVICE",E46)))</formula>
    </cfRule>
    <cfRule type="containsText" dxfId="5587" priority="35" operator="containsText" text="DB">
      <formula>NOT(ISERROR(SEARCH("DB",E46)))</formula>
    </cfRule>
  </conditionalFormatting>
  <conditionalFormatting sqref="C25:C10003 C17:C22">
    <cfRule type="expression" dxfId="5586" priority="37">
      <formula>$B17="Dial"</formula>
    </cfRule>
    <cfRule type="expression" dxfId="5585" priority="39">
      <formula>$B17="HANGUP"</formula>
    </cfRule>
  </conditionalFormatting>
  <conditionalFormatting sqref="C8 C16">
    <cfRule type="expression" dxfId="5584" priority="11">
      <formula>$B8="Dial"</formula>
    </cfRule>
    <cfRule type="expression" dxfId="5583" priority="12">
      <formula>$B8="HANGUP"</formula>
    </cfRule>
  </conditionalFormatting>
  <conditionalFormatting sqref="B8:B46">
    <cfRule type="containsText" dxfId="5582" priority="15" operator="containsText" text="Hear">
      <formula>NOT(ISERROR(SEARCH("Hear",B8)))</formula>
    </cfRule>
  </conditionalFormatting>
  <conditionalFormatting sqref="C15 C9:C13">
    <cfRule type="expression" dxfId="5581" priority="16">
      <formula>$B9="Dial"</formula>
    </cfRule>
    <cfRule type="expression" dxfId="5580" priority="18">
      <formula>$B9="HANGUP"</formula>
    </cfRule>
  </conditionalFormatting>
  <conditionalFormatting sqref="C15 C9:C13 C25:C46 C17:C22">
    <cfRule type="expression" dxfId="5579" priority="17">
      <formula>$B9="Speak"</formula>
    </cfRule>
  </conditionalFormatting>
  <conditionalFormatting sqref="C14">
    <cfRule type="expression" dxfId="5578" priority="13">
      <formula>$B14="Dial"</formula>
    </cfRule>
    <cfRule type="expression" dxfId="5577" priority="14">
      <formula>$B14="HANGUP"</formula>
    </cfRule>
  </conditionalFormatting>
  <conditionalFormatting sqref="C23">
    <cfRule type="expression" dxfId="5576" priority="4">
      <formula>$B23="Dial"</formula>
    </cfRule>
    <cfRule type="expression" dxfId="5575" priority="6">
      <formula>$B23="HANGUP"</formula>
    </cfRule>
  </conditionalFormatting>
  <conditionalFormatting sqref="C23">
    <cfRule type="expression" dxfId="5574" priority="5">
      <formula>$B23="Speak"</formula>
    </cfRule>
  </conditionalFormatting>
  <conditionalFormatting sqref="C24">
    <cfRule type="expression" dxfId="5573" priority="1">
      <formula>$B24="Dial"</formula>
    </cfRule>
    <cfRule type="expression" dxfId="5572" priority="3">
      <formula>$B24="HANGUP"</formula>
    </cfRule>
  </conditionalFormatting>
  <conditionalFormatting sqref="C24">
    <cfRule type="expression" dxfId="5571" priority="2">
      <formula>$B24="Speak"</formula>
    </cfRule>
  </conditionalFormatting>
  <hyperlinks>
    <hyperlink ref="A1" location="'Test Case Overview'!A1" display="Return to Test Case Overview" xr:uid="{00000000-0004-0000-1200-000000000000}"/>
  </hyperlinks>
  <pageMargins left="0.7" right="0.7" top="0.75" bottom="0.75" header="0.3" footer="0.3"/>
  <pageSetup orientation="portrait" r:id="rId1"/>
  <tableParts count="1">
    <tablePart r:id="rId2"/>
  </tableParts>
  <extLst>
    <ext xmlns:x14="http://schemas.microsoft.com/office/spreadsheetml/2009/9/main" uri="{78C0D931-6437-407d-A8EE-F0AAD7539E65}">
      <x14:conditionalFormattings>
        <x14:conditionalFormatting xmlns:xm="http://schemas.microsoft.com/office/excel/2006/main">
          <x14:cfRule type="containsText" priority="772" operator="containsText" text="WEB SERVICE" id="{0B529BBC-7593-466C-97CA-1BF96E4B09FE}">
            <xm:f>NOT(ISERROR(SEARCH("WEB SERVICE",'TC1'!#REF!)))</xm:f>
            <x14:dxf>
              <font>
                <color rgb="FF9C0006"/>
              </font>
              <fill>
                <patternFill>
                  <bgColor rgb="FFFFC7CE"/>
                </patternFill>
              </fill>
            </x14:dxf>
          </x14:cfRule>
          <x14:cfRule type="containsText" priority="773" operator="containsText" text="DB" id="{9CDDAB4B-85D0-46B2-97D2-4A70F285C333}">
            <xm:f>NOT(ISERROR(SEARCH("DB",'TC1'!#REF!)))</xm:f>
            <x14:dxf>
              <font>
                <color rgb="FF006100"/>
              </font>
              <fill>
                <patternFill>
                  <bgColor rgb="FFC6EFCE"/>
                </patternFill>
              </fill>
            </x14:dxf>
          </x14:cfRule>
          <xm:sqref>E14:E45</xm:sqref>
        </x14:conditionalFormatting>
        <x14:conditionalFormatting xmlns:xm="http://schemas.microsoft.com/office/excel/2006/main">
          <x14:cfRule type="containsText" priority="3623" operator="containsText" text="WEB SERVICE" id="{0B529BBC-7593-466C-97CA-1BF96E4B09FE}">
            <xm:f>NOT(ISERROR(SEARCH("WEB SERVICE",'TC1'!E9)))</xm:f>
            <x14:dxf>
              <font>
                <color rgb="FF9C0006"/>
              </font>
              <fill>
                <patternFill>
                  <bgColor rgb="FFFFC7CE"/>
                </patternFill>
              </fill>
            </x14:dxf>
          </x14:cfRule>
          <x14:cfRule type="containsText" priority="3624" operator="containsText" text="DB" id="{9CDDAB4B-85D0-46B2-97D2-4A70F285C333}">
            <xm:f>NOT(ISERROR(SEARCH("DB",'TC1'!E9)))</xm:f>
            <x14:dxf>
              <font>
                <color rgb="FF006100"/>
              </font>
              <fill>
                <patternFill>
                  <bgColor rgb="FFC6EFCE"/>
                </patternFill>
              </fill>
            </x14:dxf>
          </x14:cfRule>
          <xm:sqref>E9:E12</xm:sqref>
        </x14:conditionalFormatting>
        <x14:conditionalFormatting xmlns:xm="http://schemas.microsoft.com/office/excel/2006/main">
          <x14:cfRule type="containsText" priority="6193" operator="containsText" text="WEB SERVICE" id="{0B529BBC-7593-466C-97CA-1BF96E4B09FE}">
            <xm:f>NOT(ISERROR(SEARCH("WEB SERVICE",'TC1'!E15)))</xm:f>
            <x14:dxf>
              <font>
                <color rgb="FF9C0006"/>
              </font>
              <fill>
                <patternFill>
                  <bgColor rgb="FFFFC7CE"/>
                </patternFill>
              </fill>
            </x14:dxf>
          </x14:cfRule>
          <x14:cfRule type="containsText" priority="6194" operator="containsText" text="DB" id="{9CDDAB4B-85D0-46B2-97D2-4A70F285C333}">
            <xm:f>NOT(ISERROR(SEARCH("DB",'TC1'!E15)))</xm:f>
            <x14:dxf>
              <font>
                <color rgb="FF006100"/>
              </font>
              <fill>
                <patternFill>
                  <bgColor rgb="FFC6EFCE"/>
                </patternFill>
              </fill>
            </x14:dxf>
          </x14:cfRule>
          <xm:sqref>E13</xm:sqref>
        </x14:conditionalFormatting>
      </x14:conditionalFormattings>
    </ext>
  </extLst>
</worksheet>
</file>

<file path=xl/worksheets/sheet1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BD00-000000000000}">
  <sheetPr codeName="Sheet191"/>
  <dimension ref="A1:E44"/>
  <sheetViews>
    <sheetView zoomScaleNormal="100" workbookViewId="0">
      <selection sqref="A1:E44"/>
    </sheetView>
  </sheetViews>
  <sheetFormatPr defaultRowHeight="14.5" x14ac:dyDescent="0.35"/>
  <cols>
    <col min="1" max="1" width="14.453125" bestFit="1" customWidth="1"/>
    <col min="2" max="2" width="42.6328125" customWidth="1"/>
    <col min="3" max="3" width="106.1796875" customWidth="1"/>
    <col min="4" max="4" width="21.81640625" bestFit="1" customWidth="1"/>
    <col min="5" max="5" width="20.6328125" customWidth="1"/>
  </cols>
  <sheetData>
    <row r="1" spans="1:5" ht="18.5" x14ac:dyDescent="0.35">
      <c r="A1" s="192" t="s">
        <v>4</v>
      </c>
      <c r="B1" s="192"/>
      <c r="C1" s="105"/>
      <c r="D1" s="111"/>
      <c r="E1" s="97"/>
    </row>
    <row r="2" spans="1:5" x14ac:dyDescent="0.35">
      <c r="A2" s="106" t="s">
        <v>5</v>
      </c>
      <c r="B2" s="107" t="str">
        <f ca="1">MID(CELL("filename",A1),FIND("]",CELL("filename",A1))+1,LEN(CELL("filename",A1))-FIND("]",CELL("filename",A1)))</f>
        <v>TC189</v>
      </c>
      <c r="C2" s="98"/>
      <c r="D2" s="111"/>
      <c r="E2" s="97"/>
    </row>
    <row r="3" spans="1:5" x14ac:dyDescent="0.35">
      <c r="A3" s="104" t="s">
        <v>19</v>
      </c>
      <c r="B3" s="112" t="e">
        <f ca="1">VLOOKUP(B2,Table53[#All],2,FALSE)</f>
        <v>#N/A</v>
      </c>
      <c r="C3" s="98"/>
      <c r="D3" s="111"/>
      <c r="E3" s="97"/>
    </row>
    <row r="4" spans="1:5" ht="29" x14ac:dyDescent="0.35">
      <c r="A4" s="113" t="s">
        <v>20</v>
      </c>
      <c r="B4" s="99" t="e">
        <f ca="1">VLOOKUP(B2,Table53[#All],4,FALSE)</f>
        <v>#N/A</v>
      </c>
      <c r="C4" s="98"/>
      <c r="D4" s="111"/>
      <c r="E4" s="97"/>
    </row>
    <row r="5" spans="1:5" x14ac:dyDescent="0.35">
      <c r="A5" s="104" t="s">
        <v>6</v>
      </c>
      <c r="B5" s="77" t="e">
        <f ca="1">VLOOKUP(B2,Table53[#All],3,FALSE)</f>
        <v>#N/A</v>
      </c>
      <c r="C5" s="98"/>
      <c r="D5" s="111"/>
      <c r="E5" s="97"/>
    </row>
    <row r="6" spans="1:5" x14ac:dyDescent="0.35">
      <c r="A6" s="97"/>
      <c r="B6" s="97"/>
      <c r="C6" s="98"/>
      <c r="D6" s="111"/>
      <c r="E6" s="97"/>
    </row>
    <row r="7" spans="1:5" ht="15.5" x14ac:dyDescent="0.35">
      <c r="A7" s="100" t="s">
        <v>7</v>
      </c>
      <c r="B7" s="101" t="s">
        <v>8</v>
      </c>
      <c r="C7" s="102" t="s">
        <v>9</v>
      </c>
      <c r="D7" s="102" t="s">
        <v>14</v>
      </c>
      <c r="E7" s="103" t="s">
        <v>10</v>
      </c>
    </row>
    <row r="8" spans="1:5" x14ac:dyDescent="0.35">
      <c r="A8" s="118">
        <v>1</v>
      </c>
      <c r="B8" s="114" t="s">
        <v>114</v>
      </c>
      <c r="C8" s="109" t="s">
        <v>125</v>
      </c>
      <c r="D8" s="128"/>
      <c r="E8" s="125" t="s">
        <v>11</v>
      </c>
    </row>
    <row r="9" spans="1:5" x14ac:dyDescent="0.35">
      <c r="A9" s="118">
        <v>2</v>
      </c>
      <c r="B9" s="114" t="s">
        <v>12</v>
      </c>
      <c r="C9" s="109" t="e">
        <f>VLOOKUP(Table257519913140106110151155170178204287[[#This Row],[PEG]],Table1016[#All],2,FALSE)</f>
        <v>#N/A</v>
      </c>
      <c r="D9" s="128"/>
      <c r="E9" s="125" t="e">
        <f>VLOOKUP(Table257519913140106110151155170178204287[[#This Row],[PEG]],Table1016[#All],3,FALSE)</f>
        <v>#N/A</v>
      </c>
    </row>
    <row r="10" spans="1:5" x14ac:dyDescent="0.35">
      <c r="A10" s="118">
        <v>3</v>
      </c>
      <c r="B10" s="114" t="s">
        <v>115</v>
      </c>
      <c r="C10" s="109" t="e">
        <f>VLOOKUP(Table257519913140106110151155170178204287[[#This Row],[PEG]],Table1016[#All],2,FALSE)</f>
        <v>#N/A</v>
      </c>
      <c r="D10" s="128"/>
      <c r="E10" s="125" t="e">
        <f>VLOOKUP(Table257519913140106110151155170178204287[[#This Row],[PEG]],Table1016[#All],3,FALSE)</f>
        <v>#N/A</v>
      </c>
    </row>
    <row r="11" spans="1:5" x14ac:dyDescent="0.35">
      <c r="A11" s="118">
        <v>4</v>
      </c>
      <c r="B11" s="114" t="s">
        <v>115</v>
      </c>
      <c r="C11" s="109" t="e">
        <f>VLOOKUP(Table257519913140106110151155170178204287[[#This Row],[PEG]],Table1016[#All],2,FALSE)</f>
        <v>#N/A</v>
      </c>
      <c r="D11" s="128"/>
      <c r="E11" s="125" t="e">
        <f>VLOOKUP(Table257519913140106110151155170178204287[[#This Row],[PEG]],Table1016[#All],3,FALSE)</f>
        <v>#N/A</v>
      </c>
    </row>
    <row r="12" spans="1:5" x14ac:dyDescent="0.35">
      <c r="A12" s="118">
        <v>5</v>
      </c>
      <c r="B12" s="114" t="s">
        <v>114</v>
      </c>
      <c r="C12" s="109" t="e">
        <f>VLOOKUP(Table257519913140106110151155170178204287[[#This Row],[PEG]],Table1016[#All],2,FALSE)</f>
        <v>#N/A</v>
      </c>
      <c r="D12" s="128"/>
      <c r="E12" s="125" t="e">
        <f>VLOOKUP(Table257519913140106110151155170178204287[[#This Row],[PEG]],Table1016[#All],3,FALSE)</f>
        <v>#N/A</v>
      </c>
    </row>
    <row r="13" spans="1:5" x14ac:dyDescent="0.35">
      <c r="A13" s="118">
        <v>6</v>
      </c>
      <c r="B13" s="114" t="s">
        <v>115</v>
      </c>
      <c r="C13" s="109" t="e">
        <f>VLOOKUP(Table257519913140106110151155170178204287[[#This Row],[PEG]],Table1016[#All],2,FALSE)</f>
        <v>#N/A</v>
      </c>
      <c r="D13" s="128"/>
      <c r="E13" s="125" t="e">
        <f>VLOOKUP(Table257519913140106110151155170178204287[[#This Row],[PEG]],Table1016[#All],3,FALSE)</f>
        <v>#N/A</v>
      </c>
    </row>
    <row r="14" spans="1:5" x14ac:dyDescent="0.35">
      <c r="A14" s="118">
        <v>7</v>
      </c>
      <c r="B14" s="114" t="s">
        <v>114</v>
      </c>
      <c r="C14" s="109" t="e">
        <f>VLOOKUP(Table257519913140106110151155170178204287[[#This Row],[PEG]],Table1016[#All],2,FALSE)</f>
        <v>#N/A</v>
      </c>
      <c r="D14" s="128"/>
      <c r="E14" s="125" t="e">
        <f>VLOOKUP(Table257519913140106110151155170178204287[[#This Row],[PEG]],Table1016[#All],3,FALSE)</f>
        <v>#N/A</v>
      </c>
    </row>
    <row r="15" spans="1:5" x14ac:dyDescent="0.35">
      <c r="A15" s="118">
        <v>8</v>
      </c>
      <c r="B15" s="114" t="s">
        <v>115</v>
      </c>
      <c r="C15" s="109" t="e">
        <f>VLOOKUP(Table257519913140106110151155170178204287[[#This Row],[PEG]],Table1016[#All],2,FALSE)</f>
        <v>#N/A</v>
      </c>
      <c r="D15" s="116"/>
      <c r="E15" s="125" t="e">
        <f>VLOOKUP(Table257519913140106110151155170178204287[[#This Row],[PEG]],Table1016[#All],3,FALSE)</f>
        <v>#N/A</v>
      </c>
    </row>
    <row r="16" spans="1:5" x14ac:dyDescent="0.35">
      <c r="A16" s="118">
        <v>9</v>
      </c>
      <c r="B16" s="114" t="s">
        <v>12</v>
      </c>
      <c r="C16" s="109" t="e">
        <f>VLOOKUP(Table257519913140106110151155170178204287[[#This Row],[PEG]],Table1016[#All],2,FALSE)</f>
        <v>#N/A</v>
      </c>
      <c r="D16" s="116"/>
      <c r="E16" s="125" t="e">
        <f>VLOOKUP(Table257519913140106110151155170178204287[[#This Row],[PEG]],Table1016[#All],3,FALSE)</f>
        <v>#N/A</v>
      </c>
    </row>
    <row r="17" spans="1:5" x14ac:dyDescent="0.35">
      <c r="A17" s="118">
        <v>10</v>
      </c>
      <c r="B17" s="114" t="s">
        <v>12</v>
      </c>
      <c r="C17" s="109" t="e">
        <f>VLOOKUP(Table257519913140106110151155170178204287[[#This Row],[PEG]],Table1016[#All],2,FALSE)</f>
        <v>#N/A</v>
      </c>
      <c r="D17" s="117"/>
      <c r="E17" s="125" t="e">
        <f>VLOOKUP(Table257519913140106110151155170178204287[[#This Row],[PEG]],Table1016[#All],3,FALSE)</f>
        <v>#N/A</v>
      </c>
    </row>
    <row r="18" spans="1:5" x14ac:dyDescent="0.35">
      <c r="A18" s="118">
        <v>11</v>
      </c>
      <c r="B18" s="114" t="s">
        <v>115</v>
      </c>
      <c r="C18" s="109" t="e">
        <f>VLOOKUP(Table257519913140106110151155170178204287[[#This Row],[PEG]],Table1016[#All],2,FALSE)</f>
        <v>#N/A</v>
      </c>
      <c r="D18" s="117"/>
      <c r="E18" s="125" t="e">
        <f>VLOOKUP(Table257519913140106110151155170178204287[[#This Row],[PEG]],Table1016[#All],3,FALSE)</f>
        <v>#N/A</v>
      </c>
    </row>
    <row r="19" spans="1:5" x14ac:dyDescent="0.35">
      <c r="A19" s="118">
        <v>12</v>
      </c>
      <c r="B19" s="114" t="s">
        <v>115</v>
      </c>
      <c r="C19" s="109" t="e">
        <f>VLOOKUP(Table257519913140106110151155170178204287[[#This Row],[PEG]],Table1016[#All],2,FALSE)</f>
        <v>#N/A</v>
      </c>
      <c r="D19" s="117"/>
      <c r="E19" s="125" t="e">
        <f>VLOOKUP(Table257519913140106110151155170178204287[[#This Row],[PEG]],Table1016[#All],3,FALSE)</f>
        <v>#N/A</v>
      </c>
    </row>
    <row r="20" spans="1:5" x14ac:dyDescent="0.35">
      <c r="A20" s="118">
        <v>13</v>
      </c>
      <c r="B20" s="114" t="s">
        <v>114</v>
      </c>
      <c r="C20" s="109" t="e">
        <f>VLOOKUP(Table257519913140106110151155170178204287[[#This Row],[PEG]],Table1016[#All],2,FALSE)</f>
        <v>#N/A</v>
      </c>
      <c r="D20" s="117"/>
      <c r="E20" s="125" t="e">
        <f>VLOOKUP(Table257519913140106110151155170178204287[[#This Row],[PEG]],Table1016[#All],3,FALSE)</f>
        <v>#N/A</v>
      </c>
    </row>
    <row r="21" spans="1:5" x14ac:dyDescent="0.35">
      <c r="A21" s="118">
        <v>14</v>
      </c>
      <c r="B21" s="114" t="s">
        <v>12</v>
      </c>
      <c r="C21" s="109" t="e">
        <f>VLOOKUP(Table257519913140106110151155170178204287[[#This Row],[PEG]],Table1016[#All],2,FALSE)</f>
        <v>#N/A</v>
      </c>
      <c r="D21" s="117"/>
      <c r="E21" s="125" t="e">
        <f>VLOOKUP(Table257519913140106110151155170178204287[[#This Row],[PEG]],Table1016[#All],3,FALSE)</f>
        <v>#N/A</v>
      </c>
    </row>
    <row r="22" spans="1:5" x14ac:dyDescent="0.35">
      <c r="A22" s="118">
        <v>15</v>
      </c>
      <c r="B22" s="114" t="s">
        <v>12</v>
      </c>
      <c r="C22" s="109" t="e">
        <f>VLOOKUP(Table257519913140106110151155170178204287[[#This Row],[PEG]],Table1016[#All],2,FALSE)</f>
        <v>#N/A</v>
      </c>
      <c r="D22" s="117"/>
      <c r="E22" s="125" t="e">
        <f>VLOOKUP(Table257519913140106110151155170178204287[[#This Row],[PEG]],Table1016[#All],3,FALSE)</f>
        <v>#N/A</v>
      </c>
    </row>
    <row r="23" spans="1:5" x14ac:dyDescent="0.35">
      <c r="A23" s="118">
        <v>16</v>
      </c>
      <c r="B23" s="114" t="s">
        <v>115</v>
      </c>
      <c r="C23" s="109" t="e">
        <f>VLOOKUP(Table257519913140106110151155170178204287[[#This Row],[PEG]],Table1016[#All],2,FALSE)</f>
        <v>#N/A</v>
      </c>
      <c r="D23" s="117"/>
      <c r="E23" s="125" t="e">
        <f>VLOOKUP(Table257519913140106110151155170178204287[[#This Row],[PEG]],Table1016[#All],3,FALSE)</f>
        <v>#N/A</v>
      </c>
    </row>
    <row r="24" spans="1:5" x14ac:dyDescent="0.35">
      <c r="A24" s="118">
        <v>17</v>
      </c>
      <c r="B24" s="114" t="s">
        <v>114</v>
      </c>
      <c r="C24" s="109" t="e">
        <f>VLOOKUP(Table257519913140106110151155170178204287[[#This Row],[PEG]],Table1016[#All],2,FALSE)</f>
        <v>#N/A</v>
      </c>
      <c r="D24" s="117"/>
      <c r="E24" s="125" t="e">
        <f>VLOOKUP(Table257519913140106110151155170178204287[[#This Row],[PEG]],Table1016[#All],3,FALSE)</f>
        <v>#N/A</v>
      </c>
    </row>
    <row r="25" spans="1:5" x14ac:dyDescent="0.35">
      <c r="A25" s="118">
        <v>18</v>
      </c>
      <c r="B25" s="114" t="s">
        <v>12</v>
      </c>
      <c r="C25" s="109" t="e">
        <f>VLOOKUP(Table257519913140106110151155170178204287[[#This Row],[PEG]],Table1016[#All],2,FALSE)</f>
        <v>#N/A</v>
      </c>
      <c r="D25" s="117"/>
      <c r="E25" s="125" t="e">
        <f>VLOOKUP(Table257519913140106110151155170178204287[[#This Row],[PEG]],Table1016[#All],3,FALSE)</f>
        <v>#N/A</v>
      </c>
    </row>
    <row r="26" spans="1:5" x14ac:dyDescent="0.35">
      <c r="A26" s="118">
        <v>19</v>
      </c>
      <c r="B26" s="114" t="s">
        <v>12</v>
      </c>
      <c r="C26" s="109" t="e">
        <f>VLOOKUP(Table257519913140106110151155170178204287[[#This Row],[PEG]],Table1016[#All],2,FALSE)</f>
        <v>#N/A</v>
      </c>
      <c r="D26" s="117"/>
      <c r="E26" s="125" t="e">
        <f>VLOOKUP(Table257519913140106110151155170178204287[[#This Row],[PEG]],Table1016[#All],3,FALSE)</f>
        <v>#N/A</v>
      </c>
    </row>
    <row r="27" spans="1:5" x14ac:dyDescent="0.35">
      <c r="A27" s="118">
        <v>20</v>
      </c>
      <c r="B27" s="114" t="s">
        <v>115</v>
      </c>
      <c r="C27" s="109" t="e">
        <f>VLOOKUP(Table257519913140106110151155170178204287[[#This Row],[PEG]],Table1016[#All],2,FALSE)</f>
        <v>#N/A</v>
      </c>
      <c r="D27" s="117"/>
      <c r="E27" s="125" t="e">
        <f>VLOOKUP(Table257519913140106110151155170178204287[[#This Row],[PEG]],Table1016[#All],3,FALSE)</f>
        <v>#N/A</v>
      </c>
    </row>
    <row r="28" spans="1:5" x14ac:dyDescent="0.35">
      <c r="A28" s="118">
        <v>21</v>
      </c>
      <c r="B28" s="114" t="s">
        <v>114</v>
      </c>
      <c r="C28" s="109" t="e">
        <f>VLOOKUP(Table257519913140106110151155170178204287[[#This Row],[PEG]],Table1016[#All],2,FALSE)</f>
        <v>#N/A</v>
      </c>
      <c r="D28" s="117"/>
      <c r="E28" s="125" t="e">
        <f>VLOOKUP(Table257519913140106110151155170178204287[[#This Row],[PEG]],Table1016[#All],3,FALSE)</f>
        <v>#N/A</v>
      </c>
    </row>
    <row r="29" spans="1:5" x14ac:dyDescent="0.35">
      <c r="A29" s="118">
        <v>22</v>
      </c>
      <c r="B29" s="114" t="s">
        <v>12</v>
      </c>
      <c r="C29" s="109" t="e">
        <f>VLOOKUP(Table257519913140106110151155170178204287[[#This Row],[PEG]],Table1016[#All],2,FALSE)</f>
        <v>#N/A</v>
      </c>
      <c r="D29" s="117"/>
      <c r="E29" s="125" t="e">
        <f>VLOOKUP(Table257519913140106110151155170178204287[[#This Row],[PEG]],Table1016[#All],3,FALSE)</f>
        <v>#N/A</v>
      </c>
    </row>
    <row r="30" spans="1:5" x14ac:dyDescent="0.35">
      <c r="A30" s="118">
        <v>23</v>
      </c>
      <c r="B30" s="114" t="s">
        <v>12</v>
      </c>
      <c r="C30" s="109" t="e">
        <f>VLOOKUP(Table257519913140106110151155170178204287[[#This Row],[PEG]],Table1016[#All],2,FALSE)</f>
        <v>#N/A</v>
      </c>
      <c r="D30" s="117"/>
      <c r="E30" s="125" t="e">
        <f>VLOOKUP(Table257519913140106110151155170178204287[[#This Row],[PEG]],Table1016[#All],3,FALSE)</f>
        <v>#N/A</v>
      </c>
    </row>
    <row r="31" spans="1:5" x14ac:dyDescent="0.35">
      <c r="A31" s="118">
        <v>24</v>
      </c>
      <c r="B31" s="114" t="s">
        <v>115</v>
      </c>
      <c r="C31" s="109" t="e">
        <f>VLOOKUP(Table257519913140106110151155170178204287[[#This Row],[PEG]],Table1016[#All],2,FALSE)</f>
        <v>#N/A</v>
      </c>
      <c r="D31" s="117"/>
      <c r="E31" s="125" t="e">
        <f>VLOOKUP(Table257519913140106110151155170178204287[[#This Row],[PEG]],Table1016[#All],3,FALSE)</f>
        <v>#N/A</v>
      </c>
    </row>
    <row r="32" spans="1:5" x14ac:dyDescent="0.35">
      <c r="A32" s="118">
        <v>25</v>
      </c>
      <c r="B32" s="114" t="s">
        <v>115</v>
      </c>
      <c r="C32" s="109" t="e">
        <f>VLOOKUP(Table257519913140106110151155170178204287[[#This Row],[PEG]],Table1016[#All],2,FALSE)</f>
        <v>#N/A</v>
      </c>
      <c r="D32" s="117"/>
      <c r="E32" s="125" t="e">
        <f>VLOOKUP(Table257519913140106110151155170178204287[[#This Row],[PEG]],Table1016[#All],3,FALSE)</f>
        <v>#N/A</v>
      </c>
    </row>
    <row r="33" spans="1:5" x14ac:dyDescent="0.35">
      <c r="A33" s="118">
        <v>26</v>
      </c>
      <c r="B33" s="114" t="s">
        <v>124</v>
      </c>
      <c r="C33" s="109" t="e">
        <f>VLOOKUP(Table257519913140106110151155170178204287[[#This Row],[PEG]],Table1016[#All],2,FALSE)</f>
        <v>#N/A</v>
      </c>
      <c r="D33" s="117"/>
      <c r="E33" s="125" t="e">
        <f>VLOOKUP(Table257519913140106110151155170178204287[[#This Row],[PEG]],Table1016[#All],3,FALSE)</f>
        <v>#N/A</v>
      </c>
    </row>
    <row r="34" spans="1:5" x14ac:dyDescent="0.35">
      <c r="A34" s="118">
        <v>27</v>
      </c>
      <c r="B34" s="114" t="s">
        <v>115</v>
      </c>
      <c r="C34" s="109" t="e">
        <f>VLOOKUP(Table257519913140106110151155170178204287[[#This Row],[PEG]],Table1016[#All],2,FALSE)</f>
        <v>#N/A</v>
      </c>
      <c r="D34" s="117"/>
      <c r="E34" s="125" t="e">
        <f>VLOOKUP(Table257519913140106110151155170178204287[[#This Row],[PEG]],Table1016[#All],3,FALSE)</f>
        <v>#N/A</v>
      </c>
    </row>
    <row r="35" spans="1:5" x14ac:dyDescent="0.35">
      <c r="A35" s="118">
        <v>28</v>
      </c>
      <c r="B35" s="114" t="s">
        <v>124</v>
      </c>
      <c r="C35" s="109" t="e">
        <f>VLOOKUP(Table257519913140106110151155170178204287[[#This Row],[PEG]],Table1016[#All],2,FALSE)</f>
        <v>#N/A</v>
      </c>
      <c r="D35" s="117"/>
      <c r="E35" s="125" t="e">
        <f>VLOOKUP(Table257519913140106110151155170178204287[[#This Row],[PEG]],Table1016[#All],3,FALSE)</f>
        <v>#N/A</v>
      </c>
    </row>
    <row r="36" spans="1:5" x14ac:dyDescent="0.35">
      <c r="A36" s="118">
        <v>29</v>
      </c>
      <c r="B36" s="114" t="s">
        <v>115</v>
      </c>
      <c r="C36" s="109" t="e">
        <f>VLOOKUP(Table257519913140106110151155170178204287[[#This Row],[PEG]],Table1016[#All],2,FALSE)</f>
        <v>#N/A</v>
      </c>
      <c r="D36" s="117"/>
      <c r="E36" s="125" t="e">
        <f>VLOOKUP(Table257519913140106110151155170178204287[[#This Row],[PEG]],Table1016[#All],3,FALSE)</f>
        <v>#N/A</v>
      </c>
    </row>
    <row r="37" spans="1:5" x14ac:dyDescent="0.35">
      <c r="A37" s="118">
        <v>30</v>
      </c>
      <c r="B37" s="114" t="s">
        <v>12</v>
      </c>
      <c r="C37" s="109" t="e">
        <f>VLOOKUP(Table257519913140106110151155170178204287[[#This Row],[PEG]],Table1016[#All],2,FALSE)</f>
        <v>#N/A</v>
      </c>
      <c r="D37" s="117"/>
      <c r="E37" s="125" t="e">
        <f>VLOOKUP(Table257519913140106110151155170178204287[[#This Row],[PEG]],Table1016[#All],3,FALSE)</f>
        <v>#N/A</v>
      </c>
    </row>
    <row r="38" spans="1:5" x14ac:dyDescent="0.35">
      <c r="A38" s="118">
        <v>31</v>
      </c>
      <c r="B38" s="114" t="s">
        <v>12</v>
      </c>
      <c r="C38" s="109" t="e">
        <f>VLOOKUP(Table257519913140106110151155170178204287[[#This Row],[PEG]],Table1016[#All],2,FALSE)</f>
        <v>#N/A</v>
      </c>
      <c r="D38" s="117"/>
      <c r="E38" s="125" t="e">
        <f>VLOOKUP(Table257519913140106110151155170178204287[[#This Row],[PEG]],Table1016[#All],3,FALSE)</f>
        <v>#N/A</v>
      </c>
    </row>
    <row r="39" spans="1:5" x14ac:dyDescent="0.35">
      <c r="A39" s="118">
        <v>32</v>
      </c>
      <c r="B39" s="114" t="s">
        <v>12</v>
      </c>
      <c r="C39" s="109" t="e">
        <f>VLOOKUP(Table257519913140106110151155170178204287[[#This Row],[PEG]],Table1016[#All],2,FALSE)</f>
        <v>#N/A</v>
      </c>
      <c r="D39" s="117"/>
      <c r="E39" s="125" t="e">
        <f>VLOOKUP(Table257519913140106110151155170178204287[[#This Row],[PEG]],Table1016[#All],3,FALSE)</f>
        <v>#N/A</v>
      </c>
    </row>
    <row r="40" spans="1:5" x14ac:dyDescent="0.35">
      <c r="A40" s="118">
        <v>33</v>
      </c>
      <c r="B40" s="114" t="s">
        <v>12</v>
      </c>
      <c r="C40" s="109" t="e">
        <f>VLOOKUP(Table257519913140106110151155170178204287[[#This Row],[PEG]],Table1016[#All],2,FALSE)</f>
        <v>#N/A</v>
      </c>
      <c r="D40" s="117"/>
      <c r="E40" s="125" t="e">
        <f>VLOOKUP(Table257519913140106110151155170178204287[[#This Row],[PEG]],Table1016[#All],3,FALSE)</f>
        <v>#N/A</v>
      </c>
    </row>
    <row r="41" spans="1:5" x14ac:dyDescent="0.35">
      <c r="A41" s="118">
        <v>34</v>
      </c>
      <c r="B41" s="114" t="s">
        <v>115</v>
      </c>
      <c r="C41" s="109" t="e">
        <f>VLOOKUP(Table257519913140106110151155170178204287[[#This Row],[PEG]],Table1016[#All],2,FALSE)</f>
        <v>#N/A</v>
      </c>
      <c r="D41" s="117"/>
      <c r="E41" s="125" t="e">
        <f>VLOOKUP(Table257519913140106110151155170178204287[[#This Row],[PEG]],Table1016[#All],3,FALSE)</f>
        <v>#N/A</v>
      </c>
    </row>
    <row r="42" spans="1:5" x14ac:dyDescent="0.35">
      <c r="A42" s="118">
        <v>35</v>
      </c>
      <c r="B42" s="114" t="s">
        <v>12</v>
      </c>
      <c r="C42" s="109" t="e">
        <f>VLOOKUP(Table257519913140106110151155170178204287[[#This Row],[PEG]],Table1016[#All],2,FALSE)</f>
        <v>#N/A</v>
      </c>
      <c r="D42" s="115"/>
      <c r="E42" s="125" t="e">
        <f>VLOOKUP(Table257519913140106110151155170178204287[[#This Row],[PEG]],Table1016[#All],3,FALSE)</f>
        <v>#N/A</v>
      </c>
    </row>
    <row r="43" spans="1:5" x14ac:dyDescent="0.35">
      <c r="A43" s="118">
        <v>36</v>
      </c>
      <c r="B43" s="114" t="s">
        <v>115</v>
      </c>
      <c r="C43" s="109" t="e">
        <f>VLOOKUP(Table257519913140106110151155170178204287[[#This Row],[PEG]],Table1016[#All],2,FALSE)</f>
        <v>#N/A</v>
      </c>
      <c r="D43" s="115"/>
      <c r="E43" s="125" t="e">
        <f>VLOOKUP(Table257519913140106110151155170178204287[[#This Row],[PEG]],Table1016[#All],3,FALSE)</f>
        <v>#N/A</v>
      </c>
    </row>
    <row r="44" spans="1:5" x14ac:dyDescent="0.35">
      <c r="A44" s="118">
        <v>37</v>
      </c>
      <c r="B44" s="114" t="s">
        <v>13</v>
      </c>
      <c r="C44" s="18" t="s">
        <v>13</v>
      </c>
      <c r="D44" s="115"/>
      <c r="E44" s="32"/>
    </row>
  </sheetData>
  <mergeCells count="1">
    <mergeCell ref="A1:B1"/>
  </mergeCells>
  <conditionalFormatting sqref="B8:B18">
    <cfRule type="containsText" dxfId="285" priority="1" operator="containsText" text="Hear">
      <formula>NOT(ISERROR(SEARCH("Hear",B8)))</formula>
    </cfRule>
  </conditionalFormatting>
  <conditionalFormatting sqref="B30">
    <cfRule type="containsText" dxfId="284" priority="4" operator="containsText" text="Hear">
      <formula>NOT(ISERROR(SEARCH("Hear",B30)))</formula>
    </cfRule>
  </conditionalFormatting>
  <conditionalFormatting sqref="B43:B44">
    <cfRule type="containsText" dxfId="283" priority="8" operator="containsText" text="Hear">
      <formula>NOT(ISERROR(SEARCH("Hear",B43)))</formula>
    </cfRule>
  </conditionalFormatting>
  <conditionalFormatting sqref="E44">
    <cfRule type="containsText" dxfId="282" priority="6" operator="containsText" text="WEB SERVICE">
      <formula>NOT(ISERROR(SEARCH("WEB SERVICE",E44)))</formula>
    </cfRule>
    <cfRule type="containsText" dxfId="281" priority="7" operator="containsText" text="DB">
      <formula>NOT(ISERROR(SEARCH("DB",E44)))</formula>
    </cfRule>
  </conditionalFormatting>
  <conditionalFormatting sqref="C44">
    <cfRule type="expression" dxfId="280" priority="9">
      <formula>$B44="Dial"</formula>
    </cfRule>
  </conditionalFormatting>
  <conditionalFormatting sqref="C44">
    <cfRule type="expression" dxfId="279" priority="3">
      <formula>$B44="Speak"</formula>
    </cfRule>
  </conditionalFormatting>
  <conditionalFormatting sqref="B19:B29 B31:B35 B42">
    <cfRule type="containsText" dxfId="278" priority="5" operator="containsText" text="Hear">
      <formula>NOT(ISERROR(SEARCH("Hear",B19)))</formula>
    </cfRule>
  </conditionalFormatting>
  <hyperlinks>
    <hyperlink ref="A1" location="'Test Case Overview'!A1" display="Return to Test Case Overview" xr:uid="{56333D62-DF2E-4687-A9B1-58C452F69C3B}"/>
  </hyperlinks>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expression" priority="2" id="{88EFDF4E-CBA8-4D15-BAE8-7C38011D270E}">
            <xm:f>'TC1'!$B8="HANGUP"</xm:f>
            <x14:dxf>
              <font>
                <b/>
                <i val="0"/>
              </font>
            </x14:dxf>
          </x14:cfRule>
          <xm:sqref>C8</xm:sqref>
        </x14:conditionalFormatting>
        <x14:conditionalFormatting xmlns:xm="http://schemas.microsoft.com/office/excel/2006/main">
          <x14:cfRule type="expression" priority="3402" id="{88EFDF4E-CBA8-4D15-BAE8-7C38011D270E}">
            <xm:f>'TC1'!$B16="HANGUP"</xm:f>
            <x14:dxf>
              <font>
                <b/>
                <i val="0"/>
              </font>
            </x14:dxf>
          </x14:cfRule>
          <xm:sqref>C34:C43</xm:sqref>
        </x14:conditionalFormatting>
        <x14:conditionalFormatting xmlns:xm="http://schemas.microsoft.com/office/excel/2006/main">
          <x14:cfRule type="expression" priority="3403" id="{88EFDF4E-CBA8-4D15-BAE8-7C38011D270E}">
            <xm:f>'TC1'!#REF!="HANGUP"</xm:f>
            <x14:dxf>
              <font>
                <b/>
                <i val="0"/>
              </font>
            </x14:dxf>
          </x14:cfRule>
          <xm:sqref>C17:C33</xm:sqref>
        </x14:conditionalFormatting>
        <x14:conditionalFormatting xmlns:xm="http://schemas.microsoft.com/office/excel/2006/main">
          <x14:cfRule type="expression" priority="6016" id="{88EFDF4E-CBA8-4D15-BAE8-7C38011D270E}">
            <xm:f>'TC1'!$B9="HANGUP"</xm:f>
            <x14:dxf>
              <font>
                <b/>
                <i val="0"/>
              </font>
            </x14:dxf>
          </x14:cfRule>
          <xm:sqref>C12:C15</xm:sqref>
        </x14:conditionalFormatting>
        <x14:conditionalFormatting xmlns:xm="http://schemas.microsoft.com/office/excel/2006/main">
          <x14:cfRule type="expression" priority="6017" id="{88EFDF4E-CBA8-4D15-BAE8-7C38011D270E}">
            <xm:f>'TC1'!#REF!="HANGUP"</xm:f>
            <x14:dxf>
              <font>
                <b/>
                <i val="0"/>
              </font>
            </x14:dxf>
          </x14:cfRule>
          <xm:sqref>C9:C11</xm:sqref>
        </x14:conditionalFormatting>
        <x14:conditionalFormatting xmlns:xm="http://schemas.microsoft.com/office/excel/2006/main">
          <x14:cfRule type="expression" priority="8175" id="{88EFDF4E-CBA8-4D15-BAE8-7C38011D270E}">
            <xm:f>'TC1'!$B15="HANGUP"</xm:f>
            <x14:dxf>
              <font>
                <b/>
                <i val="0"/>
              </font>
            </x14:dxf>
          </x14:cfRule>
          <xm:sqref>C16</xm:sqref>
        </x14:conditionalFormatting>
      </x14:conditionalFormattings>
    </ext>
  </extLst>
</worksheet>
</file>

<file path=xl/worksheets/sheet1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BE00-000000000000}">
  <sheetPr codeName="Sheet192"/>
  <dimension ref="A1:E44"/>
  <sheetViews>
    <sheetView zoomScaleNormal="100" workbookViewId="0">
      <selection sqref="A1:E44"/>
    </sheetView>
  </sheetViews>
  <sheetFormatPr defaultRowHeight="14.5" x14ac:dyDescent="0.35"/>
  <cols>
    <col min="1" max="1" width="14.453125" bestFit="1" customWidth="1"/>
    <col min="2" max="2" width="42.6328125" customWidth="1"/>
    <col min="3" max="3" width="106.1796875" customWidth="1"/>
    <col min="4" max="4" width="21.81640625" bestFit="1" customWidth="1"/>
    <col min="5" max="5" width="20.6328125" customWidth="1"/>
  </cols>
  <sheetData>
    <row r="1" spans="1:5" ht="18.5" x14ac:dyDescent="0.35">
      <c r="A1" s="192" t="s">
        <v>4</v>
      </c>
      <c r="B1" s="192"/>
      <c r="C1" s="105"/>
      <c r="D1" s="111"/>
      <c r="E1" s="97"/>
    </row>
    <row r="2" spans="1:5" x14ac:dyDescent="0.35">
      <c r="A2" s="106" t="s">
        <v>5</v>
      </c>
      <c r="B2" s="107" t="str">
        <f ca="1">MID(CELL("filename",A1),FIND("]",CELL("filename",A1))+1,LEN(CELL("filename",A1))-FIND("]",CELL("filename",A1)))</f>
        <v>TC190</v>
      </c>
      <c r="C2" s="98"/>
      <c r="D2" s="111"/>
      <c r="E2" s="97"/>
    </row>
    <row r="3" spans="1:5" x14ac:dyDescent="0.35">
      <c r="A3" s="104" t="s">
        <v>19</v>
      </c>
      <c r="B3" s="112" t="e">
        <f ca="1">VLOOKUP(B2,Table53[#All],2,FALSE)</f>
        <v>#N/A</v>
      </c>
      <c r="C3" s="98"/>
      <c r="D3" s="111"/>
      <c r="E3" s="97"/>
    </row>
    <row r="4" spans="1:5" ht="29" x14ac:dyDescent="0.35">
      <c r="A4" s="113" t="s">
        <v>20</v>
      </c>
      <c r="B4" s="99" t="e">
        <f ca="1">VLOOKUP(B2,Table53[#All],4,FALSE)</f>
        <v>#N/A</v>
      </c>
      <c r="C4" s="98"/>
      <c r="D4" s="111"/>
      <c r="E4" s="97"/>
    </row>
    <row r="5" spans="1:5" x14ac:dyDescent="0.35">
      <c r="A5" s="104" t="s">
        <v>6</v>
      </c>
      <c r="B5" s="77" t="e">
        <f ca="1">VLOOKUP(B2,Table53[#All],3,FALSE)</f>
        <v>#N/A</v>
      </c>
      <c r="C5" s="98"/>
      <c r="D5" s="111"/>
      <c r="E5" s="97"/>
    </row>
    <row r="6" spans="1:5" x14ac:dyDescent="0.35">
      <c r="A6" s="97"/>
      <c r="B6" s="97"/>
      <c r="C6" s="98"/>
      <c r="D6" s="111"/>
      <c r="E6" s="97"/>
    </row>
    <row r="7" spans="1:5" ht="15.5" x14ac:dyDescent="0.35">
      <c r="A7" s="100" t="s">
        <v>7</v>
      </c>
      <c r="B7" s="101" t="s">
        <v>8</v>
      </c>
      <c r="C7" s="102" t="s">
        <v>9</v>
      </c>
      <c r="D7" s="102" t="s">
        <v>14</v>
      </c>
      <c r="E7" s="103" t="s">
        <v>10</v>
      </c>
    </row>
    <row r="8" spans="1:5" x14ac:dyDescent="0.35">
      <c r="A8" s="118">
        <v>1</v>
      </c>
      <c r="B8" s="114" t="s">
        <v>114</v>
      </c>
      <c r="C8" s="109" t="s">
        <v>125</v>
      </c>
      <c r="D8" s="128"/>
      <c r="E8" s="125" t="s">
        <v>11</v>
      </c>
    </row>
    <row r="9" spans="1:5" x14ac:dyDescent="0.35">
      <c r="A9" s="118">
        <v>2</v>
      </c>
      <c r="B9" s="114" t="s">
        <v>12</v>
      </c>
      <c r="C9" s="109" t="e">
        <f>VLOOKUP(Table257519913140106110151155170178204289[[#This Row],[PEG]],Table1016[#All],2,FALSE)</f>
        <v>#N/A</v>
      </c>
      <c r="D9" s="128"/>
      <c r="E9" s="125" t="e">
        <f>VLOOKUP(Table257519913140106110151155170178204289[[#This Row],[PEG]],Table1016[#All],3,FALSE)</f>
        <v>#N/A</v>
      </c>
    </row>
    <row r="10" spans="1:5" x14ac:dyDescent="0.35">
      <c r="A10" s="118">
        <v>3</v>
      </c>
      <c r="B10" s="114" t="s">
        <v>115</v>
      </c>
      <c r="C10" s="109" t="e">
        <f>VLOOKUP(Table257519913140106110151155170178204289[[#This Row],[PEG]],Table1016[#All],2,FALSE)</f>
        <v>#N/A</v>
      </c>
      <c r="D10" s="128"/>
      <c r="E10" s="125" t="e">
        <f>VLOOKUP(Table257519913140106110151155170178204289[[#This Row],[PEG]],Table1016[#All],3,FALSE)</f>
        <v>#N/A</v>
      </c>
    </row>
    <row r="11" spans="1:5" x14ac:dyDescent="0.35">
      <c r="A11" s="118">
        <v>4</v>
      </c>
      <c r="B11" s="114" t="s">
        <v>115</v>
      </c>
      <c r="C11" s="109" t="e">
        <f>VLOOKUP(Table257519913140106110151155170178204289[[#This Row],[PEG]],Table1016[#All],2,FALSE)</f>
        <v>#N/A</v>
      </c>
      <c r="D11" s="128"/>
      <c r="E11" s="125" t="e">
        <f>VLOOKUP(Table257519913140106110151155170178204289[[#This Row],[PEG]],Table1016[#All],3,FALSE)</f>
        <v>#N/A</v>
      </c>
    </row>
    <row r="12" spans="1:5" x14ac:dyDescent="0.35">
      <c r="A12" s="118">
        <v>5</v>
      </c>
      <c r="B12" s="114" t="s">
        <v>114</v>
      </c>
      <c r="C12" s="109" t="e">
        <f>VLOOKUP(Table257519913140106110151155170178204289[[#This Row],[PEG]],Table1016[#All],2,FALSE)</f>
        <v>#N/A</v>
      </c>
      <c r="D12" s="128"/>
      <c r="E12" s="125" t="e">
        <f>VLOOKUP(Table257519913140106110151155170178204289[[#This Row],[PEG]],Table1016[#All],3,FALSE)</f>
        <v>#N/A</v>
      </c>
    </row>
    <row r="13" spans="1:5" x14ac:dyDescent="0.35">
      <c r="A13" s="118">
        <v>6</v>
      </c>
      <c r="B13" s="114" t="s">
        <v>115</v>
      </c>
      <c r="C13" s="109" t="e">
        <f>VLOOKUP(Table257519913140106110151155170178204289[[#This Row],[PEG]],Table1016[#All],2,FALSE)</f>
        <v>#N/A</v>
      </c>
      <c r="D13" s="128"/>
      <c r="E13" s="125" t="e">
        <f>VLOOKUP(Table257519913140106110151155170178204289[[#This Row],[PEG]],Table1016[#All],3,FALSE)</f>
        <v>#N/A</v>
      </c>
    </row>
    <row r="14" spans="1:5" x14ac:dyDescent="0.35">
      <c r="A14" s="118">
        <v>7</v>
      </c>
      <c r="B14" s="114" t="s">
        <v>114</v>
      </c>
      <c r="C14" s="109" t="e">
        <f>VLOOKUP(Table257519913140106110151155170178204289[[#This Row],[PEG]],Table1016[#All],2,FALSE)</f>
        <v>#N/A</v>
      </c>
      <c r="D14" s="128"/>
      <c r="E14" s="125" t="e">
        <f>VLOOKUP(Table257519913140106110151155170178204289[[#This Row],[PEG]],Table1016[#All],3,FALSE)</f>
        <v>#N/A</v>
      </c>
    </row>
    <row r="15" spans="1:5" x14ac:dyDescent="0.35">
      <c r="A15" s="118">
        <v>8</v>
      </c>
      <c r="B15" s="114" t="s">
        <v>115</v>
      </c>
      <c r="C15" s="109" t="e">
        <f>VLOOKUP(Table257519913140106110151155170178204289[[#This Row],[PEG]],Table1016[#All],2,FALSE)</f>
        <v>#N/A</v>
      </c>
      <c r="D15" s="116"/>
      <c r="E15" s="125" t="e">
        <f>VLOOKUP(Table257519913140106110151155170178204289[[#This Row],[PEG]],Table1016[#All],3,FALSE)</f>
        <v>#N/A</v>
      </c>
    </row>
    <row r="16" spans="1:5" x14ac:dyDescent="0.35">
      <c r="A16" s="118">
        <v>9</v>
      </c>
      <c r="B16" s="114" t="s">
        <v>12</v>
      </c>
      <c r="C16" s="109" t="e">
        <f>VLOOKUP(Table257519913140106110151155170178204289[[#This Row],[PEG]],Table1016[#All],2,FALSE)</f>
        <v>#N/A</v>
      </c>
      <c r="D16" s="116"/>
      <c r="E16" s="125" t="e">
        <f>VLOOKUP(Table257519913140106110151155170178204289[[#This Row],[PEG]],Table1016[#All],3,FALSE)</f>
        <v>#N/A</v>
      </c>
    </row>
    <row r="17" spans="1:5" x14ac:dyDescent="0.35">
      <c r="A17" s="118">
        <v>10</v>
      </c>
      <c r="B17" s="114" t="s">
        <v>12</v>
      </c>
      <c r="C17" s="109" t="e">
        <f>VLOOKUP(Table257519913140106110151155170178204289[[#This Row],[PEG]],Table1016[#All],2,FALSE)</f>
        <v>#N/A</v>
      </c>
      <c r="D17" s="117"/>
      <c r="E17" s="125" t="e">
        <f>VLOOKUP(Table257519913140106110151155170178204289[[#This Row],[PEG]],Table1016[#All],3,FALSE)</f>
        <v>#N/A</v>
      </c>
    </row>
    <row r="18" spans="1:5" x14ac:dyDescent="0.35">
      <c r="A18" s="118">
        <v>11</v>
      </c>
      <c r="B18" s="114" t="s">
        <v>115</v>
      </c>
      <c r="C18" s="109" t="e">
        <f>VLOOKUP(Table257519913140106110151155170178204289[[#This Row],[PEG]],Table1016[#All],2,FALSE)</f>
        <v>#N/A</v>
      </c>
      <c r="D18" s="117"/>
      <c r="E18" s="125" t="e">
        <f>VLOOKUP(Table257519913140106110151155170178204289[[#This Row],[PEG]],Table1016[#All],3,FALSE)</f>
        <v>#N/A</v>
      </c>
    </row>
    <row r="19" spans="1:5" x14ac:dyDescent="0.35">
      <c r="A19" s="118">
        <v>12</v>
      </c>
      <c r="B19" s="114" t="s">
        <v>115</v>
      </c>
      <c r="C19" s="109" t="e">
        <f>VLOOKUP(Table257519913140106110151155170178204289[[#This Row],[PEG]],Table1016[#All],2,FALSE)</f>
        <v>#N/A</v>
      </c>
      <c r="D19" s="117"/>
      <c r="E19" s="125" t="e">
        <f>VLOOKUP(Table257519913140106110151155170178204289[[#This Row],[PEG]],Table1016[#All],3,FALSE)</f>
        <v>#N/A</v>
      </c>
    </row>
    <row r="20" spans="1:5" x14ac:dyDescent="0.35">
      <c r="A20" s="118">
        <v>13</v>
      </c>
      <c r="B20" s="114" t="s">
        <v>114</v>
      </c>
      <c r="C20" s="109" t="e">
        <f>VLOOKUP(Table257519913140106110151155170178204289[[#This Row],[PEG]],Table1016[#All],2,FALSE)</f>
        <v>#N/A</v>
      </c>
      <c r="D20" s="117"/>
      <c r="E20" s="125" t="e">
        <f>VLOOKUP(Table257519913140106110151155170178204289[[#This Row],[PEG]],Table1016[#All],3,FALSE)</f>
        <v>#N/A</v>
      </c>
    </row>
    <row r="21" spans="1:5" x14ac:dyDescent="0.35">
      <c r="A21" s="118">
        <v>14</v>
      </c>
      <c r="B21" s="114" t="s">
        <v>12</v>
      </c>
      <c r="C21" s="109" t="e">
        <f>VLOOKUP(Table257519913140106110151155170178204289[[#This Row],[PEG]],Table1016[#All],2,FALSE)</f>
        <v>#N/A</v>
      </c>
      <c r="D21" s="117"/>
      <c r="E21" s="125" t="e">
        <f>VLOOKUP(Table257519913140106110151155170178204289[[#This Row],[PEG]],Table1016[#All],3,FALSE)</f>
        <v>#N/A</v>
      </c>
    </row>
    <row r="22" spans="1:5" x14ac:dyDescent="0.35">
      <c r="A22" s="118">
        <v>15</v>
      </c>
      <c r="B22" s="114" t="s">
        <v>12</v>
      </c>
      <c r="C22" s="109" t="e">
        <f>VLOOKUP(Table257519913140106110151155170178204289[[#This Row],[PEG]],Table1016[#All],2,FALSE)</f>
        <v>#N/A</v>
      </c>
      <c r="D22" s="117"/>
      <c r="E22" s="125" t="e">
        <f>VLOOKUP(Table257519913140106110151155170178204289[[#This Row],[PEG]],Table1016[#All],3,FALSE)</f>
        <v>#N/A</v>
      </c>
    </row>
    <row r="23" spans="1:5" x14ac:dyDescent="0.35">
      <c r="A23" s="118">
        <v>16</v>
      </c>
      <c r="B23" s="114" t="s">
        <v>115</v>
      </c>
      <c r="C23" s="109" t="e">
        <f>VLOOKUP(Table257519913140106110151155170178204289[[#This Row],[PEG]],Table1016[#All],2,FALSE)</f>
        <v>#N/A</v>
      </c>
      <c r="D23" s="117"/>
      <c r="E23" s="125" t="e">
        <f>VLOOKUP(Table257519913140106110151155170178204289[[#This Row],[PEG]],Table1016[#All],3,FALSE)</f>
        <v>#N/A</v>
      </c>
    </row>
    <row r="24" spans="1:5" x14ac:dyDescent="0.35">
      <c r="A24" s="118">
        <v>17</v>
      </c>
      <c r="B24" s="114" t="s">
        <v>114</v>
      </c>
      <c r="C24" s="109" t="e">
        <f>VLOOKUP(Table257519913140106110151155170178204289[[#This Row],[PEG]],Table1016[#All],2,FALSE)</f>
        <v>#N/A</v>
      </c>
      <c r="D24" s="117"/>
      <c r="E24" s="125" t="e">
        <f>VLOOKUP(Table257519913140106110151155170178204289[[#This Row],[PEG]],Table1016[#All],3,FALSE)</f>
        <v>#N/A</v>
      </c>
    </row>
    <row r="25" spans="1:5" x14ac:dyDescent="0.35">
      <c r="A25" s="118">
        <v>18</v>
      </c>
      <c r="B25" s="114" t="s">
        <v>12</v>
      </c>
      <c r="C25" s="109" t="e">
        <f>VLOOKUP(Table257519913140106110151155170178204289[[#This Row],[PEG]],Table1016[#All],2,FALSE)</f>
        <v>#N/A</v>
      </c>
      <c r="D25" s="117"/>
      <c r="E25" s="125" t="e">
        <f>VLOOKUP(Table257519913140106110151155170178204289[[#This Row],[PEG]],Table1016[#All],3,FALSE)</f>
        <v>#N/A</v>
      </c>
    </row>
    <row r="26" spans="1:5" x14ac:dyDescent="0.35">
      <c r="A26" s="118">
        <v>19</v>
      </c>
      <c r="B26" s="114" t="s">
        <v>12</v>
      </c>
      <c r="C26" s="109" t="e">
        <f>VLOOKUP(Table257519913140106110151155170178204289[[#This Row],[PEG]],Table1016[#All],2,FALSE)</f>
        <v>#N/A</v>
      </c>
      <c r="D26" s="117"/>
      <c r="E26" s="125" t="e">
        <f>VLOOKUP(Table257519913140106110151155170178204289[[#This Row],[PEG]],Table1016[#All],3,FALSE)</f>
        <v>#N/A</v>
      </c>
    </row>
    <row r="27" spans="1:5" x14ac:dyDescent="0.35">
      <c r="A27" s="118">
        <v>20</v>
      </c>
      <c r="B27" s="114" t="s">
        <v>115</v>
      </c>
      <c r="C27" s="109" t="e">
        <f>VLOOKUP(Table257519913140106110151155170178204289[[#This Row],[PEG]],Table1016[#All],2,FALSE)</f>
        <v>#N/A</v>
      </c>
      <c r="D27" s="117"/>
      <c r="E27" s="125" t="e">
        <f>VLOOKUP(Table257519913140106110151155170178204289[[#This Row],[PEG]],Table1016[#All],3,FALSE)</f>
        <v>#N/A</v>
      </c>
    </row>
    <row r="28" spans="1:5" x14ac:dyDescent="0.35">
      <c r="A28" s="118">
        <v>21</v>
      </c>
      <c r="B28" s="114" t="s">
        <v>114</v>
      </c>
      <c r="C28" s="109" t="e">
        <f>VLOOKUP(Table257519913140106110151155170178204289[[#This Row],[PEG]],Table1016[#All],2,FALSE)</f>
        <v>#N/A</v>
      </c>
      <c r="D28" s="117"/>
      <c r="E28" s="125" t="e">
        <f>VLOOKUP(Table257519913140106110151155170178204289[[#This Row],[PEG]],Table1016[#All],3,FALSE)</f>
        <v>#N/A</v>
      </c>
    </row>
    <row r="29" spans="1:5" x14ac:dyDescent="0.35">
      <c r="A29" s="118">
        <v>22</v>
      </c>
      <c r="B29" s="114" t="s">
        <v>12</v>
      </c>
      <c r="C29" s="109" t="e">
        <f>VLOOKUP(Table257519913140106110151155170178204289[[#This Row],[PEG]],Table1016[#All],2,FALSE)</f>
        <v>#N/A</v>
      </c>
      <c r="D29" s="117"/>
      <c r="E29" s="125" t="e">
        <f>VLOOKUP(Table257519913140106110151155170178204289[[#This Row],[PEG]],Table1016[#All],3,FALSE)</f>
        <v>#N/A</v>
      </c>
    </row>
    <row r="30" spans="1:5" x14ac:dyDescent="0.35">
      <c r="A30" s="118">
        <v>23</v>
      </c>
      <c r="B30" s="114" t="s">
        <v>12</v>
      </c>
      <c r="C30" s="109" t="e">
        <f>VLOOKUP(Table257519913140106110151155170178204289[[#This Row],[PEG]],Table1016[#All],2,FALSE)</f>
        <v>#N/A</v>
      </c>
      <c r="D30" s="117"/>
      <c r="E30" s="125" t="e">
        <f>VLOOKUP(Table257519913140106110151155170178204289[[#This Row],[PEG]],Table1016[#All],3,FALSE)</f>
        <v>#N/A</v>
      </c>
    </row>
    <row r="31" spans="1:5" x14ac:dyDescent="0.35">
      <c r="A31" s="118">
        <v>24</v>
      </c>
      <c r="B31" s="114" t="s">
        <v>115</v>
      </c>
      <c r="C31" s="109" t="e">
        <f>VLOOKUP(Table257519913140106110151155170178204289[[#This Row],[PEG]],Table1016[#All],2,FALSE)</f>
        <v>#N/A</v>
      </c>
      <c r="D31" s="117"/>
      <c r="E31" s="125" t="e">
        <f>VLOOKUP(Table257519913140106110151155170178204289[[#This Row],[PEG]],Table1016[#All],3,FALSE)</f>
        <v>#N/A</v>
      </c>
    </row>
    <row r="32" spans="1:5" x14ac:dyDescent="0.35">
      <c r="A32" s="118">
        <v>25</v>
      </c>
      <c r="B32" s="114" t="s">
        <v>115</v>
      </c>
      <c r="C32" s="109" t="e">
        <f>VLOOKUP(Table257519913140106110151155170178204289[[#This Row],[PEG]],Table1016[#All],2,FALSE)</f>
        <v>#N/A</v>
      </c>
      <c r="D32" s="117"/>
      <c r="E32" s="125" t="e">
        <f>VLOOKUP(Table257519913140106110151155170178204289[[#This Row],[PEG]],Table1016[#All],3,FALSE)</f>
        <v>#N/A</v>
      </c>
    </row>
    <row r="33" spans="1:5" x14ac:dyDescent="0.35">
      <c r="A33" s="118">
        <v>26</v>
      </c>
      <c r="B33" s="114" t="s">
        <v>124</v>
      </c>
      <c r="C33" s="109" t="e">
        <f>VLOOKUP(Table257519913140106110151155170178204289[[#This Row],[PEG]],Table1016[#All],2,FALSE)</f>
        <v>#N/A</v>
      </c>
      <c r="D33" s="117"/>
      <c r="E33" s="125" t="e">
        <f>VLOOKUP(Table257519913140106110151155170178204289[[#This Row],[PEG]],Table1016[#All],3,FALSE)</f>
        <v>#N/A</v>
      </c>
    </row>
    <row r="34" spans="1:5" x14ac:dyDescent="0.35">
      <c r="A34" s="118">
        <v>27</v>
      </c>
      <c r="B34" s="114" t="s">
        <v>115</v>
      </c>
      <c r="C34" s="109" t="e">
        <f>VLOOKUP(Table257519913140106110151155170178204289[[#This Row],[PEG]],Table1016[#All],2,FALSE)</f>
        <v>#N/A</v>
      </c>
      <c r="D34" s="117"/>
      <c r="E34" s="125" t="e">
        <f>VLOOKUP(Table257519913140106110151155170178204289[[#This Row],[PEG]],Table1016[#All],3,FALSE)</f>
        <v>#N/A</v>
      </c>
    </row>
    <row r="35" spans="1:5" x14ac:dyDescent="0.35">
      <c r="A35" s="118">
        <v>28</v>
      </c>
      <c r="B35" s="114" t="s">
        <v>124</v>
      </c>
      <c r="C35" s="109" t="e">
        <f>VLOOKUP(Table257519913140106110151155170178204289[[#This Row],[PEG]],Table1016[#All],2,FALSE)</f>
        <v>#N/A</v>
      </c>
      <c r="D35" s="117"/>
      <c r="E35" s="125" t="e">
        <f>VLOOKUP(Table257519913140106110151155170178204289[[#This Row],[PEG]],Table1016[#All],3,FALSE)</f>
        <v>#N/A</v>
      </c>
    </row>
    <row r="36" spans="1:5" x14ac:dyDescent="0.35">
      <c r="A36" s="118">
        <v>29</v>
      </c>
      <c r="B36" s="114" t="s">
        <v>115</v>
      </c>
      <c r="C36" s="109" t="e">
        <f>VLOOKUP(Table257519913140106110151155170178204289[[#This Row],[PEG]],Table1016[#All],2,FALSE)</f>
        <v>#N/A</v>
      </c>
      <c r="D36" s="117"/>
      <c r="E36" s="125" t="e">
        <f>VLOOKUP(Table257519913140106110151155170178204289[[#This Row],[PEG]],Table1016[#All],3,FALSE)</f>
        <v>#N/A</v>
      </c>
    </row>
    <row r="37" spans="1:5" x14ac:dyDescent="0.35">
      <c r="A37" s="118">
        <v>30</v>
      </c>
      <c r="B37" s="114" t="s">
        <v>12</v>
      </c>
      <c r="C37" s="109" t="e">
        <f>VLOOKUP(Table257519913140106110151155170178204289[[#This Row],[PEG]],Table1016[#All],2,FALSE)</f>
        <v>#N/A</v>
      </c>
      <c r="D37" s="117"/>
      <c r="E37" s="125" t="e">
        <f>VLOOKUP(Table257519913140106110151155170178204289[[#This Row],[PEG]],Table1016[#All],3,FALSE)</f>
        <v>#N/A</v>
      </c>
    </row>
    <row r="38" spans="1:5" x14ac:dyDescent="0.35">
      <c r="A38" s="118">
        <v>31</v>
      </c>
      <c r="B38" s="114" t="s">
        <v>12</v>
      </c>
      <c r="C38" s="109" t="e">
        <f>VLOOKUP(Table257519913140106110151155170178204289[[#This Row],[PEG]],Table1016[#All],2,FALSE)</f>
        <v>#N/A</v>
      </c>
      <c r="D38" s="117"/>
      <c r="E38" s="125" t="e">
        <f>VLOOKUP(Table257519913140106110151155170178204289[[#This Row],[PEG]],Table1016[#All],3,FALSE)</f>
        <v>#N/A</v>
      </c>
    </row>
    <row r="39" spans="1:5" x14ac:dyDescent="0.35">
      <c r="A39" s="118">
        <v>32</v>
      </c>
      <c r="B39" s="114" t="s">
        <v>12</v>
      </c>
      <c r="C39" s="109" t="e">
        <f>VLOOKUP(Table257519913140106110151155170178204289[[#This Row],[PEG]],Table1016[#All],2,FALSE)</f>
        <v>#N/A</v>
      </c>
      <c r="D39" s="117"/>
      <c r="E39" s="125" t="e">
        <f>VLOOKUP(Table257519913140106110151155170178204289[[#This Row],[PEG]],Table1016[#All],3,FALSE)</f>
        <v>#N/A</v>
      </c>
    </row>
    <row r="40" spans="1:5" x14ac:dyDescent="0.35">
      <c r="A40" s="118">
        <v>33</v>
      </c>
      <c r="B40" s="114" t="s">
        <v>12</v>
      </c>
      <c r="C40" s="109" t="e">
        <f>VLOOKUP(Table257519913140106110151155170178204289[[#This Row],[PEG]],Table1016[#All],2,FALSE)</f>
        <v>#N/A</v>
      </c>
      <c r="D40" s="117"/>
      <c r="E40" s="125" t="e">
        <f>VLOOKUP(Table257519913140106110151155170178204289[[#This Row],[PEG]],Table1016[#All],3,FALSE)</f>
        <v>#N/A</v>
      </c>
    </row>
    <row r="41" spans="1:5" x14ac:dyDescent="0.35">
      <c r="A41" s="118">
        <v>34</v>
      </c>
      <c r="B41" s="114" t="s">
        <v>115</v>
      </c>
      <c r="C41" s="109" t="e">
        <f>VLOOKUP(Table257519913140106110151155170178204289[[#This Row],[PEG]],Table1016[#All],2,FALSE)</f>
        <v>#N/A</v>
      </c>
      <c r="D41" s="117"/>
      <c r="E41" s="125" t="e">
        <f>VLOOKUP(Table257519913140106110151155170178204289[[#This Row],[PEG]],Table1016[#All],3,FALSE)</f>
        <v>#N/A</v>
      </c>
    </row>
    <row r="42" spans="1:5" x14ac:dyDescent="0.35">
      <c r="A42" s="118">
        <v>35</v>
      </c>
      <c r="B42" s="114" t="s">
        <v>12</v>
      </c>
      <c r="C42" s="109" t="e">
        <f>VLOOKUP(Table257519913140106110151155170178204289[[#This Row],[PEG]],Table1016[#All],2,FALSE)</f>
        <v>#N/A</v>
      </c>
      <c r="D42" s="115"/>
      <c r="E42" s="125" t="e">
        <f>VLOOKUP(Table257519913140106110151155170178204289[[#This Row],[PEG]],Table1016[#All],3,FALSE)</f>
        <v>#N/A</v>
      </c>
    </row>
    <row r="43" spans="1:5" x14ac:dyDescent="0.35">
      <c r="A43" s="118">
        <v>36</v>
      </c>
      <c r="B43" s="114" t="s">
        <v>115</v>
      </c>
      <c r="C43" s="109" t="e">
        <f>VLOOKUP(Table257519913140106110151155170178204289[[#This Row],[PEG]],Table1016[#All],2,FALSE)</f>
        <v>#N/A</v>
      </c>
      <c r="D43" s="115"/>
      <c r="E43" s="125" t="e">
        <f>VLOOKUP(Table257519913140106110151155170178204289[[#This Row],[PEG]],Table1016[#All],3,FALSE)</f>
        <v>#N/A</v>
      </c>
    </row>
    <row r="44" spans="1:5" x14ac:dyDescent="0.35">
      <c r="A44" s="118">
        <v>37</v>
      </c>
      <c r="B44" s="114" t="s">
        <v>13</v>
      </c>
      <c r="C44" s="18" t="s">
        <v>13</v>
      </c>
      <c r="D44" s="115"/>
      <c r="E44" s="32"/>
    </row>
  </sheetData>
  <mergeCells count="1">
    <mergeCell ref="A1:B1"/>
  </mergeCells>
  <conditionalFormatting sqref="B8:B18">
    <cfRule type="containsText" dxfId="271" priority="1" operator="containsText" text="Hear">
      <formula>NOT(ISERROR(SEARCH("Hear",B8)))</formula>
    </cfRule>
  </conditionalFormatting>
  <conditionalFormatting sqref="B30">
    <cfRule type="containsText" dxfId="270" priority="4" operator="containsText" text="Hear">
      <formula>NOT(ISERROR(SEARCH("Hear",B30)))</formula>
    </cfRule>
  </conditionalFormatting>
  <conditionalFormatting sqref="B43:B44">
    <cfRule type="containsText" dxfId="269" priority="8" operator="containsText" text="Hear">
      <formula>NOT(ISERROR(SEARCH("Hear",B43)))</formula>
    </cfRule>
  </conditionalFormatting>
  <conditionalFormatting sqref="E44">
    <cfRule type="containsText" dxfId="268" priority="6" operator="containsText" text="WEB SERVICE">
      <formula>NOT(ISERROR(SEARCH("WEB SERVICE",E44)))</formula>
    </cfRule>
    <cfRule type="containsText" dxfId="267" priority="7" operator="containsText" text="DB">
      <formula>NOT(ISERROR(SEARCH("DB",E44)))</formula>
    </cfRule>
  </conditionalFormatting>
  <conditionalFormatting sqref="C44">
    <cfRule type="expression" dxfId="266" priority="9">
      <formula>$B44="Dial"</formula>
    </cfRule>
  </conditionalFormatting>
  <conditionalFormatting sqref="C44">
    <cfRule type="expression" dxfId="265" priority="3">
      <formula>$B44="Speak"</formula>
    </cfRule>
  </conditionalFormatting>
  <conditionalFormatting sqref="B19:B29 B31:B35 B42">
    <cfRule type="containsText" dxfId="264" priority="5" operator="containsText" text="Hear">
      <formula>NOT(ISERROR(SEARCH("Hear",B19)))</formula>
    </cfRule>
  </conditionalFormatting>
  <hyperlinks>
    <hyperlink ref="A1" location="'Test Case Overview'!A1" display="Return to Test Case Overview" xr:uid="{AEF46558-F7ED-4461-90F4-5BFFB7B7A5A3}"/>
  </hyperlinks>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expression" priority="2" id="{FE4EC33A-35FA-4044-85D9-73E398FDC255}">
            <xm:f>'TC1'!$B8="HANGUP"</xm:f>
            <x14:dxf>
              <font>
                <b/>
                <i val="0"/>
              </font>
            </x14:dxf>
          </x14:cfRule>
          <xm:sqref>C8</xm:sqref>
        </x14:conditionalFormatting>
        <x14:conditionalFormatting xmlns:xm="http://schemas.microsoft.com/office/excel/2006/main">
          <x14:cfRule type="expression" priority="3406" id="{FE4EC33A-35FA-4044-85D9-73E398FDC255}">
            <xm:f>'TC1'!$B16="HANGUP"</xm:f>
            <x14:dxf>
              <font>
                <b/>
                <i val="0"/>
              </font>
            </x14:dxf>
          </x14:cfRule>
          <xm:sqref>C34:C43</xm:sqref>
        </x14:conditionalFormatting>
        <x14:conditionalFormatting xmlns:xm="http://schemas.microsoft.com/office/excel/2006/main">
          <x14:cfRule type="expression" priority="3407" id="{FE4EC33A-35FA-4044-85D9-73E398FDC255}">
            <xm:f>'TC1'!#REF!="HANGUP"</xm:f>
            <x14:dxf>
              <font>
                <b/>
                <i val="0"/>
              </font>
            </x14:dxf>
          </x14:cfRule>
          <xm:sqref>C17:C33</xm:sqref>
        </x14:conditionalFormatting>
        <x14:conditionalFormatting xmlns:xm="http://schemas.microsoft.com/office/excel/2006/main">
          <x14:cfRule type="expression" priority="6020" id="{FE4EC33A-35FA-4044-85D9-73E398FDC255}">
            <xm:f>'TC1'!$B9="HANGUP"</xm:f>
            <x14:dxf>
              <font>
                <b/>
                <i val="0"/>
              </font>
            </x14:dxf>
          </x14:cfRule>
          <xm:sqref>C12:C15</xm:sqref>
        </x14:conditionalFormatting>
        <x14:conditionalFormatting xmlns:xm="http://schemas.microsoft.com/office/excel/2006/main">
          <x14:cfRule type="expression" priority="6021" id="{FE4EC33A-35FA-4044-85D9-73E398FDC255}">
            <xm:f>'TC1'!#REF!="HANGUP"</xm:f>
            <x14:dxf>
              <font>
                <b/>
                <i val="0"/>
              </font>
            </x14:dxf>
          </x14:cfRule>
          <xm:sqref>C9:C11</xm:sqref>
        </x14:conditionalFormatting>
        <x14:conditionalFormatting xmlns:xm="http://schemas.microsoft.com/office/excel/2006/main">
          <x14:cfRule type="expression" priority="8178" id="{FE4EC33A-35FA-4044-85D9-73E398FDC255}">
            <xm:f>'TC1'!$B15="HANGUP"</xm:f>
            <x14:dxf>
              <font>
                <b/>
                <i val="0"/>
              </font>
            </x14:dxf>
          </x14:cfRule>
          <xm:sqref>C16</xm:sqref>
        </x14:conditionalFormatting>
      </x14:conditionalFormattings>
    </ext>
  </extLst>
</worksheet>
</file>

<file path=xl/worksheets/sheet1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BF00-000000000000}">
  <sheetPr codeName="Sheet193"/>
  <dimension ref="A1:E44"/>
  <sheetViews>
    <sheetView zoomScaleNormal="100" workbookViewId="0">
      <selection sqref="A1:E44"/>
    </sheetView>
  </sheetViews>
  <sheetFormatPr defaultRowHeight="14.5" x14ac:dyDescent="0.35"/>
  <cols>
    <col min="1" max="1" width="14.453125" bestFit="1" customWidth="1"/>
    <col min="2" max="2" width="42.6328125" customWidth="1"/>
    <col min="3" max="3" width="106.1796875" customWidth="1"/>
    <col min="4" max="4" width="21.81640625" bestFit="1" customWidth="1"/>
    <col min="5" max="5" width="20.6328125" customWidth="1"/>
  </cols>
  <sheetData>
    <row r="1" spans="1:5" ht="18.5" x14ac:dyDescent="0.35">
      <c r="A1" s="192" t="s">
        <v>4</v>
      </c>
      <c r="B1" s="192"/>
      <c r="C1" s="105"/>
      <c r="D1" s="111"/>
      <c r="E1" s="97"/>
    </row>
    <row r="2" spans="1:5" x14ac:dyDescent="0.35">
      <c r="A2" s="106" t="s">
        <v>5</v>
      </c>
      <c r="B2" s="107" t="str">
        <f ca="1">MID(CELL("filename",A1),FIND("]",CELL("filename",A1))+1,LEN(CELL("filename",A1))-FIND("]",CELL("filename",A1)))</f>
        <v>TC191</v>
      </c>
      <c r="C2" s="98"/>
      <c r="D2" s="111"/>
      <c r="E2" s="97"/>
    </row>
    <row r="3" spans="1:5" x14ac:dyDescent="0.35">
      <c r="A3" s="104" t="s">
        <v>19</v>
      </c>
      <c r="B3" s="112" t="e">
        <f ca="1">VLOOKUP(B2,Table53[#All],2,FALSE)</f>
        <v>#N/A</v>
      </c>
      <c r="C3" s="98"/>
      <c r="D3" s="111"/>
      <c r="E3" s="97"/>
    </row>
    <row r="4" spans="1:5" ht="29" x14ac:dyDescent="0.35">
      <c r="A4" s="113" t="s">
        <v>20</v>
      </c>
      <c r="B4" s="99" t="e">
        <f ca="1">VLOOKUP(B2,Table53[#All],4,FALSE)</f>
        <v>#N/A</v>
      </c>
      <c r="C4" s="98"/>
      <c r="D4" s="111"/>
      <c r="E4" s="97"/>
    </row>
    <row r="5" spans="1:5" x14ac:dyDescent="0.35">
      <c r="A5" s="104" t="s">
        <v>6</v>
      </c>
      <c r="B5" s="77" t="e">
        <f ca="1">VLOOKUP(B2,Table53[#All],3,FALSE)</f>
        <v>#N/A</v>
      </c>
      <c r="C5" s="98"/>
      <c r="D5" s="111"/>
      <c r="E5" s="97"/>
    </row>
    <row r="6" spans="1:5" x14ac:dyDescent="0.35">
      <c r="A6" s="97"/>
      <c r="B6" s="97"/>
      <c r="C6" s="98"/>
      <c r="D6" s="111"/>
      <c r="E6" s="97"/>
    </row>
    <row r="7" spans="1:5" ht="15.5" x14ac:dyDescent="0.35">
      <c r="A7" s="100" t="s">
        <v>7</v>
      </c>
      <c r="B7" s="101" t="s">
        <v>8</v>
      </c>
      <c r="C7" s="102" t="s">
        <v>9</v>
      </c>
      <c r="D7" s="102" t="s">
        <v>14</v>
      </c>
      <c r="E7" s="103" t="s">
        <v>10</v>
      </c>
    </row>
    <row r="8" spans="1:5" x14ac:dyDescent="0.35">
      <c r="A8" s="118">
        <v>1</v>
      </c>
      <c r="B8" s="114" t="s">
        <v>114</v>
      </c>
      <c r="C8" s="109" t="s">
        <v>125</v>
      </c>
      <c r="D8" s="128"/>
      <c r="E8" s="125" t="s">
        <v>11</v>
      </c>
    </row>
    <row r="9" spans="1:5" x14ac:dyDescent="0.35">
      <c r="A9" s="118">
        <v>2</v>
      </c>
      <c r="B9" s="114" t="s">
        <v>12</v>
      </c>
      <c r="C9" s="109" t="e">
        <f>VLOOKUP(Table257519913140106110151155170178204291[[#This Row],[PEG]],Table1016[#All],2,FALSE)</f>
        <v>#N/A</v>
      </c>
      <c r="D9" s="128"/>
      <c r="E9" s="125" t="e">
        <f>VLOOKUP(Table257519913140106110151155170178204291[[#This Row],[PEG]],Table1016[#All],3,FALSE)</f>
        <v>#N/A</v>
      </c>
    </row>
    <row r="10" spans="1:5" x14ac:dyDescent="0.35">
      <c r="A10" s="118">
        <v>3</v>
      </c>
      <c r="B10" s="114" t="s">
        <v>115</v>
      </c>
      <c r="C10" s="109" t="e">
        <f>VLOOKUP(Table257519913140106110151155170178204291[[#This Row],[PEG]],Table1016[#All],2,FALSE)</f>
        <v>#N/A</v>
      </c>
      <c r="D10" s="128"/>
      <c r="E10" s="125" t="e">
        <f>VLOOKUP(Table257519913140106110151155170178204291[[#This Row],[PEG]],Table1016[#All],3,FALSE)</f>
        <v>#N/A</v>
      </c>
    </row>
    <row r="11" spans="1:5" x14ac:dyDescent="0.35">
      <c r="A11" s="118">
        <v>4</v>
      </c>
      <c r="B11" s="114" t="s">
        <v>115</v>
      </c>
      <c r="C11" s="109" t="e">
        <f>VLOOKUP(Table257519913140106110151155170178204291[[#This Row],[PEG]],Table1016[#All],2,FALSE)</f>
        <v>#N/A</v>
      </c>
      <c r="D11" s="128"/>
      <c r="E11" s="125" t="e">
        <f>VLOOKUP(Table257519913140106110151155170178204291[[#This Row],[PEG]],Table1016[#All],3,FALSE)</f>
        <v>#N/A</v>
      </c>
    </row>
    <row r="12" spans="1:5" x14ac:dyDescent="0.35">
      <c r="A12" s="118">
        <v>5</v>
      </c>
      <c r="B12" s="114" t="s">
        <v>114</v>
      </c>
      <c r="C12" s="109" t="e">
        <f>VLOOKUP(Table257519913140106110151155170178204291[[#This Row],[PEG]],Table1016[#All],2,FALSE)</f>
        <v>#N/A</v>
      </c>
      <c r="D12" s="128"/>
      <c r="E12" s="125" t="e">
        <f>VLOOKUP(Table257519913140106110151155170178204291[[#This Row],[PEG]],Table1016[#All],3,FALSE)</f>
        <v>#N/A</v>
      </c>
    </row>
    <row r="13" spans="1:5" x14ac:dyDescent="0.35">
      <c r="A13" s="118">
        <v>6</v>
      </c>
      <c r="B13" s="114" t="s">
        <v>115</v>
      </c>
      <c r="C13" s="109" t="e">
        <f>VLOOKUP(Table257519913140106110151155170178204291[[#This Row],[PEG]],Table1016[#All],2,FALSE)</f>
        <v>#N/A</v>
      </c>
      <c r="D13" s="128"/>
      <c r="E13" s="125" t="e">
        <f>VLOOKUP(Table257519913140106110151155170178204291[[#This Row],[PEG]],Table1016[#All],3,FALSE)</f>
        <v>#N/A</v>
      </c>
    </row>
    <row r="14" spans="1:5" x14ac:dyDescent="0.35">
      <c r="A14" s="118">
        <v>7</v>
      </c>
      <c r="B14" s="114" t="s">
        <v>114</v>
      </c>
      <c r="C14" s="109" t="e">
        <f>VLOOKUP(Table257519913140106110151155170178204291[[#This Row],[PEG]],Table1016[#All],2,FALSE)</f>
        <v>#N/A</v>
      </c>
      <c r="D14" s="128"/>
      <c r="E14" s="125" t="e">
        <f>VLOOKUP(Table257519913140106110151155170178204291[[#This Row],[PEG]],Table1016[#All],3,FALSE)</f>
        <v>#N/A</v>
      </c>
    </row>
    <row r="15" spans="1:5" x14ac:dyDescent="0.35">
      <c r="A15" s="118">
        <v>8</v>
      </c>
      <c r="B15" s="114" t="s">
        <v>115</v>
      </c>
      <c r="C15" s="109" t="e">
        <f>VLOOKUP(Table257519913140106110151155170178204291[[#This Row],[PEG]],Table1016[#All],2,FALSE)</f>
        <v>#N/A</v>
      </c>
      <c r="D15" s="116"/>
      <c r="E15" s="125" t="e">
        <f>VLOOKUP(Table257519913140106110151155170178204291[[#This Row],[PEG]],Table1016[#All],3,FALSE)</f>
        <v>#N/A</v>
      </c>
    </row>
    <row r="16" spans="1:5" x14ac:dyDescent="0.35">
      <c r="A16" s="118">
        <v>9</v>
      </c>
      <c r="B16" s="114" t="s">
        <v>12</v>
      </c>
      <c r="C16" s="109" t="e">
        <f>VLOOKUP(Table257519913140106110151155170178204291[[#This Row],[PEG]],Table1016[#All],2,FALSE)</f>
        <v>#N/A</v>
      </c>
      <c r="D16" s="116"/>
      <c r="E16" s="125" t="e">
        <f>VLOOKUP(Table257519913140106110151155170178204291[[#This Row],[PEG]],Table1016[#All],3,FALSE)</f>
        <v>#N/A</v>
      </c>
    </row>
    <row r="17" spans="1:5" x14ac:dyDescent="0.35">
      <c r="A17" s="118">
        <v>10</v>
      </c>
      <c r="B17" s="114" t="s">
        <v>12</v>
      </c>
      <c r="C17" s="109" t="e">
        <f>VLOOKUP(Table257519913140106110151155170178204291[[#This Row],[PEG]],Table1016[#All],2,FALSE)</f>
        <v>#N/A</v>
      </c>
      <c r="D17" s="117"/>
      <c r="E17" s="125" t="e">
        <f>VLOOKUP(Table257519913140106110151155170178204291[[#This Row],[PEG]],Table1016[#All],3,FALSE)</f>
        <v>#N/A</v>
      </c>
    </row>
    <row r="18" spans="1:5" x14ac:dyDescent="0.35">
      <c r="A18" s="118">
        <v>11</v>
      </c>
      <c r="B18" s="114" t="s">
        <v>115</v>
      </c>
      <c r="C18" s="109" t="e">
        <f>VLOOKUP(Table257519913140106110151155170178204291[[#This Row],[PEG]],Table1016[#All],2,FALSE)</f>
        <v>#N/A</v>
      </c>
      <c r="D18" s="117"/>
      <c r="E18" s="125" t="e">
        <f>VLOOKUP(Table257519913140106110151155170178204291[[#This Row],[PEG]],Table1016[#All],3,FALSE)</f>
        <v>#N/A</v>
      </c>
    </row>
    <row r="19" spans="1:5" x14ac:dyDescent="0.35">
      <c r="A19" s="118">
        <v>12</v>
      </c>
      <c r="B19" s="114" t="s">
        <v>115</v>
      </c>
      <c r="C19" s="109" t="e">
        <f>VLOOKUP(Table257519913140106110151155170178204291[[#This Row],[PEG]],Table1016[#All],2,FALSE)</f>
        <v>#N/A</v>
      </c>
      <c r="D19" s="117"/>
      <c r="E19" s="125" t="e">
        <f>VLOOKUP(Table257519913140106110151155170178204291[[#This Row],[PEG]],Table1016[#All],3,FALSE)</f>
        <v>#N/A</v>
      </c>
    </row>
    <row r="20" spans="1:5" x14ac:dyDescent="0.35">
      <c r="A20" s="118">
        <v>13</v>
      </c>
      <c r="B20" s="114" t="s">
        <v>114</v>
      </c>
      <c r="C20" s="109" t="e">
        <f>VLOOKUP(Table257519913140106110151155170178204291[[#This Row],[PEG]],Table1016[#All],2,FALSE)</f>
        <v>#N/A</v>
      </c>
      <c r="D20" s="117"/>
      <c r="E20" s="125" t="e">
        <f>VLOOKUP(Table257519913140106110151155170178204291[[#This Row],[PEG]],Table1016[#All],3,FALSE)</f>
        <v>#N/A</v>
      </c>
    </row>
    <row r="21" spans="1:5" x14ac:dyDescent="0.35">
      <c r="A21" s="118">
        <v>14</v>
      </c>
      <c r="B21" s="114" t="s">
        <v>12</v>
      </c>
      <c r="C21" s="109" t="e">
        <f>VLOOKUP(Table257519913140106110151155170178204291[[#This Row],[PEG]],Table1016[#All],2,FALSE)</f>
        <v>#N/A</v>
      </c>
      <c r="D21" s="117"/>
      <c r="E21" s="125" t="e">
        <f>VLOOKUP(Table257519913140106110151155170178204291[[#This Row],[PEG]],Table1016[#All],3,FALSE)</f>
        <v>#N/A</v>
      </c>
    </row>
    <row r="22" spans="1:5" x14ac:dyDescent="0.35">
      <c r="A22" s="118">
        <v>15</v>
      </c>
      <c r="B22" s="114" t="s">
        <v>12</v>
      </c>
      <c r="C22" s="109" t="e">
        <f>VLOOKUP(Table257519913140106110151155170178204291[[#This Row],[PEG]],Table1016[#All],2,FALSE)</f>
        <v>#N/A</v>
      </c>
      <c r="D22" s="117"/>
      <c r="E22" s="125" t="e">
        <f>VLOOKUP(Table257519913140106110151155170178204291[[#This Row],[PEG]],Table1016[#All],3,FALSE)</f>
        <v>#N/A</v>
      </c>
    </row>
    <row r="23" spans="1:5" x14ac:dyDescent="0.35">
      <c r="A23" s="118">
        <v>16</v>
      </c>
      <c r="B23" s="114" t="s">
        <v>115</v>
      </c>
      <c r="C23" s="109" t="e">
        <f>VLOOKUP(Table257519913140106110151155170178204291[[#This Row],[PEG]],Table1016[#All],2,FALSE)</f>
        <v>#N/A</v>
      </c>
      <c r="D23" s="117"/>
      <c r="E23" s="125" t="e">
        <f>VLOOKUP(Table257519913140106110151155170178204291[[#This Row],[PEG]],Table1016[#All],3,FALSE)</f>
        <v>#N/A</v>
      </c>
    </row>
    <row r="24" spans="1:5" x14ac:dyDescent="0.35">
      <c r="A24" s="118">
        <v>17</v>
      </c>
      <c r="B24" s="114" t="s">
        <v>114</v>
      </c>
      <c r="C24" s="109" t="e">
        <f>VLOOKUP(Table257519913140106110151155170178204291[[#This Row],[PEG]],Table1016[#All],2,FALSE)</f>
        <v>#N/A</v>
      </c>
      <c r="D24" s="117"/>
      <c r="E24" s="125" t="e">
        <f>VLOOKUP(Table257519913140106110151155170178204291[[#This Row],[PEG]],Table1016[#All],3,FALSE)</f>
        <v>#N/A</v>
      </c>
    </row>
    <row r="25" spans="1:5" x14ac:dyDescent="0.35">
      <c r="A25" s="118">
        <v>18</v>
      </c>
      <c r="B25" s="114" t="s">
        <v>12</v>
      </c>
      <c r="C25" s="109" t="e">
        <f>VLOOKUP(Table257519913140106110151155170178204291[[#This Row],[PEG]],Table1016[#All],2,FALSE)</f>
        <v>#N/A</v>
      </c>
      <c r="D25" s="117"/>
      <c r="E25" s="125" t="e">
        <f>VLOOKUP(Table257519913140106110151155170178204291[[#This Row],[PEG]],Table1016[#All],3,FALSE)</f>
        <v>#N/A</v>
      </c>
    </row>
    <row r="26" spans="1:5" x14ac:dyDescent="0.35">
      <c r="A26" s="118">
        <v>19</v>
      </c>
      <c r="B26" s="114" t="s">
        <v>12</v>
      </c>
      <c r="C26" s="109" t="e">
        <f>VLOOKUP(Table257519913140106110151155170178204291[[#This Row],[PEG]],Table1016[#All],2,FALSE)</f>
        <v>#N/A</v>
      </c>
      <c r="D26" s="117"/>
      <c r="E26" s="125" t="e">
        <f>VLOOKUP(Table257519913140106110151155170178204291[[#This Row],[PEG]],Table1016[#All],3,FALSE)</f>
        <v>#N/A</v>
      </c>
    </row>
    <row r="27" spans="1:5" x14ac:dyDescent="0.35">
      <c r="A27" s="118">
        <v>20</v>
      </c>
      <c r="B27" s="114" t="s">
        <v>115</v>
      </c>
      <c r="C27" s="109" t="e">
        <f>VLOOKUP(Table257519913140106110151155170178204291[[#This Row],[PEG]],Table1016[#All],2,FALSE)</f>
        <v>#N/A</v>
      </c>
      <c r="D27" s="117"/>
      <c r="E27" s="125" t="e">
        <f>VLOOKUP(Table257519913140106110151155170178204291[[#This Row],[PEG]],Table1016[#All],3,FALSE)</f>
        <v>#N/A</v>
      </c>
    </row>
    <row r="28" spans="1:5" x14ac:dyDescent="0.35">
      <c r="A28" s="118">
        <v>21</v>
      </c>
      <c r="B28" s="114" t="s">
        <v>114</v>
      </c>
      <c r="C28" s="109" t="e">
        <f>VLOOKUP(Table257519913140106110151155170178204291[[#This Row],[PEG]],Table1016[#All],2,FALSE)</f>
        <v>#N/A</v>
      </c>
      <c r="D28" s="117"/>
      <c r="E28" s="125" t="e">
        <f>VLOOKUP(Table257519913140106110151155170178204291[[#This Row],[PEG]],Table1016[#All],3,FALSE)</f>
        <v>#N/A</v>
      </c>
    </row>
    <row r="29" spans="1:5" x14ac:dyDescent="0.35">
      <c r="A29" s="118">
        <v>22</v>
      </c>
      <c r="B29" s="114" t="s">
        <v>12</v>
      </c>
      <c r="C29" s="109" t="e">
        <f>VLOOKUP(Table257519913140106110151155170178204291[[#This Row],[PEG]],Table1016[#All],2,FALSE)</f>
        <v>#N/A</v>
      </c>
      <c r="D29" s="117"/>
      <c r="E29" s="125" t="e">
        <f>VLOOKUP(Table257519913140106110151155170178204291[[#This Row],[PEG]],Table1016[#All],3,FALSE)</f>
        <v>#N/A</v>
      </c>
    </row>
    <row r="30" spans="1:5" x14ac:dyDescent="0.35">
      <c r="A30" s="118">
        <v>23</v>
      </c>
      <c r="B30" s="114" t="s">
        <v>12</v>
      </c>
      <c r="C30" s="109" t="e">
        <f>VLOOKUP(Table257519913140106110151155170178204291[[#This Row],[PEG]],Table1016[#All],2,FALSE)</f>
        <v>#N/A</v>
      </c>
      <c r="D30" s="117"/>
      <c r="E30" s="125" t="e">
        <f>VLOOKUP(Table257519913140106110151155170178204291[[#This Row],[PEG]],Table1016[#All],3,FALSE)</f>
        <v>#N/A</v>
      </c>
    </row>
    <row r="31" spans="1:5" x14ac:dyDescent="0.35">
      <c r="A31" s="118">
        <v>24</v>
      </c>
      <c r="B31" s="114" t="s">
        <v>115</v>
      </c>
      <c r="C31" s="109" t="e">
        <f>VLOOKUP(Table257519913140106110151155170178204291[[#This Row],[PEG]],Table1016[#All],2,FALSE)</f>
        <v>#N/A</v>
      </c>
      <c r="D31" s="117"/>
      <c r="E31" s="125" t="e">
        <f>VLOOKUP(Table257519913140106110151155170178204291[[#This Row],[PEG]],Table1016[#All],3,FALSE)</f>
        <v>#N/A</v>
      </c>
    </row>
    <row r="32" spans="1:5" x14ac:dyDescent="0.35">
      <c r="A32" s="118">
        <v>25</v>
      </c>
      <c r="B32" s="114" t="s">
        <v>115</v>
      </c>
      <c r="C32" s="109" t="e">
        <f>VLOOKUP(Table257519913140106110151155170178204291[[#This Row],[PEG]],Table1016[#All],2,FALSE)</f>
        <v>#N/A</v>
      </c>
      <c r="D32" s="117"/>
      <c r="E32" s="125" t="e">
        <f>VLOOKUP(Table257519913140106110151155170178204291[[#This Row],[PEG]],Table1016[#All],3,FALSE)</f>
        <v>#N/A</v>
      </c>
    </row>
    <row r="33" spans="1:5" x14ac:dyDescent="0.35">
      <c r="A33" s="118">
        <v>26</v>
      </c>
      <c r="B33" s="114" t="s">
        <v>124</v>
      </c>
      <c r="C33" s="109" t="e">
        <f>VLOOKUP(Table257519913140106110151155170178204291[[#This Row],[PEG]],Table1016[#All],2,FALSE)</f>
        <v>#N/A</v>
      </c>
      <c r="D33" s="117"/>
      <c r="E33" s="125" t="e">
        <f>VLOOKUP(Table257519913140106110151155170178204291[[#This Row],[PEG]],Table1016[#All],3,FALSE)</f>
        <v>#N/A</v>
      </c>
    </row>
    <row r="34" spans="1:5" x14ac:dyDescent="0.35">
      <c r="A34" s="118">
        <v>27</v>
      </c>
      <c r="B34" s="114" t="s">
        <v>115</v>
      </c>
      <c r="C34" s="109" t="e">
        <f>VLOOKUP(Table257519913140106110151155170178204291[[#This Row],[PEG]],Table1016[#All],2,FALSE)</f>
        <v>#N/A</v>
      </c>
      <c r="D34" s="117"/>
      <c r="E34" s="125" t="e">
        <f>VLOOKUP(Table257519913140106110151155170178204291[[#This Row],[PEG]],Table1016[#All],3,FALSE)</f>
        <v>#N/A</v>
      </c>
    </row>
    <row r="35" spans="1:5" x14ac:dyDescent="0.35">
      <c r="A35" s="118">
        <v>28</v>
      </c>
      <c r="B35" s="114" t="s">
        <v>124</v>
      </c>
      <c r="C35" s="109" t="e">
        <f>VLOOKUP(Table257519913140106110151155170178204291[[#This Row],[PEG]],Table1016[#All],2,FALSE)</f>
        <v>#N/A</v>
      </c>
      <c r="D35" s="117"/>
      <c r="E35" s="125" t="e">
        <f>VLOOKUP(Table257519913140106110151155170178204291[[#This Row],[PEG]],Table1016[#All],3,FALSE)</f>
        <v>#N/A</v>
      </c>
    </row>
    <row r="36" spans="1:5" x14ac:dyDescent="0.35">
      <c r="A36" s="118">
        <v>29</v>
      </c>
      <c r="B36" s="114" t="s">
        <v>115</v>
      </c>
      <c r="C36" s="109" t="e">
        <f>VLOOKUP(Table257519913140106110151155170178204291[[#This Row],[PEG]],Table1016[#All],2,FALSE)</f>
        <v>#N/A</v>
      </c>
      <c r="D36" s="117"/>
      <c r="E36" s="125" t="e">
        <f>VLOOKUP(Table257519913140106110151155170178204291[[#This Row],[PEG]],Table1016[#All],3,FALSE)</f>
        <v>#N/A</v>
      </c>
    </row>
    <row r="37" spans="1:5" x14ac:dyDescent="0.35">
      <c r="A37" s="118">
        <v>30</v>
      </c>
      <c r="B37" s="114" t="s">
        <v>12</v>
      </c>
      <c r="C37" s="109" t="e">
        <f>VLOOKUP(Table257519913140106110151155170178204291[[#This Row],[PEG]],Table1016[#All],2,FALSE)</f>
        <v>#N/A</v>
      </c>
      <c r="D37" s="117"/>
      <c r="E37" s="125" t="e">
        <f>VLOOKUP(Table257519913140106110151155170178204291[[#This Row],[PEG]],Table1016[#All],3,FALSE)</f>
        <v>#N/A</v>
      </c>
    </row>
    <row r="38" spans="1:5" x14ac:dyDescent="0.35">
      <c r="A38" s="118">
        <v>31</v>
      </c>
      <c r="B38" s="114" t="s">
        <v>12</v>
      </c>
      <c r="C38" s="109" t="e">
        <f>VLOOKUP(Table257519913140106110151155170178204291[[#This Row],[PEG]],Table1016[#All],2,FALSE)</f>
        <v>#N/A</v>
      </c>
      <c r="D38" s="117"/>
      <c r="E38" s="125" t="e">
        <f>VLOOKUP(Table257519913140106110151155170178204291[[#This Row],[PEG]],Table1016[#All],3,FALSE)</f>
        <v>#N/A</v>
      </c>
    </row>
    <row r="39" spans="1:5" x14ac:dyDescent="0.35">
      <c r="A39" s="118">
        <v>32</v>
      </c>
      <c r="B39" s="114" t="s">
        <v>12</v>
      </c>
      <c r="C39" s="109" t="e">
        <f>VLOOKUP(Table257519913140106110151155170178204291[[#This Row],[PEG]],Table1016[#All],2,FALSE)</f>
        <v>#N/A</v>
      </c>
      <c r="D39" s="117"/>
      <c r="E39" s="125" t="e">
        <f>VLOOKUP(Table257519913140106110151155170178204291[[#This Row],[PEG]],Table1016[#All],3,FALSE)</f>
        <v>#N/A</v>
      </c>
    </row>
    <row r="40" spans="1:5" x14ac:dyDescent="0.35">
      <c r="A40" s="118">
        <v>33</v>
      </c>
      <c r="B40" s="114" t="s">
        <v>12</v>
      </c>
      <c r="C40" s="109" t="e">
        <f>VLOOKUP(Table257519913140106110151155170178204291[[#This Row],[PEG]],Table1016[#All],2,FALSE)</f>
        <v>#N/A</v>
      </c>
      <c r="D40" s="117"/>
      <c r="E40" s="125" t="e">
        <f>VLOOKUP(Table257519913140106110151155170178204291[[#This Row],[PEG]],Table1016[#All],3,FALSE)</f>
        <v>#N/A</v>
      </c>
    </row>
    <row r="41" spans="1:5" x14ac:dyDescent="0.35">
      <c r="A41" s="118">
        <v>34</v>
      </c>
      <c r="B41" s="114" t="s">
        <v>115</v>
      </c>
      <c r="C41" s="109" t="e">
        <f>VLOOKUP(Table257519913140106110151155170178204291[[#This Row],[PEG]],Table1016[#All],2,FALSE)</f>
        <v>#N/A</v>
      </c>
      <c r="D41" s="117"/>
      <c r="E41" s="125" t="e">
        <f>VLOOKUP(Table257519913140106110151155170178204291[[#This Row],[PEG]],Table1016[#All],3,FALSE)</f>
        <v>#N/A</v>
      </c>
    </row>
    <row r="42" spans="1:5" x14ac:dyDescent="0.35">
      <c r="A42" s="118">
        <v>35</v>
      </c>
      <c r="B42" s="114" t="s">
        <v>12</v>
      </c>
      <c r="C42" s="109" t="e">
        <f>VLOOKUP(Table257519913140106110151155170178204291[[#This Row],[PEG]],Table1016[#All],2,FALSE)</f>
        <v>#N/A</v>
      </c>
      <c r="D42" s="115"/>
      <c r="E42" s="125" t="e">
        <f>VLOOKUP(Table257519913140106110151155170178204291[[#This Row],[PEG]],Table1016[#All],3,FALSE)</f>
        <v>#N/A</v>
      </c>
    </row>
    <row r="43" spans="1:5" x14ac:dyDescent="0.35">
      <c r="A43" s="118">
        <v>36</v>
      </c>
      <c r="B43" s="114" t="s">
        <v>115</v>
      </c>
      <c r="C43" s="109" t="e">
        <f>VLOOKUP(Table257519913140106110151155170178204291[[#This Row],[PEG]],Table1016[#All],2,FALSE)</f>
        <v>#N/A</v>
      </c>
      <c r="D43" s="115"/>
      <c r="E43" s="125" t="e">
        <f>VLOOKUP(Table257519913140106110151155170178204291[[#This Row],[PEG]],Table1016[#All],3,FALSE)</f>
        <v>#N/A</v>
      </c>
    </row>
    <row r="44" spans="1:5" x14ac:dyDescent="0.35">
      <c r="A44" s="118">
        <v>37</v>
      </c>
      <c r="B44" s="114" t="s">
        <v>13</v>
      </c>
      <c r="C44" s="18" t="s">
        <v>13</v>
      </c>
      <c r="D44" s="115"/>
      <c r="E44" s="32"/>
    </row>
  </sheetData>
  <mergeCells count="1">
    <mergeCell ref="A1:B1"/>
  </mergeCells>
  <conditionalFormatting sqref="B8:B18">
    <cfRule type="containsText" dxfId="257" priority="1" operator="containsText" text="Hear">
      <formula>NOT(ISERROR(SEARCH("Hear",B8)))</formula>
    </cfRule>
  </conditionalFormatting>
  <conditionalFormatting sqref="B30">
    <cfRule type="containsText" dxfId="256" priority="4" operator="containsText" text="Hear">
      <formula>NOT(ISERROR(SEARCH("Hear",B30)))</formula>
    </cfRule>
  </conditionalFormatting>
  <conditionalFormatting sqref="B43:B44">
    <cfRule type="containsText" dxfId="255" priority="8" operator="containsText" text="Hear">
      <formula>NOT(ISERROR(SEARCH("Hear",B43)))</formula>
    </cfRule>
  </conditionalFormatting>
  <conditionalFormatting sqref="E44">
    <cfRule type="containsText" dxfId="254" priority="6" operator="containsText" text="WEB SERVICE">
      <formula>NOT(ISERROR(SEARCH("WEB SERVICE",E44)))</formula>
    </cfRule>
    <cfRule type="containsText" dxfId="253" priority="7" operator="containsText" text="DB">
      <formula>NOT(ISERROR(SEARCH("DB",E44)))</formula>
    </cfRule>
  </conditionalFormatting>
  <conditionalFormatting sqref="C44">
    <cfRule type="expression" dxfId="252" priority="9">
      <formula>$B44="Dial"</formula>
    </cfRule>
  </conditionalFormatting>
  <conditionalFormatting sqref="C44">
    <cfRule type="expression" dxfId="251" priority="3">
      <formula>$B44="Speak"</formula>
    </cfRule>
  </conditionalFormatting>
  <conditionalFormatting sqref="B19:B29 B31:B35 B42">
    <cfRule type="containsText" dxfId="250" priority="5" operator="containsText" text="Hear">
      <formula>NOT(ISERROR(SEARCH("Hear",B19)))</formula>
    </cfRule>
  </conditionalFormatting>
  <hyperlinks>
    <hyperlink ref="A1" location="'Test Case Overview'!A1" display="Return to Test Case Overview" xr:uid="{51650FB2-5B5D-488C-8EB0-ECA41EFF6357}"/>
  </hyperlinks>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expression" priority="2" id="{8EC94059-669E-4141-A483-1F6162C71F45}">
            <xm:f>'TC1'!$B8="HANGUP"</xm:f>
            <x14:dxf>
              <font>
                <b/>
                <i val="0"/>
              </font>
            </x14:dxf>
          </x14:cfRule>
          <xm:sqref>C8</xm:sqref>
        </x14:conditionalFormatting>
        <x14:conditionalFormatting xmlns:xm="http://schemas.microsoft.com/office/excel/2006/main">
          <x14:cfRule type="expression" priority="3410" id="{8EC94059-669E-4141-A483-1F6162C71F45}">
            <xm:f>'TC1'!$B16="HANGUP"</xm:f>
            <x14:dxf>
              <font>
                <b/>
                <i val="0"/>
              </font>
            </x14:dxf>
          </x14:cfRule>
          <xm:sqref>C34:C43</xm:sqref>
        </x14:conditionalFormatting>
        <x14:conditionalFormatting xmlns:xm="http://schemas.microsoft.com/office/excel/2006/main">
          <x14:cfRule type="expression" priority="3411" id="{8EC94059-669E-4141-A483-1F6162C71F45}">
            <xm:f>'TC1'!#REF!="HANGUP"</xm:f>
            <x14:dxf>
              <font>
                <b/>
                <i val="0"/>
              </font>
            </x14:dxf>
          </x14:cfRule>
          <xm:sqref>C17:C33</xm:sqref>
        </x14:conditionalFormatting>
        <x14:conditionalFormatting xmlns:xm="http://schemas.microsoft.com/office/excel/2006/main">
          <x14:cfRule type="expression" priority="6024" id="{8EC94059-669E-4141-A483-1F6162C71F45}">
            <xm:f>'TC1'!$B9="HANGUP"</xm:f>
            <x14:dxf>
              <font>
                <b/>
                <i val="0"/>
              </font>
            </x14:dxf>
          </x14:cfRule>
          <xm:sqref>C12:C15</xm:sqref>
        </x14:conditionalFormatting>
        <x14:conditionalFormatting xmlns:xm="http://schemas.microsoft.com/office/excel/2006/main">
          <x14:cfRule type="expression" priority="6025" id="{8EC94059-669E-4141-A483-1F6162C71F45}">
            <xm:f>'TC1'!#REF!="HANGUP"</xm:f>
            <x14:dxf>
              <font>
                <b/>
                <i val="0"/>
              </font>
            </x14:dxf>
          </x14:cfRule>
          <xm:sqref>C9:C11</xm:sqref>
        </x14:conditionalFormatting>
        <x14:conditionalFormatting xmlns:xm="http://schemas.microsoft.com/office/excel/2006/main">
          <x14:cfRule type="expression" priority="8181" id="{8EC94059-669E-4141-A483-1F6162C71F45}">
            <xm:f>'TC1'!$B15="HANGUP"</xm:f>
            <x14:dxf>
              <font>
                <b/>
                <i val="0"/>
              </font>
            </x14:dxf>
          </x14:cfRule>
          <xm:sqref>C16</xm:sqref>
        </x14:conditionalFormatting>
      </x14:conditionalFormattings>
    </ext>
  </extLst>
</worksheet>
</file>

<file path=xl/worksheets/sheet1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C000-000000000000}">
  <sheetPr codeName="Sheet194"/>
  <dimension ref="A1:E44"/>
  <sheetViews>
    <sheetView zoomScaleNormal="100" workbookViewId="0">
      <selection sqref="A1:E44"/>
    </sheetView>
  </sheetViews>
  <sheetFormatPr defaultRowHeight="14.5" x14ac:dyDescent="0.35"/>
  <cols>
    <col min="1" max="1" width="14.453125" bestFit="1" customWidth="1"/>
    <col min="2" max="2" width="42.6328125" customWidth="1"/>
    <col min="3" max="3" width="106.1796875" customWidth="1"/>
    <col min="4" max="4" width="21.81640625" bestFit="1" customWidth="1"/>
    <col min="5" max="5" width="20.6328125" customWidth="1"/>
  </cols>
  <sheetData>
    <row r="1" spans="1:5" ht="18.5" x14ac:dyDescent="0.35">
      <c r="A1" s="192" t="s">
        <v>4</v>
      </c>
      <c r="B1" s="192"/>
      <c r="C1" s="105"/>
      <c r="D1" s="111"/>
      <c r="E1" s="97"/>
    </row>
    <row r="2" spans="1:5" x14ac:dyDescent="0.35">
      <c r="A2" s="106" t="s">
        <v>5</v>
      </c>
      <c r="B2" s="107" t="str">
        <f ca="1">MID(CELL("filename",A1),FIND("]",CELL("filename",A1))+1,LEN(CELL("filename",A1))-FIND("]",CELL("filename",A1)))</f>
        <v>TC192</v>
      </c>
      <c r="C2" s="98"/>
      <c r="D2" s="111"/>
      <c r="E2" s="97"/>
    </row>
    <row r="3" spans="1:5" x14ac:dyDescent="0.35">
      <c r="A3" s="104" t="s">
        <v>19</v>
      </c>
      <c r="B3" s="112" t="e">
        <f ca="1">VLOOKUP(B2,Table53[#All],2,FALSE)</f>
        <v>#N/A</v>
      </c>
      <c r="C3" s="98"/>
      <c r="D3" s="111"/>
      <c r="E3" s="97"/>
    </row>
    <row r="4" spans="1:5" ht="29" x14ac:dyDescent="0.35">
      <c r="A4" s="113" t="s">
        <v>20</v>
      </c>
      <c r="B4" s="99" t="e">
        <f ca="1">VLOOKUP(B2,Table53[#All],4,FALSE)</f>
        <v>#N/A</v>
      </c>
      <c r="C4" s="98"/>
      <c r="D4" s="111"/>
      <c r="E4" s="97"/>
    </row>
    <row r="5" spans="1:5" x14ac:dyDescent="0.35">
      <c r="A5" s="104" t="s">
        <v>6</v>
      </c>
      <c r="B5" s="77" t="e">
        <f ca="1">VLOOKUP(B2,Table53[#All],3,FALSE)</f>
        <v>#N/A</v>
      </c>
      <c r="C5" s="98"/>
      <c r="D5" s="111"/>
      <c r="E5" s="97"/>
    </row>
    <row r="6" spans="1:5" x14ac:dyDescent="0.35">
      <c r="A6" s="97"/>
      <c r="B6" s="97"/>
      <c r="C6" s="98"/>
      <c r="D6" s="111"/>
      <c r="E6" s="97"/>
    </row>
    <row r="7" spans="1:5" ht="15.5" x14ac:dyDescent="0.35">
      <c r="A7" s="100" t="s">
        <v>7</v>
      </c>
      <c r="B7" s="101" t="s">
        <v>8</v>
      </c>
      <c r="C7" s="102" t="s">
        <v>9</v>
      </c>
      <c r="D7" s="102" t="s">
        <v>14</v>
      </c>
      <c r="E7" s="103" t="s">
        <v>10</v>
      </c>
    </row>
    <row r="8" spans="1:5" x14ac:dyDescent="0.35">
      <c r="A8" s="118">
        <v>1</v>
      </c>
      <c r="B8" s="114" t="s">
        <v>114</v>
      </c>
      <c r="C8" s="109" t="s">
        <v>125</v>
      </c>
      <c r="D8" s="128"/>
      <c r="E8" s="125" t="s">
        <v>11</v>
      </c>
    </row>
    <row r="9" spans="1:5" x14ac:dyDescent="0.35">
      <c r="A9" s="118">
        <v>2</v>
      </c>
      <c r="B9" s="114" t="s">
        <v>12</v>
      </c>
      <c r="C9" s="109" t="e">
        <f>VLOOKUP(Table257519913140106110151155170178204293[[#This Row],[PEG]],Table1016[#All],2,FALSE)</f>
        <v>#N/A</v>
      </c>
      <c r="D9" s="128"/>
      <c r="E9" s="125" t="e">
        <f>VLOOKUP(Table257519913140106110151155170178204293[[#This Row],[PEG]],Table1016[#All],3,FALSE)</f>
        <v>#N/A</v>
      </c>
    </row>
    <row r="10" spans="1:5" x14ac:dyDescent="0.35">
      <c r="A10" s="118">
        <v>3</v>
      </c>
      <c r="B10" s="114" t="s">
        <v>115</v>
      </c>
      <c r="C10" s="109" t="e">
        <f>VLOOKUP(Table257519913140106110151155170178204293[[#This Row],[PEG]],Table1016[#All],2,FALSE)</f>
        <v>#N/A</v>
      </c>
      <c r="D10" s="128"/>
      <c r="E10" s="125" t="e">
        <f>VLOOKUP(Table257519913140106110151155170178204293[[#This Row],[PEG]],Table1016[#All],3,FALSE)</f>
        <v>#N/A</v>
      </c>
    </row>
    <row r="11" spans="1:5" x14ac:dyDescent="0.35">
      <c r="A11" s="118">
        <v>4</v>
      </c>
      <c r="B11" s="114" t="s">
        <v>115</v>
      </c>
      <c r="C11" s="109" t="e">
        <f>VLOOKUP(Table257519913140106110151155170178204293[[#This Row],[PEG]],Table1016[#All],2,FALSE)</f>
        <v>#N/A</v>
      </c>
      <c r="D11" s="128"/>
      <c r="E11" s="125" t="e">
        <f>VLOOKUP(Table257519913140106110151155170178204293[[#This Row],[PEG]],Table1016[#All],3,FALSE)</f>
        <v>#N/A</v>
      </c>
    </row>
    <row r="12" spans="1:5" x14ac:dyDescent="0.35">
      <c r="A12" s="118">
        <v>5</v>
      </c>
      <c r="B12" s="114" t="s">
        <v>114</v>
      </c>
      <c r="C12" s="109" t="e">
        <f>VLOOKUP(Table257519913140106110151155170178204293[[#This Row],[PEG]],Table1016[#All],2,FALSE)</f>
        <v>#N/A</v>
      </c>
      <c r="D12" s="128"/>
      <c r="E12" s="125" t="e">
        <f>VLOOKUP(Table257519913140106110151155170178204293[[#This Row],[PEG]],Table1016[#All],3,FALSE)</f>
        <v>#N/A</v>
      </c>
    </row>
    <row r="13" spans="1:5" x14ac:dyDescent="0.35">
      <c r="A13" s="118">
        <v>6</v>
      </c>
      <c r="B13" s="114" t="s">
        <v>115</v>
      </c>
      <c r="C13" s="109" t="e">
        <f>VLOOKUP(Table257519913140106110151155170178204293[[#This Row],[PEG]],Table1016[#All],2,FALSE)</f>
        <v>#N/A</v>
      </c>
      <c r="D13" s="128"/>
      <c r="E13" s="125" t="e">
        <f>VLOOKUP(Table257519913140106110151155170178204293[[#This Row],[PEG]],Table1016[#All],3,FALSE)</f>
        <v>#N/A</v>
      </c>
    </row>
    <row r="14" spans="1:5" x14ac:dyDescent="0.35">
      <c r="A14" s="118">
        <v>7</v>
      </c>
      <c r="B14" s="114" t="s">
        <v>114</v>
      </c>
      <c r="C14" s="109" t="e">
        <f>VLOOKUP(Table257519913140106110151155170178204293[[#This Row],[PEG]],Table1016[#All],2,FALSE)</f>
        <v>#N/A</v>
      </c>
      <c r="D14" s="128"/>
      <c r="E14" s="125" t="e">
        <f>VLOOKUP(Table257519913140106110151155170178204293[[#This Row],[PEG]],Table1016[#All],3,FALSE)</f>
        <v>#N/A</v>
      </c>
    </row>
    <row r="15" spans="1:5" x14ac:dyDescent="0.35">
      <c r="A15" s="118">
        <v>8</v>
      </c>
      <c r="B15" s="114" t="s">
        <v>115</v>
      </c>
      <c r="C15" s="109" t="e">
        <f>VLOOKUP(Table257519913140106110151155170178204293[[#This Row],[PEG]],Table1016[#All],2,FALSE)</f>
        <v>#N/A</v>
      </c>
      <c r="D15" s="116"/>
      <c r="E15" s="125" t="e">
        <f>VLOOKUP(Table257519913140106110151155170178204293[[#This Row],[PEG]],Table1016[#All],3,FALSE)</f>
        <v>#N/A</v>
      </c>
    </row>
    <row r="16" spans="1:5" x14ac:dyDescent="0.35">
      <c r="A16" s="118">
        <v>9</v>
      </c>
      <c r="B16" s="114" t="s">
        <v>12</v>
      </c>
      <c r="C16" s="109" t="e">
        <f>VLOOKUP(Table257519913140106110151155170178204293[[#This Row],[PEG]],Table1016[#All],2,FALSE)</f>
        <v>#N/A</v>
      </c>
      <c r="D16" s="116"/>
      <c r="E16" s="125" t="e">
        <f>VLOOKUP(Table257519913140106110151155170178204293[[#This Row],[PEG]],Table1016[#All],3,FALSE)</f>
        <v>#N/A</v>
      </c>
    </row>
    <row r="17" spans="1:5" x14ac:dyDescent="0.35">
      <c r="A17" s="118">
        <v>10</v>
      </c>
      <c r="B17" s="114" t="s">
        <v>12</v>
      </c>
      <c r="C17" s="109" t="e">
        <f>VLOOKUP(Table257519913140106110151155170178204293[[#This Row],[PEG]],Table1016[#All],2,FALSE)</f>
        <v>#N/A</v>
      </c>
      <c r="D17" s="117"/>
      <c r="E17" s="125" t="e">
        <f>VLOOKUP(Table257519913140106110151155170178204293[[#This Row],[PEG]],Table1016[#All],3,FALSE)</f>
        <v>#N/A</v>
      </c>
    </row>
    <row r="18" spans="1:5" x14ac:dyDescent="0.35">
      <c r="A18" s="118">
        <v>11</v>
      </c>
      <c r="B18" s="114" t="s">
        <v>115</v>
      </c>
      <c r="C18" s="109" t="e">
        <f>VLOOKUP(Table257519913140106110151155170178204293[[#This Row],[PEG]],Table1016[#All],2,FALSE)</f>
        <v>#N/A</v>
      </c>
      <c r="D18" s="117"/>
      <c r="E18" s="125" t="e">
        <f>VLOOKUP(Table257519913140106110151155170178204293[[#This Row],[PEG]],Table1016[#All],3,FALSE)</f>
        <v>#N/A</v>
      </c>
    </row>
    <row r="19" spans="1:5" x14ac:dyDescent="0.35">
      <c r="A19" s="118">
        <v>12</v>
      </c>
      <c r="B19" s="114" t="s">
        <v>115</v>
      </c>
      <c r="C19" s="109" t="e">
        <f>VLOOKUP(Table257519913140106110151155170178204293[[#This Row],[PEG]],Table1016[#All],2,FALSE)</f>
        <v>#N/A</v>
      </c>
      <c r="D19" s="117"/>
      <c r="E19" s="125" t="e">
        <f>VLOOKUP(Table257519913140106110151155170178204293[[#This Row],[PEG]],Table1016[#All],3,FALSE)</f>
        <v>#N/A</v>
      </c>
    </row>
    <row r="20" spans="1:5" x14ac:dyDescent="0.35">
      <c r="A20" s="118">
        <v>13</v>
      </c>
      <c r="B20" s="114" t="s">
        <v>114</v>
      </c>
      <c r="C20" s="109" t="e">
        <f>VLOOKUP(Table257519913140106110151155170178204293[[#This Row],[PEG]],Table1016[#All],2,FALSE)</f>
        <v>#N/A</v>
      </c>
      <c r="D20" s="117"/>
      <c r="E20" s="125" t="e">
        <f>VLOOKUP(Table257519913140106110151155170178204293[[#This Row],[PEG]],Table1016[#All],3,FALSE)</f>
        <v>#N/A</v>
      </c>
    </row>
    <row r="21" spans="1:5" x14ac:dyDescent="0.35">
      <c r="A21" s="118">
        <v>14</v>
      </c>
      <c r="B21" s="114" t="s">
        <v>12</v>
      </c>
      <c r="C21" s="109" t="e">
        <f>VLOOKUP(Table257519913140106110151155170178204293[[#This Row],[PEG]],Table1016[#All],2,FALSE)</f>
        <v>#N/A</v>
      </c>
      <c r="D21" s="117"/>
      <c r="E21" s="125" t="e">
        <f>VLOOKUP(Table257519913140106110151155170178204293[[#This Row],[PEG]],Table1016[#All],3,FALSE)</f>
        <v>#N/A</v>
      </c>
    </row>
    <row r="22" spans="1:5" x14ac:dyDescent="0.35">
      <c r="A22" s="118">
        <v>15</v>
      </c>
      <c r="B22" s="114" t="s">
        <v>12</v>
      </c>
      <c r="C22" s="109" t="e">
        <f>VLOOKUP(Table257519913140106110151155170178204293[[#This Row],[PEG]],Table1016[#All],2,FALSE)</f>
        <v>#N/A</v>
      </c>
      <c r="D22" s="117"/>
      <c r="E22" s="125" t="e">
        <f>VLOOKUP(Table257519913140106110151155170178204293[[#This Row],[PEG]],Table1016[#All],3,FALSE)</f>
        <v>#N/A</v>
      </c>
    </row>
    <row r="23" spans="1:5" x14ac:dyDescent="0.35">
      <c r="A23" s="118">
        <v>16</v>
      </c>
      <c r="B23" s="114" t="s">
        <v>115</v>
      </c>
      <c r="C23" s="109" t="e">
        <f>VLOOKUP(Table257519913140106110151155170178204293[[#This Row],[PEG]],Table1016[#All],2,FALSE)</f>
        <v>#N/A</v>
      </c>
      <c r="D23" s="117"/>
      <c r="E23" s="125" t="e">
        <f>VLOOKUP(Table257519913140106110151155170178204293[[#This Row],[PEG]],Table1016[#All],3,FALSE)</f>
        <v>#N/A</v>
      </c>
    </row>
    <row r="24" spans="1:5" x14ac:dyDescent="0.35">
      <c r="A24" s="118">
        <v>17</v>
      </c>
      <c r="B24" s="114" t="s">
        <v>114</v>
      </c>
      <c r="C24" s="109" t="e">
        <f>VLOOKUP(Table257519913140106110151155170178204293[[#This Row],[PEG]],Table1016[#All],2,FALSE)</f>
        <v>#N/A</v>
      </c>
      <c r="D24" s="117"/>
      <c r="E24" s="125" t="e">
        <f>VLOOKUP(Table257519913140106110151155170178204293[[#This Row],[PEG]],Table1016[#All],3,FALSE)</f>
        <v>#N/A</v>
      </c>
    </row>
    <row r="25" spans="1:5" x14ac:dyDescent="0.35">
      <c r="A25" s="118">
        <v>18</v>
      </c>
      <c r="B25" s="114" t="s">
        <v>12</v>
      </c>
      <c r="C25" s="109" t="e">
        <f>VLOOKUP(Table257519913140106110151155170178204293[[#This Row],[PEG]],Table1016[#All],2,FALSE)</f>
        <v>#N/A</v>
      </c>
      <c r="D25" s="117"/>
      <c r="E25" s="125" t="e">
        <f>VLOOKUP(Table257519913140106110151155170178204293[[#This Row],[PEG]],Table1016[#All],3,FALSE)</f>
        <v>#N/A</v>
      </c>
    </row>
    <row r="26" spans="1:5" x14ac:dyDescent="0.35">
      <c r="A26" s="118">
        <v>19</v>
      </c>
      <c r="B26" s="114" t="s">
        <v>12</v>
      </c>
      <c r="C26" s="109" t="e">
        <f>VLOOKUP(Table257519913140106110151155170178204293[[#This Row],[PEG]],Table1016[#All],2,FALSE)</f>
        <v>#N/A</v>
      </c>
      <c r="D26" s="117"/>
      <c r="E26" s="125" t="e">
        <f>VLOOKUP(Table257519913140106110151155170178204293[[#This Row],[PEG]],Table1016[#All],3,FALSE)</f>
        <v>#N/A</v>
      </c>
    </row>
    <row r="27" spans="1:5" x14ac:dyDescent="0.35">
      <c r="A27" s="118">
        <v>20</v>
      </c>
      <c r="B27" s="114" t="s">
        <v>115</v>
      </c>
      <c r="C27" s="109" t="e">
        <f>VLOOKUP(Table257519913140106110151155170178204293[[#This Row],[PEG]],Table1016[#All],2,FALSE)</f>
        <v>#N/A</v>
      </c>
      <c r="D27" s="117"/>
      <c r="E27" s="125" t="e">
        <f>VLOOKUP(Table257519913140106110151155170178204293[[#This Row],[PEG]],Table1016[#All],3,FALSE)</f>
        <v>#N/A</v>
      </c>
    </row>
    <row r="28" spans="1:5" x14ac:dyDescent="0.35">
      <c r="A28" s="118">
        <v>21</v>
      </c>
      <c r="B28" s="114" t="s">
        <v>114</v>
      </c>
      <c r="C28" s="109" t="e">
        <f>VLOOKUP(Table257519913140106110151155170178204293[[#This Row],[PEG]],Table1016[#All],2,FALSE)</f>
        <v>#N/A</v>
      </c>
      <c r="D28" s="117"/>
      <c r="E28" s="125" t="e">
        <f>VLOOKUP(Table257519913140106110151155170178204293[[#This Row],[PEG]],Table1016[#All],3,FALSE)</f>
        <v>#N/A</v>
      </c>
    </row>
    <row r="29" spans="1:5" x14ac:dyDescent="0.35">
      <c r="A29" s="118">
        <v>22</v>
      </c>
      <c r="B29" s="114" t="s">
        <v>12</v>
      </c>
      <c r="C29" s="109" t="e">
        <f>VLOOKUP(Table257519913140106110151155170178204293[[#This Row],[PEG]],Table1016[#All],2,FALSE)</f>
        <v>#N/A</v>
      </c>
      <c r="D29" s="117"/>
      <c r="E29" s="125" t="e">
        <f>VLOOKUP(Table257519913140106110151155170178204293[[#This Row],[PEG]],Table1016[#All],3,FALSE)</f>
        <v>#N/A</v>
      </c>
    </row>
    <row r="30" spans="1:5" x14ac:dyDescent="0.35">
      <c r="A30" s="118">
        <v>23</v>
      </c>
      <c r="B30" s="114" t="s">
        <v>12</v>
      </c>
      <c r="C30" s="109" t="e">
        <f>VLOOKUP(Table257519913140106110151155170178204293[[#This Row],[PEG]],Table1016[#All],2,FALSE)</f>
        <v>#N/A</v>
      </c>
      <c r="D30" s="117"/>
      <c r="E30" s="125" t="e">
        <f>VLOOKUP(Table257519913140106110151155170178204293[[#This Row],[PEG]],Table1016[#All],3,FALSE)</f>
        <v>#N/A</v>
      </c>
    </row>
    <row r="31" spans="1:5" x14ac:dyDescent="0.35">
      <c r="A31" s="118">
        <v>24</v>
      </c>
      <c r="B31" s="114" t="s">
        <v>115</v>
      </c>
      <c r="C31" s="109" t="e">
        <f>VLOOKUP(Table257519913140106110151155170178204293[[#This Row],[PEG]],Table1016[#All],2,FALSE)</f>
        <v>#N/A</v>
      </c>
      <c r="D31" s="117"/>
      <c r="E31" s="125" t="e">
        <f>VLOOKUP(Table257519913140106110151155170178204293[[#This Row],[PEG]],Table1016[#All],3,FALSE)</f>
        <v>#N/A</v>
      </c>
    </row>
    <row r="32" spans="1:5" x14ac:dyDescent="0.35">
      <c r="A32" s="118">
        <v>25</v>
      </c>
      <c r="B32" s="114" t="s">
        <v>115</v>
      </c>
      <c r="C32" s="109" t="e">
        <f>VLOOKUP(Table257519913140106110151155170178204293[[#This Row],[PEG]],Table1016[#All],2,FALSE)</f>
        <v>#N/A</v>
      </c>
      <c r="D32" s="117"/>
      <c r="E32" s="125" t="e">
        <f>VLOOKUP(Table257519913140106110151155170178204293[[#This Row],[PEG]],Table1016[#All],3,FALSE)</f>
        <v>#N/A</v>
      </c>
    </row>
    <row r="33" spans="1:5" x14ac:dyDescent="0.35">
      <c r="A33" s="118">
        <v>26</v>
      </c>
      <c r="B33" s="114" t="s">
        <v>124</v>
      </c>
      <c r="C33" s="109" t="e">
        <f>VLOOKUP(Table257519913140106110151155170178204293[[#This Row],[PEG]],Table1016[#All],2,FALSE)</f>
        <v>#N/A</v>
      </c>
      <c r="D33" s="117"/>
      <c r="E33" s="125" t="e">
        <f>VLOOKUP(Table257519913140106110151155170178204293[[#This Row],[PEG]],Table1016[#All],3,FALSE)</f>
        <v>#N/A</v>
      </c>
    </row>
    <row r="34" spans="1:5" x14ac:dyDescent="0.35">
      <c r="A34" s="118">
        <v>27</v>
      </c>
      <c r="B34" s="114" t="s">
        <v>115</v>
      </c>
      <c r="C34" s="109" t="e">
        <f>VLOOKUP(Table257519913140106110151155170178204293[[#This Row],[PEG]],Table1016[#All],2,FALSE)</f>
        <v>#N/A</v>
      </c>
      <c r="D34" s="117"/>
      <c r="E34" s="125" t="e">
        <f>VLOOKUP(Table257519913140106110151155170178204293[[#This Row],[PEG]],Table1016[#All],3,FALSE)</f>
        <v>#N/A</v>
      </c>
    </row>
    <row r="35" spans="1:5" x14ac:dyDescent="0.35">
      <c r="A35" s="118">
        <v>28</v>
      </c>
      <c r="B35" s="114" t="s">
        <v>124</v>
      </c>
      <c r="C35" s="109" t="e">
        <f>VLOOKUP(Table257519913140106110151155170178204293[[#This Row],[PEG]],Table1016[#All],2,FALSE)</f>
        <v>#N/A</v>
      </c>
      <c r="D35" s="117"/>
      <c r="E35" s="125" t="e">
        <f>VLOOKUP(Table257519913140106110151155170178204293[[#This Row],[PEG]],Table1016[#All],3,FALSE)</f>
        <v>#N/A</v>
      </c>
    </row>
    <row r="36" spans="1:5" x14ac:dyDescent="0.35">
      <c r="A36" s="118">
        <v>29</v>
      </c>
      <c r="B36" s="114" t="s">
        <v>115</v>
      </c>
      <c r="C36" s="109" t="e">
        <f>VLOOKUP(Table257519913140106110151155170178204293[[#This Row],[PEG]],Table1016[#All],2,FALSE)</f>
        <v>#N/A</v>
      </c>
      <c r="D36" s="117"/>
      <c r="E36" s="125" t="e">
        <f>VLOOKUP(Table257519913140106110151155170178204293[[#This Row],[PEG]],Table1016[#All],3,FALSE)</f>
        <v>#N/A</v>
      </c>
    </row>
    <row r="37" spans="1:5" x14ac:dyDescent="0.35">
      <c r="A37" s="118">
        <v>30</v>
      </c>
      <c r="B37" s="114" t="s">
        <v>12</v>
      </c>
      <c r="C37" s="109" t="e">
        <f>VLOOKUP(Table257519913140106110151155170178204293[[#This Row],[PEG]],Table1016[#All],2,FALSE)</f>
        <v>#N/A</v>
      </c>
      <c r="D37" s="117"/>
      <c r="E37" s="125" t="e">
        <f>VLOOKUP(Table257519913140106110151155170178204293[[#This Row],[PEG]],Table1016[#All],3,FALSE)</f>
        <v>#N/A</v>
      </c>
    </row>
    <row r="38" spans="1:5" x14ac:dyDescent="0.35">
      <c r="A38" s="118">
        <v>31</v>
      </c>
      <c r="B38" s="114" t="s">
        <v>12</v>
      </c>
      <c r="C38" s="109" t="e">
        <f>VLOOKUP(Table257519913140106110151155170178204293[[#This Row],[PEG]],Table1016[#All],2,FALSE)</f>
        <v>#N/A</v>
      </c>
      <c r="D38" s="117"/>
      <c r="E38" s="125" t="e">
        <f>VLOOKUP(Table257519913140106110151155170178204293[[#This Row],[PEG]],Table1016[#All],3,FALSE)</f>
        <v>#N/A</v>
      </c>
    </row>
    <row r="39" spans="1:5" x14ac:dyDescent="0.35">
      <c r="A39" s="118">
        <v>32</v>
      </c>
      <c r="B39" s="114" t="s">
        <v>12</v>
      </c>
      <c r="C39" s="109" t="e">
        <f>VLOOKUP(Table257519913140106110151155170178204293[[#This Row],[PEG]],Table1016[#All],2,FALSE)</f>
        <v>#N/A</v>
      </c>
      <c r="D39" s="117"/>
      <c r="E39" s="125" t="e">
        <f>VLOOKUP(Table257519913140106110151155170178204293[[#This Row],[PEG]],Table1016[#All],3,FALSE)</f>
        <v>#N/A</v>
      </c>
    </row>
    <row r="40" spans="1:5" x14ac:dyDescent="0.35">
      <c r="A40" s="118">
        <v>33</v>
      </c>
      <c r="B40" s="114" t="s">
        <v>12</v>
      </c>
      <c r="C40" s="109" t="e">
        <f>VLOOKUP(Table257519913140106110151155170178204293[[#This Row],[PEG]],Table1016[#All],2,FALSE)</f>
        <v>#N/A</v>
      </c>
      <c r="D40" s="117"/>
      <c r="E40" s="125" t="e">
        <f>VLOOKUP(Table257519913140106110151155170178204293[[#This Row],[PEG]],Table1016[#All],3,FALSE)</f>
        <v>#N/A</v>
      </c>
    </row>
    <row r="41" spans="1:5" x14ac:dyDescent="0.35">
      <c r="A41" s="118">
        <v>34</v>
      </c>
      <c r="B41" s="114" t="s">
        <v>115</v>
      </c>
      <c r="C41" s="109" t="e">
        <f>VLOOKUP(Table257519913140106110151155170178204293[[#This Row],[PEG]],Table1016[#All],2,FALSE)</f>
        <v>#N/A</v>
      </c>
      <c r="D41" s="117"/>
      <c r="E41" s="125" t="e">
        <f>VLOOKUP(Table257519913140106110151155170178204293[[#This Row],[PEG]],Table1016[#All],3,FALSE)</f>
        <v>#N/A</v>
      </c>
    </row>
    <row r="42" spans="1:5" x14ac:dyDescent="0.35">
      <c r="A42" s="118">
        <v>35</v>
      </c>
      <c r="B42" s="114" t="s">
        <v>12</v>
      </c>
      <c r="C42" s="109" t="e">
        <f>VLOOKUP(Table257519913140106110151155170178204293[[#This Row],[PEG]],Table1016[#All],2,FALSE)</f>
        <v>#N/A</v>
      </c>
      <c r="D42" s="115"/>
      <c r="E42" s="125" t="e">
        <f>VLOOKUP(Table257519913140106110151155170178204293[[#This Row],[PEG]],Table1016[#All],3,FALSE)</f>
        <v>#N/A</v>
      </c>
    </row>
    <row r="43" spans="1:5" x14ac:dyDescent="0.35">
      <c r="A43" s="118">
        <v>36</v>
      </c>
      <c r="B43" s="114" t="s">
        <v>115</v>
      </c>
      <c r="C43" s="109" t="e">
        <f>VLOOKUP(Table257519913140106110151155170178204293[[#This Row],[PEG]],Table1016[#All],2,FALSE)</f>
        <v>#N/A</v>
      </c>
      <c r="D43" s="115"/>
      <c r="E43" s="125" t="e">
        <f>VLOOKUP(Table257519913140106110151155170178204293[[#This Row],[PEG]],Table1016[#All],3,FALSE)</f>
        <v>#N/A</v>
      </c>
    </row>
    <row r="44" spans="1:5" x14ac:dyDescent="0.35">
      <c r="A44" s="118">
        <v>37</v>
      </c>
      <c r="B44" s="114" t="s">
        <v>13</v>
      </c>
      <c r="C44" s="18" t="s">
        <v>13</v>
      </c>
      <c r="D44" s="115"/>
      <c r="E44" s="32"/>
    </row>
  </sheetData>
  <mergeCells count="1">
    <mergeCell ref="A1:B1"/>
  </mergeCells>
  <conditionalFormatting sqref="B8:B18">
    <cfRule type="containsText" dxfId="243" priority="1" operator="containsText" text="Hear">
      <formula>NOT(ISERROR(SEARCH("Hear",B8)))</formula>
    </cfRule>
  </conditionalFormatting>
  <conditionalFormatting sqref="B30">
    <cfRule type="containsText" dxfId="242" priority="4" operator="containsText" text="Hear">
      <formula>NOT(ISERROR(SEARCH("Hear",B30)))</formula>
    </cfRule>
  </conditionalFormatting>
  <conditionalFormatting sqref="B43:B44">
    <cfRule type="containsText" dxfId="241" priority="8" operator="containsText" text="Hear">
      <formula>NOT(ISERROR(SEARCH("Hear",B43)))</formula>
    </cfRule>
  </conditionalFormatting>
  <conditionalFormatting sqref="E44">
    <cfRule type="containsText" dxfId="240" priority="6" operator="containsText" text="WEB SERVICE">
      <formula>NOT(ISERROR(SEARCH("WEB SERVICE",E44)))</formula>
    </cfRule>
    <cfRule type="containsText" dxfId="239" priority="7" operator="containsText" text="DB">
      <formula>NOT(ISERROR(SEARCH("DB",E44)))</formula>
    </cfRule>
  </conditionalFormatting>
  <conditionalFormatting sqref="C44">
    <cfRule type="expression" dxfId="238" priority="9">
      <formula>$B44="Dial"</formula>
    </cfRule>
  </conditionalFormatting>
  <conditionalFormatting sqref="C44">
    <cfRule type="expression" dxfId="237" priority="3">
      <formula>$B44="Speak"</formula>
    </cfRule>
  </conditionalFormatting>
  <conditionalFormatting sqref="B19:B29 B31:B35 B42">
    <cfRule type="containsText" dxfId="236" priority="5" operator="containsText" text="Hear">
      <formula>NOT(ISERROR(SEARCH("Hear",B19)))</formula>
    </cfRule>
  </conditionalFormatting>
  <hyperlinks>
    <hyperlink ref="A1" location="'Test Case Overview'!A1" display="Return to Test Case Overview" xr:uid="{74F7DF26-20AC-49D7-B2FE-018F2E3C6E76}"/>
  </hyperlinks>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expression" priority="2" id="{55BD5E23-AC36-4E92-8870-BDCB6D78B3EF}">
            <xm:f>'TC1'!$B8="HANGUP"</xm:f>
            <x14:dxf>
              <font>
                <b/>
                <i val="0"/>
              </font>
            </x14:dxf>
          </x14:cfRule>
          <xm:sqref>C8</xm:sqref>
        </x14:conditionalFormatting>
        <x14:conditionalFormatting xmlns:xm="http://schemas.microsoft.com/office/excel/2006/main">
          <x14:cfRule type="expression" priority="3414" id="{55BD5E23-AC36-4E92-8870-BDCB6D78B3EF}">
            <xm:f>'TC1'!$B16="HANGUP"</xm:f>
            <x14:dxf>
              <font>
                <b/>
                <i val="0"/>
              </font>
            </x14:dxf>
          </x14:cfRule>
          <xm:sqref>C34:C43</xm:sqref>
        </x14:conditionalFormatting>
        <x14:conditionalFormatting xmlns:xm="http://schemas.microsoft.com/office/excel/2006/main">
          <x14:cfRule type="expression" priority="3415" id="{55BD5E23-AC36-4E92-8870-BDCB6D78B3EF}">
            <xm:f>'TC1'!#REF!="HANGUP"</xm:f>
            <x14:dxf>
              <font>
                <b/>
                <i val="0"/>
              </font>
            </x14:dxf>
          </x14:cfRule>
          <xm:sqref>C17:C33</xm:sqref>
        </x14:conditionalFormatting>
        <x14:conditionalFormatting xmlns:xm="http://schemas.microsoft.com/office/excel/2006/main">
          <x14:cfRule type="expression" priority="6028" id="{55BD5E23-AC36-4E92-8870-BDCB6D78B3EF}">
            <xm:f>'TC1'!$B9="HANGUP"</xm:f>
            <x14:dxf>
              <font>
                <b/>
                <i val="0"/>
              </font>
            </x14:dxf>
          </x14:cfRule>
          <xm:sqref>C12:C15</xm:sqref>
        </x14:conditionalFormatting>
        <x14:conditionalFormatting xmlns:xm="http://schemas.microsoft.com/office/excel/2006/main">
          <x14:cfRule type="expression" priority="6029" id="{55BD5E23-AC36-4E92-8870-BDCB6D78B3EF}">
            <xm:f>'TC1'!#REF!="HANGUP"</xm:f>
            <x14:dxf>
              <font>
                <b/>
                <i val="0"/>
              </font>
            </x14:dxf>
          </x14:cfRule>
          <xm:sqref>C9:C11</xm:sqref>
        </x14:conditionalFormatting>
        <x14:conditionalFormatting xmlns:xm="http://schemas.microsoft.com/office/excel/2006/main">
          <x14:cfRule type="expression" priority="8184" id="{55BD5E23-AC36-4E92-8870-BDCB6D78B3EF}">
            <xm:f>'TC1'!$B15="HANGUP"</xm:f>
            <x14:dxf>
              <font>
                <b/>
                <i val="0"/>
              </font>
            </x14:dxf>
          </x14:cfRule>
          <xm:sqref>C16</xm:sqref>
        </x14:conditionalFormatting>
      </x14:conditionalFormattings>
    </ext>
  </extLst>
</worksheet>
</file>

<file path=xl/worksheets/sheet1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C100-000000000000}">
  <sheetPr codeName="Sheet195"/>
  <dimension ref="A1:E44"/>
  <sheetViews>
    <sheetView zoomScaleNormal="100" workbookViewId="0">
      <selection sqref="A1:E44"/>
    </sheetView>
  </sheetViews>
  <sheetFormatPr defaultRowHeight="14.5" x14ac:dyDescent="0.35"/>
  <cols>
    <col min="1" max="1" width="14.453125" bestFit="1" customWidth="1"/>
    <col min="2" max="2" width="42.6328125" customWidth="1"/>
    <col min="3" max="3" width="106.1796875" customWidth="1"/>
    <col min="4" max="4" width="21.81640625" bestFit="1" customWidth="1"/>
    <col min="5" max="5" width="20.6328125" customWidth="1"/>
  </cols>
  <sheetData>
    <row r="1" spans="1:5" ht="18.5" x14ac:dyDescent="0.35">
      <c r="A1" s="192" t="s">
        <v>4</v>
      </c>
      <c r="B1" s="192"/>
      <c r="C1" s="105"/>
      <c r="D1" s="111"/>
      <c r="E1" s="97"/>
    </row>
    <row r="2" spans="1:5" x14ac:dyDescent="0.35">
      <c r="A2" s="106" t="s">
        <v>5</v>
      </c>
      <c r="B2" s="107" t="str">
        <f ca="1">MID(CELL("filename",A1),FIND("]",CELL("filename",A1))+1,LEN(CELL("filename",A1))-FIND("]",CELL("filename",A1)))</f>
        <v>TC193</v>
      </c>
      <c r="C2" s="98"/>
      <c r="D2" s="111"/>
      <c r="E2" s="97"/>
    </row>
    <row r="3" spans="1:5" x14ac:dyDescent="0.35">
      <c r="A3" s="104" t="s">
        <v>19</v>
      </c>
      <c r="B3" s="112" t="e">
        <f ca="1">VLOOKUP(B2,Table53[#All],2,FALSE)</f>
        <v>#N/A</v>
      </c>
      <c r="C3" s="98"/>
      <c r="D3" s="111"/>
      <c r="E3" s="97"/>
    </row>
    <row r="4" spans="1:5" ht="29" x14ac:dyDescent="0.35">
      <c r="A4" s="113" t="s">
        <v>20</v>
      </c>
      <c r="B4" s="99" t="e">
        <f ca="1">VLOOKUP(B2,Table53[#All],4,FALSE)</f>
        <v>#N/A</v>
      </c>
      <c r="C4" s="98"/>
      <c r="D4" s="111"/>
      <c r="E4" s="97"/>
    </row>
    <row r="5" spans="1:5" x14ac:dyDescent="0.35">
      <c r="A5" s="104" t="s">
        <v>6</v>
      </c>
      <c r="B5" s="77" t="e">
        <f ca="1">VLOOKUP(B2,Table53[#All],3,FALSE)</f>
        <v>#N/A</v>
      </c>
      <c r="C5" s="98"/>
      <c r="D5" s="111"/>
      <c r="E5" s="97"/>
    </row>
    <row r="6" spans="1:5" x14ac:dyDescent="0.35">
      <c r="A6" s="97"/>
      <c r="B6" s="97"/>
      <c r="C6" s="98"/>
      <c r="D6" s="111"/>
      <c r="E6" s="97"/>
    </row>
    <row r="7" spans="1:5" ht="15.5" x14ac:dyDescent="0.35">
      <c r="A7" s="100" t="s">
        <v>7</v>
      </c>
      <c r="B7" s="101" t="s">
        <v>8</v>
      </c>
      <c r="C7" s="102" t="s">
        <v>9</v>
      </c>
      <c r="D7" s="102" t="s">
        <v>14</v>
      </c>
      <c r="E7" s="103" t="s">
        <v>10</v>
      </c>
    </row>
    <row r="8" spans="1:5" x14ac:dyDescent="0.35">
      <c r="A8" s="118">
        <v>1</v>
      </c>
      <c r="B8" s="114" t="s">
        <v>114</v>
      </c>
      <c r="C8" s="109" t="s">
        <v>125</v>
      </c>
      <c r="D8" s="128"/>
      <c r="E8" s="125" t="s">
        <v>11</v>
      </c>
    </row>
    <row r="9" spans="1:5" x14ac:dyDescent="0.35">
      <c r="A9" s="118">
        <v>2</v>
      </c>
      <c r="B9" s="114" t="s">
        <v>12</v>
      </c>
      <c r="C9" s="109" t="e">
        <f>VLOOKUP(Table257519913140106110151155170178204295[[#This Row],[PEG]],Table1016[#All],2,FALSE)</f>
        <v>#N/A</v>
      </c>
      <c r="D9" s="128"/>
      <c r="E9" s="125" t="e">
        <f>VLOOKUP(Table257519913140106110151155170178204295[[#This Row],[PEG]],Table1016[#All],3,FALSE)</f>
        <v>#N/A</v>
      </c>
    </row>
    <row r="10" spans="1:5" x14ac:dyDescent="0.35">
      <c r="A10" s="118">
        <v>3</v>
      </c>
      <c r="B10" s="114" t="s">
        <v>115</v>
      </c>
      <c r="C10" s="109" t="e">
        <f>VLOOKUP(Table257519913140106110151155170178204295[[#This Row],[PEG]],Table1016[#All],2,FALSE)</f>
        <v>#N/A</v>
      </c>
      <c r="D10" s="128"/>
      <c r="E10" s="125" t="e">
        <f>VLOOKUP(Table257519913140106110151155170178204295[[#This Row],[PEG]],Table1016[#All],3,FALSE)</f>
        <v>#N/A</v>
      </c>
    </row>
    <row r="11" spans="1:5" x14ac:dyDescent="0.35">
      <c r="A11" s="118">
        <v>4</v>
      </c>
      <c r="B11" s="114" t="s">
        <v>115</v>
      </c>
      <c r="C11" s="109" t="e">
        <f>VLOOKUP(Table257519913140106110151155170178204295[[#This Row],[PEG]],Table1016[#All],2,FALSE)</f>
        <v>#N/A</v>
      </c>
      <c r="D11" s="128"/>
      <c r="E11" s="125" t="e">
        <f>VLOOKUP(Table257519913140106110151155170178204295[[#This Row],[PEG]],Table1016[#All],3,FALSE)</f>
        <v>#N/A</v>
      </c>
    </row>
    <row r="12" spans="1:5" x14ac:dyDescent="0.35">
      <c r="A12" s="118">
        <v>5</v>
      </c>
      <c r="B12" s="114" t="s">
        <v>114</v>
      </c>
      <c r="C12" s="109" t="e">
        <f>VLOOKUP(Table257519913140106110151155170178204295[[#This Row],[PEG]],Table1016[#All],2,FALSE)</f>
        <v>#N/A</v>
      </c>
      <c r="D12" s="128"/>
      <c r="E12" s="125" t="e">
        <f>VLOOKUP(Table257519913140106110151155170178204295[[#This Row],[PEG]],Table1016[#All],3,FALSE)</f>
        <v>#N/A</v>
      </c>
    </row>
    <row r="13" spans="1:5" x14ac:dyDescent="0.35">
      <c r="A13" s="118">
        <v>6</v>
      </c>
      <c r="B13" s="114" t="s">
        <v>115</v>
      </c>
      <c r="C13" s="109" t="e">
        <f>VLOOKUP(Table257519913140106110151155170178204295[[#This Row],[PEG]],Table1016[#All],2,FALSE)</f>
        <v>#N/A</v>
      </c>
      <c r="D13" s="128"/>
      <c r="E13" s="125" t="e">
        <f>VLOOKUP(Table257519913140106110151155170178204295[[#This Row],[PEG]],Table1016[#All],3,FALSE)</f>
        <v>#N/A</v>
      </c>
    </row>
    <row r="14" spans="1:5" x14ac:dyDescent="0.35">
      <c r="A14" s="118">
        <v>7</v>
      </c>
      <c r="B14" s="114" t="s">
        <v>114</v>
      </c>
      <c r="C14" s="109" t="e">
        <f>VLOOKUP(Table257519913140106110151155170178204295[[#This Row],[PEG]],Table1016[#All],2,FALSE)</f>
        <v>#N/A</v>
      </c>
      <c r="D14" s="128"/>
      <c r="E14" s="125" t="e">
        <f>VLOOKUP(Table257519913140106110151155170178204295[[#This Row],[PEG]],Table1016[#All],3,FALSE)</f>
        <v>#N/A</v>
      </c>
    </row>
    <row r="15" spans="1:5" x14ac:dyDescent="0.35">
      <c r="A15" s="118">
        <v>8</v>
      </c>
      <c r="B15" s="114" t="s">
        <v>115</v>
      </c>
      <c r="C15" s="109" t="e">
        <f>VLOOKUP(Table257519913140106110151155170178204295[[#This Row],[PEG]],Table1016[#All],2,FALSE)</f>
        <v>#N/A</v>
      </c>
      <c r="D15" s="116"/>
      <c r="E15" s="125" t="e">
        <f>VLOOKUP(Table257519913140106110151155170178204295[[#This Row],[PEG]],Table1016[#All],3,FALSE)</f>
        <v>#N/A</v>
      </c>
    </row>
    <row r="16" spans="1:5" x14ac:dyDescent="0.35">
      <c r="A16" s="118">
        <v>9</v>
      </c>
      <c r="B16" s="114" t="s">
        <v>12</v>
      </c>
      <c r="C16" s="109" t="e">
        <f>VLOOKUP(Table257519913140106110151155170178204295[[#This Row],[PEG]],Table1016[#All],2,FALSE)</f>
        <v>#N/A</v>
      </c>
      <c r="D16" s="116"/>
      <c r="E16" s="125" t="e">
        <f>VLOOKUP(Table257519913140106110151155170178204295[[#This Row],[PEG]],Table1016[#All],3,FALSE)</f>
        <v>#N/A</v>
      </c>
    </row>
    <row r="17" spans="1:5" x14ac:dyDescent="0.35">
      <c r="A17" s="118">
        <v>10</v>
      </c>
      <c r="B17" s="114" t="s">
        <v>12</v>
      </c>
      <c r="C17" s="109" t="e">
        <f>VLOOKUP(Table257519913140106110151155170178204295[[#This Row],[PEG]],Table1016[#All],2,FALSE)</f>
        <v>#N/A</v>
      </c>
      <c r="D17" s="117"/>
      <c r="E17" s="125" t="e">
        <f>VLOOKUP(Table257519913140106110151155170178204295[[#This Row],[PEG]],Table1016[#All],3,FALSE)</f>
        <v>#N/A</v>
      </c>
    </row>
    <row r="18" spans="1:5" x14ac:dyDescent="0.35">
      <c r="A18" s="118">
        <v>11</v>
      </c>
      <c r="B18" s="114" t="s">
        <v>115</v>
      </c>
      <c r="C18" s="109" t="e">
        <f>VLOOKUP(Table257519913140106110151155170178204295[[#This Row],[PEG]],Table1016[#All],2,FALSE)</f>
        <v>#N/A</v>
      </c>
      <c r="D18" s="117"/>
      <c r="E18" s="125" t="e">
        <f>VLOOKUP(Table257519913140106110151155170178204295[[#This Row],[PEG]],Table1016[#All],3,FALSE)</f>
        <v>#N/A</v>
      </c>
    </row>
    <row r="19" spans="1:5" x14ac:dyDescent="0.35">
      <c r="A19" s="118">
        <v>12</v>
      </c>
      <c r="B19" s="114" t="s">
        <v>115</v>
      </c>
      <c r="C19" s="109" t="e">
        <f>VLOOKUP(Table257519913140106110151155170178204295[[#This Row],[PEG]],Table1016[#All],2,FALSE)</f>
        <v>#N/A</v>
      </c>
      <c r="D19" s="117"/>
      <c r="E19" s="125" t="e">
        <f>VLOOKUP(Table257519913140106110151155170178204295[[#This Row],[PEG]],Table1016[#All],3,FALSE)</f>
        <v>#N/A</v>
      </c>
    </row>
    <row r="20" spans="1:5" x14ac:dyDescent="0.35">
      <c r="A20" s="118">
        <v>13</v>
      </c>
      <c r="B20" s="114" t="s">
        <v>114</v>
      </c>
      <c r="C20" s="109" t="e">
        <f>VLOOKUP(Table257519913140106110151155170178204295[[#This Row],[PEG]],Table1016[#All],2,FALSE)</f>
        <v>#N/A</v>
      </c>
      <c r="D20" s="117"/>
      <c r="E20" s="125" t="e">
        <f>VLOOKUP(Table257519913140106110151155170178204295[[#This Row],[PEG]],Table1016[#All],3,FALSE)</f>
        <v>#N/A</v>
      </c>
    </row>
    <row r="21" spans="1:5" x14ac:dyDescent="0.35">
      <c r="A21" s="118">
        <v>14</v>
      </c>
      <c r="B21" s="114" t="s">
        <v>12</v>
      </c>
      <c r="C21" s="109" t="e">
        <f>VLOOKUP(Table257519913140106110151155170178204295[[#This Row],[PEG]],Table1016[#All],2,FALSE)</f>
        <v>#N/A</v>
      </c>
      <c r="D21" s="117"/>
      <c r="E21" s="125" t="e">
        <f>VLOOKUP(Table257519913140106110151155170178204295[[#This Row],[PEG]],Table1016[#All],3,FALSE)</f>
        <v>#N/A</v>
      </c>
    </row>
    <row r="22" spans="1:5" x14ac:dyDescent="0.35">
      <c r="A22" s="118">
        <v>15</v>
      </c>
      <c r="B22" s="114" t="s">
        <v>12</v>
      </c>
      <c r="C22" s="109" t="e">
        <f>VLOOKUP(Table257519913140106110151155170178204295[[#This Row],[PEG]],Table1016[#All],2,FALSE)</f>
        <v>#N/A</v>
      </c>
      <c r="D22" s="117"/>
      <c r="E22" s="125" t="e">
        <f>VLOOKUP(Table257519913140106110151155170178204295[[#This Row],[PEG]],Table1016[#All],3,FALSE)</f>
        <v>#N/A</v>
      </c>
    </row>
    <row r="23" spans="1:5" x14ac:dyDescent="0.35">
      <c r="A23" s="118">
        <v>16</v>
      </c>
      <c r="B23" s="114" t="s">
        <v>115</v>
      </c>
      <c r="C23" s="109" t="e">
        <f>VLOOKUP(Table257519913140106110151155170178204295[[#This Row],[PEG]],Table1016[#All],2,FALSE)</f>
        <v>#N/A</v>
      </c>
      <c r="D23" s="117"/>
      <c r="E23" s="125" t="e">
        <f>VLOOKUP(Table257519913140106110151155170178204295[[#This Row],[PEG]],Table1016[#All],3,FALSE)</f>
        <v>#N/A</v>
      </c>
    </row>
    <row r="24" spans="1:5" x14ac:dyDescent="0.35">
      <c r="A24" s="118">
        <v>17</v>
      </c>
      <c r="B24" s="114" t="s">
        <v>114</v>
      </c>
      <c r="C24" s="109" t="e">
        <f>VLOOKUP(Table257519913140106110151155170178204295[[#This Row],[PEG]],Table1016[#All],2,FALSE)</f>
        <v>#N/A</v>
      </c>
      <c r="D24" s="117"/>
      <c r="E24" s="125" t="e">
        <f>VLOOKUP(Table257519913140106110151155170178204295[[#This Row],[PEG]],Table1016[#All],3,FALSE)</f>
        <v>#N/A</v>
      </c>
    </row>
    <row r="25" spans="1:5" x14ac:dyDescent="0.35">
      <c r="A25" s="118">
        <v>18</v>
      </c>
      <c r="B25" s="114" t="s">
        <v>12</v>
      </c>
      <c r="C25" s="109" t="e">
        <f>VLOOKUP(Table257519913140106110151155170178204295[[#This Row],[PEG]],Table1016[#All],2,FALSE)</f>
        <v>#N/A</v>
      </c>
      <c r="D25" s="117"/>
      <c r="E25" s="125" t="e">
        <f>VLOOKUP(Table257519913140106110151155170178204295[[#This Row],[PEG]],Table1016[#All],3,FALSE)</f>
        <v>#N/A</v>
      </c>
    </row>
    <row r="26" spans="1:5" x14ac:dyDescent="0.35">
      <c r="A26" s="118">
        <v>19</v>
      </c>
      <c r="B26" s="114" t="s">
        <v>12</v>
      </c>
      <c r="C26" s="109" t="e">
        <f>VLOOKUP(Table257519913140106110151155170178204295[[#This Row],[PEG]],Table1016[#All],2,FALSE)</f>
        <v>#N/A</v>
      </c>
      <c r="D26" s="117"/>
      <c r="E26" s="125" t="e">
        <f>VLOOKUP(Table257519913140106110151155170178204295[[#This Row],[PEG]],Table1016[#All],3,FALSE)</f>
        <v>#N/A</v>
      </c>
    </row>
    <row r="27" spans="1:5" x14ac:dyDescent="0.35">
      <c r="A27" s="118">
        <v>20</v>
      </c>
      <c r="B27" s="114" t="s">
        <v>115</v>
      </c>
      <c r="C27" s="109" t="e">
        <f>VLOOKUP(Table257519913140106110151155170178204295[[#This Row],[PEG]],Table1016[#All],2,FALSE)</f>
        <v>#N/A</v>
      </c>
      <c r="D27" s="117"/>
      <c r="E27" s="125" t="e">
        <f>VLOOKUP(Table257519913140106110151155170178204295[[#This Row],[PEG]],Table1016[#All],3,FALSE)</f>
        <v>#N/A</v>
      </c>
    </row>
    <row r="28" spans="1:5" x14ac:dyDescent="0.35">
      <c r="A28" s="118">
        <v>21</v>
      </c>
      <c r="B28" s="114" t="s">
        <v>114</v>
      </c>
      <c r="C28" s="109" t="e">
        <f>VLOOKUP(Table257519913140106110151155170178204295[[#This Row],[PEG]],Table1016[#All],2,FALSE)</f>
        <v>#N/A</v>
      </c>
      <c r="D28" s="117"/>
      <c r="E28" s="125" t="e">
        <f>VLOOKUP(Table257519913140106110151155170178204295[[#This Row],[PEG]],Table1016[#All],3,FALSE)</f>
        <v>#N/A</v>
      </c>
    </row>
    <row r="29" spans="1:5" x14ac:dyDescent="0.35">
      <c r="A29" s="118">
        <v>22</v>
      </c>
      <c r="B29" s="114" t="s">
        <v>12</v>
      </c>
      <c r="C29" s="109" t="e">
        <f>VLOOKUP(Table257519913140106110151155170178204295[[#This Row],[PEG]],Table1016[#All],2,FALSE)</f>
        <v>#N/A</v>
      </c>
      <c r="D29" s="117"/>
      <c r="E29" s="125" t="e">
        <f>VLOOKUP(Table257519913140106110151155170178204295[[#This Row],[PEG]],Table1016[#All],3,FALSE)</f>
        <v>#N/A</v>
      </c>
    </row>
    <row r="30" spans="1:5" x14ac:dyDescent="0.35">
      <c r="A30" s="118">
        <v>23</v>
      </c>
      <c r="B30" s="114" t="s">
        <v>12</v>
      </c>
      <c r="C30" s="109" t="e">
        <f>VLOOKUP(Table257519913140106110151155170178204295[[#This Row],[PEG]],Table1016[#All],2,FALSE)</f>
        <v>#N/A</v>
      </c>
      <c r="D30" s="117"/>
      <c r="E30" s="125" t="e">
        <f>VLOOKUP(Table257519913140106110151155170178204295[[#This Row],[PEG]],Table1016[#All],3,FALSE)</f>
        <v>#N/A</v>
      </c>
    </row>
    <row r="31" spans="1:5" x14ac:dyDescent="0.35">
      <c r="A31" s="118">
        <v>24</v>
      </c>
      <c r="B31" s="114" t="s">
        <v>115</v>
      </c>
      <c r="C31" s="109" t="e">
        <f>VLOOKUP(Table257519913140106110151155170178204295[[#This Row],[PEG]],Table1016[#All],2,FALSE)</f>
        <v>#N/A</v>
      </c>
      <c r="D31" s="117"/>
      <c r="E31" s="125" t="e">
        <f>VLOOKUP(Table257519913140106110151155170178204295[[#This Row],[PEG]],Table1016[#All],3,FALSE)</f>
        <v>#N/A</v>
      </c>
    </row>
    <row r="32" spans="1:5" x14ac:dyDescent="0.35">
      <c r="A32" s="118">
        <v>25</v>
      </c>
      <c r="B32" s="114" t="s">
        <v>115</v>
      </c>
      <c r="C32" s="109" t="e">
        <f>VLOOKUP(Table257519913140106110151155170178204295[[#This Row],[PEG]],Table1016[#All],2,FALSE)</f>
        <v>#N/A</v>
      </c>
      <c r="D32" s="117"/>
      <c r="E32" s="125" t="e">
        <f>VLOOKUP(Table257519913140106110151155170178204295[[#This Row],[PEG]],Table1016[#All],3,FALSE)</f>
        <v>#N/A</v>
      </c>
    </row>
    <row r="33" spans="1:5" x14ac:dyDescent="0.35">
      <c r="A33" s="118">
        <v>26</v>
      </c>
      <c r="B33" s="114" t="s">
        <v>124</v>
      </c>
      <c r="C33" s="109" t="e">
        <f>VLOOKUP(Table257519913140106110151155170178204295[[#This Row],[PEG]],Table1016[#All],2,FALSE)</f>
        <v>#N/A</v>
      </c>
      <c r="D33" s="117"/>
      <c r="E33" s="125" t="e">
        <f>VLOOKUP(Table257519913140106110151155170178204295[[#This Row],[PEG]],Table1016[#All],3,FALSE)</f>
        <v>#N/A</v>
      </c>
    </row>
    <row r="34" spans="1:5" x14ac:dyDescent="0.35">
      <c r="A34" s="118">
        <v>27</v>
      </c>
      <c r="B34" s="114" t="s">
        <v>115</v>
      </c>
      <c r="C34" s="109" t="e">
        <f>VLOOKUP(Table257519913140106110151155170178204295[[#This Row],[PEG]],Table1016[#All],2,FALSE)</f>
        <v>#N/A</v>
      </c>
      <c r="D34" s="117"/>
      <c r="E34" s="125" t="e">
        <f>VLOOKUP(Table257519913140106110151155170178204295[[#This Row],[PEG]],Table1016[#All],3,FALSE)</f>
        <v>#N/A</v>
      </c>
    </row>
    <row r="35" spans="1:5" x14ac:dyDescent="0.35">
      <c r="A35" s="118">
        <v>28</v>
      </c>
      <c r="B35" s="114" t="s">
        <v>124</v>
      </c>
      <c r="C35" s="109" t="e">
        <f>VLOOKUP(Table257519913140106110151155170178204295[[#This Row],[PEG]],Table1016[#All],2,FALSE)</f>
        <v>#N/A</v>
      </c>
      <c r="D35" s="117"/>
      <c r="E35" s="125" t="e">
        <f>VLOOKUP(Table257519913140106110151155170178204295[[#This Row],[PEG]],Table1016[#All],3,FALSE)</f>
        <v>#N/A</v>
      </c>
    </row>
    <row r="36" spans="1:5" x14ac:dyDescent="0.35">
      <c r="A36" s="118">
        <v>29</v>
      </c>
      <c r="B36" s="114" t="s">
        <v>115</v>
      </c>
      <c r="C36" s="109" t="e">
        <f>VLOOKUP(Table257519913140106110151155170178204295[[#This Row],[PEG]],Table1016[#All],2,FALSE)</f>
        <v>#N/A</v>
      </c>
      <c r="D36" s="117"/>
      <c r="E36" s="125" t="e">
        <f>VLOOKUP(Table257519913140106110151155170178204295[[#This Row],[PEG]],Table1016[#All],3,FALSE)</f>
        <v>#N/A</v>
      </c>
    </row>
    <row r="37" spans="1:5" x14ac:dyDescent="0.35">
      <c r="A37" s="118">
        <v>30</v>
      </c>
      <c r="B37" s="114" t="s">
        <v>12</v>
      </c>
      <c r="C37" s="109" t="e">
        <f>VLOOKUP(Table257519913140106110151155170178204295[[#This Row],[PEG]],Table1016[#All],2,FALSE)</f>
        <v>#N/A</v>
      </c>
      <c r="D37" s="117"/>
      <c r="E37" s="125" t="e">
        <f>VLOOKUP(Table257519913140106110151155170178204295[[#This Row],[PEG]],Table1016[#All],3,FALSE)</f>
        <v>#N/A</v>
      </c>
    </row>
    <row r="38" spans="1:5" x14ac:dyDescent="0.35">
      <c r="A38" s="118">
        <v>31</v>
      </c>
      <c r="B38" s="114" t="s">
        <v>12</v>
      </c>
      <c r="C38" s="109" t="e">
        <f>VLOOKUP(Table257519913140106110151155170178204295[[#This Row],[PEG]],Table1016[#All],2,FALSE)</f>
        <v>#N/A</v>
      </c>
      <c r="D38" s="117"/>
      <c r="E38" s="125" t="e">
        <f>VLOOKUP(Table257519913140106110151155170178204295[[#This Row],[PEG]],Table1016[#All],3,FALSE)</f>
        <v>#N/A</v>
      </c>
    </row>
    <row r="39" spans="1:5" x14ac:dyDescent="0.35">
      <c r="A39" s="118">
        <v>32</v>
      </c>
      <c r="B39" s="114" t="s">
        <v>12</v>
      </c>
      <c r="C39" s="109" t="e">
        <f>VLOOKUP(Table257519913140106110151155170178204295[[#This Row],[PEG]],Table1016[#All],2,FALSE)</f>
        <v>#N/A</v>
      </c>
      <c r="D39" s="117"/>
      <c r="E39" s="125" t="e">
        <f>VLOOKUP(Table257519913140106110151155170178204295[[#This Row],[PEG]],Table1016[#All],3,FALSE)</f>
        <v>#N/A</v>
      </c>
    </row>
    <row r="40" spans="1:5" x14ac:dyDescent="0.35">
      <c r="A40" s="118">
        <v>33</v>
      </c>
      <c r="B40" s="114" t="s">
        <v>12</v>
      </c>
      <c r="C40" s="109" t="e">
        <f>VLOOKUP(Table257519913140106110151155170178204295[[#This Row],[PEG]],Table1016[#All],2,FALSE)</f>
        <v>#N/A</v>
      </c>
      <c r="D40" s="117"/>
      <c r="E40" s="125" t="e">
        <f>VLOOKUP(Table257519913140106110151155170178204295[[#This Row],[PEG]],Table1016[#All],3,FALSE)</f>
        <v>#N/A</v>
      </c>
    </row>
    <row r="41" spans="1:5" x14ac:dyDescent="0.35">
      <c r="A41" s="118">
        <v>34</v>
      </c>
      <c r="B41" s="114" t="s">
        <v>115</v>
      </c>
      <c r="C41" s="109" t="e">
        <f>VLOOKUP(Table257519913140106110151155170178204295[[#This Row],[PEG]],Table1016[#All],2,FALSE)</f>
        <v>#N/A</v>
      </c>
      <c r="D41" s="117"/>
      <c r="E41" s="125" t="e">
        <f>VLOOKUP(Table257519913140106110151155170178204295[[#This Row],[PEG]],Table1016[#All],3,FALSE)</f>
        <v>#N/A</v>
      </c>
    </row>
    <row r="42" spans="1:5" x14ac:dyDescent="0.35">
      <c r="A42" s="118">
        <v>35</v>
      </c>
      <c r="B42" s="114" t="s">
        <v>12</v>
      </c>
      <c r="C42" s="109" t="e">
        <f>VLOOKUP(Table257519913140106110151155170178204295[[#This Row],[PEG]],Table1016[#All],2,FALSE)</f>
        <v>#N/A</v>
      </c>
      <c r="D42" s="115"/>
      <c r="E42" s="125" t="e">
        <f>VLOOKUP(Table257519913140106110151155170178204295[[#This Row],[PEG]],Table1016[#All],3,FALSE)</f>
        <v>#N/A</v>
      </c>
    </row>
    <row r="43" spans="1:5" x14ac:dyDescent="0.35">
      <c r="A43" s="118">
        <v>36</v>
      </c>
      <c r="B43" s="114" t="s">
        <v>115</v>
      </c>
      <c r="C43" s="109" t="e">
        <f>VLOOKUP(Table257519913140106110151155170178204295[[#This Row],[PEG]],Table1016[#All],2,FALSE)</f>
        <v>#N/A</v>
      </c>
      <c r="D43" s="115"/>
      <c r="E43" s="125" t="e">
        <f>VLOOKUP(Table257519913140106110151155170178204295[[#This Row],[PEG]],Table1016[#All],3,FALSE)</f>
        <v>#N/A</v>
      </c>
    </row>
    <row r="44" spans="1:5" x14ac:dyDescent="0.35">
      <c r="A44" s="118">
        <v>37</v>
      </c>
      <c r="B44" s="114" t="s">
        <v>13</v>
      </c>
      <c r="C44" s="18" t="s">
        <v>13</v>
      </c>
      <c r="D44" s="115"/>
      <c r="E44" s="32"/>
    </row>
  </sheetData>
  <mergeCells count="1">
    <mergeCell ref="A1:B1"/>
  </mergeCells>
  <conditionalFormatting sqref="B8:B18">
    <cfRule type="containsText" dxfId="229" priority="1" operator="containsText" text="Hear">
      <formula>NOT(ISERROR(SEARCH("Hear",B8)))</formula>
    </cfRule>
  </conditionalFormatting>
  <conditionalFormatting sqref="B30">
    <cfRule type="containsText" dxfId="228" priority="4" operator="containsText" text="Hear">
      <formula>NOT(ISERROR(SEARCH("Hear",B30)))</formula>
    </cfRule>
  </conditionalFormatting>
  <conditionalFormatting sqref="B43:B44">
    <cfRule type="containsText" dxfId="227" priority="8" operator="containsText" text="Hear">
      <formula>NOT(ISERROR(SEARCH("Hear",B43)))</formula>
    </cfRule>
  </conditionalFormatting>
  <conditionalFormatting sqref="E44">
    <cfRule type="containsText" dxfId="226" priority="6" operator="containsText" text="WEB SERVICE">
      <formula>NOT(ISERROR(SEARCH("WEB SERVICE",E44)))</formula>
    </cfRule>
    <cfRule type="containsText" dxfId="225" priority="7" operator="containsText" text="DB">
      <formula>NOT(ISERROR(SEARCH("DB",E44)))</formula>
    </cfRule>
  </conditionalFormatting>
  <conditionalFormatting sqref="C44">
    <cfRule type="expression" dxfId="224" priority="9">
      <formula>$B44="Dial"</formula>
    </cfRule>
  </conditionalFormatting>
  <conditionalFormatting sqref="C44">
    <cfRule type="expression" dxfId="223" priority="3">
      <formula>$B44="Speak"</formula>
    </cfRule>
  </conditionalFormatting>
  <conditionalFormatting sqref="B19:B29 B31:B35 B42">
    <cfRule type="containsText" dxfId="222" priority="5" operator="containsText" text="Hear">
      <formula>NOT(ISERROR(SEARCH("Hear",B19)))</formula>
    </cfRule>
  </conditionalFormatting>
  <hyperlinks>
    <hyperlink ref="A1" location="'Test Case Overview'!A1" display="Return to Test Case Overview" xr:uid="{4E17423B-3CA0-42F4-A750-AE468260976B}"/>
  </hyperlinks>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expression" priority="2" id="{22C5F72A-72D2-4B22-B606-7624773CCDC9}">
            <xm:f>'TC1'!$B8="HANGUP"</xm:f>
            <x14:dxf>
              <font>
                <b/>
                <i val="0"/>
              </font>
            </x14:dxf>
          </x14:cfRule>
          <xm:sqref>C8</xm:sqref>
        </x14:conditionalFormatting>
        <x14:conditionalFormatting xmlns:xm="http://schemas.microsoft.com/office/excel/2006/main">
          <x14:cfRule type="expression" priority="3418" id="{22C5F72A-72D2-4B22-B606-7624773CCDC9}">
            <xm:f>'TC1'!$B16="HANGUP"</xm:f>
            <x14:dxf>
              <font>
                <b/>
                <i val="0"/>
              </font>
            </x14:dxf>
          </x14:cfRule>
          <xm:sqref>C34:C43</xm:sqref>
        </x14:conditionalFormatting>
        <x14:conditionalFormatting xmlns:xm="http://schemas.microsoft.com/office/excel/2006/main">
          <x14:cfRule type="expression" priority="3419" id="{22C5F72A-72D2-4B22-B606-7624773CCDC9}">
            <xm:f>'TC1'!#REF!="HANGUP"</xm:f>
            <x14:dxf>
              <font>
                <b/>
                <i val="0"/>
              </font>
            </x14:dxf>
          </x14:cfRule>
          <xm:sqref>C17:C33</xm:sqref>
        </x14:conditionalFormatting>
        <x14:conditionalFormatting xmlns:xm="http://schemas.microsoft.com/office/excel/2006/main">
          <x14:cfRule type="expression" priority="6032" id="{22C5F72A-72D2-4B22-B606-7624773CCDC9}">
            <xm:f>'TC1'!$B9="HANGUP"</xm:f>
            <x14:dxf>
              <font>
                <b/>
                <i val="0"/>
              </font>
            </x14:dxf>
          </x14:cfRule>
          <xm:sqref>C12:C15</xm:sqref>
        </x14:conditionalFormatting>
        <x14:conditionalFormatting xmlns:xm="http://schemas.microsoft.com/office/excel/2006/main">
          <x14:cfRule type="expression" priority="6033" id="{22C5F72A-72D2-4B22-B606-7624773CCDC9}">
            <xm:f>'TC1'!#REF!="HANGUP"</xm:f>
            <x14:dxf>
              <font>
                <b/>
                <i val="0"/>
              </font>
            </x14:dxf>
          </x14:cfRule>
          <xm:sqref>C9:C11</xm:sqref>
        </x14:conditionalFormatting>
        <x14:conditionalFormatting xmlns:xm="http://schemas.microsoft.com/office/excel/2006/main">
          <x14:cfRule type="expression" priority="8187" id="{22C5F72A-72D2-4B22-B606-7624773CCDC9}">
            <xm:f>'TC1'!$B15="HANGUP"</xm:f>
            <x14:dxf>
              <font>
                <b/>
                <i val="0"/>
              </font>
            </x14:dxf>
          </x14:cfRule>
          <xm:sqref>C16</xm:sqref>
        </x14:conditionalFormatting>
      </x14:conditionalFormattings>
    </ext>
  </extLst>
</worksheet>
</file>

<file path=xl/worksheets/sheet1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C200-000000000000}">
  <sheetPr codeName="Sheet196"/>
  <dimension ref="A1:E44"/>
  <sheetViews>
    <sheetView zoomScaleNormal="100" workbookViewId="0">
      <selection sqref="A1:E44"/>
    </sheetView>
  </sheetViews>
  <sheetFormatPr defaultRowHeight="14.5" x14ac:dyDescent="0.35"/>
  <cols>
    <col min="1" max="1" width="14.453125" bestFit="1" customWidth="1"/>
    <col min="2" max="2" width="42.6328125" customWidth="1"/>
    <col min="3" max="3" width="106.1796875" customWidth="1"/>
    <col min="4" max="4" width="21.81640625" bestFit="1" customWidth="1"/>
    <col min="5" max="5" width="20.6328125" customWidth="1"/>
  </cols>
  <sheetData>
    <row r="1" spans="1:5" ht="18.5" x14ac:dyDescent="0.35">
      <c r="A1" s="192" t="s">
        <v>4</v>
      </c>
      <c r="B1" s="192"/>
      <c r="C1" s="105"/>
      <c r="D1" s="111"/>
      <c r="E1" s="97"/>
    </row>
    <row r="2" spans="1:5" x14ac:dyDescent="0.35">
      <c r="A2" s="106" t="s">
        <v>5</v>
      </c>
      <c r="B2" s="107" t="str">
        <f ca="1">MID(CELL("filename",A1),FIND("]",CELL("filename",A1))+1,LEN(CELL("filename",A1))-FIND("]",CELL("filename",A1)))</f>
        <v>TC194</v>
      </c>
      <c r="C2" s="98"/>
      <c r="D2" s="111"/>
      <c r="E2" s="97"/>
    </row>
    <row r="3" spans="1:5" x14ac:dyDescent="0.35">
      <c r="A3" s="104" t="s">
        <v>19</v>
      </c>
      <c r="B3" s="112" t="e">
        <f ca="1">VLOOKUP(B2,Table53[#All],2,FALSE)</f>
        <v>#N/A</v>
      </c>
      <c r="C3" s="98"/>
      <c r="D3" s="111"/>
      <c r="E3" s="97"/>
    </row>
    <row r="4" spans="1:5" ht="29" x14ac:dyDescent="0.35">
      <c r="A4" s="113" t="s">
        <v>20</v>
      </c>
      <c r="B4" s="99" t="e">
        <f ca="1">VLOOKUP(B2,Table53[#All],4,FALSE)</f>
        <v>#N/A</v>
      </c>
      <c r="C4" s="98"/>
      <c r="D4" s="111"/>
      <c r="E4" s="97"/>
    </row>
    <row r="5" spans="1:5" x14ac:dyDescent="0.35">
      <c r="A5" s="104" t="s">
        <v>6</v>
      </c>
      <c r="B5" s="77" t="e">
        <f ca="1">VLOOKUP(B2,Table53[#All],3,FALSE)</f>
        <v>#N/A</v>
      </c>
      <c r="C5" s="98"/>
      <c r="D5" s="111"/>
      <c r="E5" s="97"/>
    </row>
    <row r="6" spans="1:5" x14ac:dyDescent="0.35">
      <c r="A6" s="97"/>
      <c r="B6" s="97"/>
      <c r="C6" s="98"/>
      <c r="D6" s="111"/>
      <c r="E6" s="97"/>
    </row>
    <row r="7" spans="1:5" ht="15.5" x14ac:dyDescent="0.35">
      <c r="A7" s="100" t="s">
        <v>7</v>
      </c>
      <c r="B7" s="101" t="s">
        <v>8</v>
      </c>
      <c r="C7" s="102" t="s">
        <v>9</v>
      </c>
      <c r="D7" s="102" t="s">
        <v>14</v>
      </c>
      <c r="E7" s="103" t="s">
        <v>10</v>
      </c>
    </row>
    <row r="8" spans="1:5" x14ac:dyDescent="0.35">
      <c r="A8" s="118">
        <v>1</v>
      </c>
      <c r="B8" s="114" t="s">
        <v>114</v>
      </c>
      <c r="C8" s="109" t="s">
        <v>125</v>
      </c>
      <c r="D8" s="128"/>
      <c r="E8" s="125" t="s">
        <v>11</v>
      </c>
    </row>
    <row r="9" spans="1:5" x14ac:dyDescent="0.35">
      <c r="A9" s="118">
        <v>2</v>
      </c>
      <c r="B9" s="114" t="s">
        <v>12</v>
      </c>
      <c r="C9" s="109" t="e">
        <f>VLOOKUP(Table257519913140106110151155170178204297[[#This Row],[PEG]],Table1016[#All],2,FALSE)</f>
        <v>#N/A</v>
      </c>
      <c r="D9" s="128"/>
      <c r="E9" s="125" t="e">
        <f>VLOOKUP(Table257519913140106110151155170178204297[[#This Row],[PEG]],Table1016[#All],3,FALSE)</f>
        <v>#N/A</v>
      </c>
    </row>
    <row r="10" spans="1:5" x14ac:dyDescent="0.35">
      <c r="A10" s="118">
        <v>3</v>
      </c>
      <c r="B10" s="114" t="s">
        <v>115</v>
      </c>
      <c r="C10" s="109" t="e">
        <f>VLOOKUP(Table257519913140106110151155170178204297[[#This Row],[PEG]],Table1016[#All],2,FALSE)</f>
        <v>#N/A</v>
      </c>
      <c r="D10" s="128"/>
      <c r="E10" s="125" t="e">
        <f>VLOOKUP(Table257519913140106110151155170178204297[[#This Row],[PEG]],Table1016[#All],3,FALSE)</f>
        <v>#N/A</v>
      </c>
    </row>
    <row r="11" spans="1:5" x14ac:dyDescent="0.35">
      <c r="A11" s="118">
        <v>4</v>
      </c>
      <c r="B11" s="114" t="s">
        <v>115</v>
      </c>
      <c r="C11" s="109" t="e">
        <f>VLOOKUP(Table257519913140106110151155170178204297[[#This Row],[PEG]],Table1016[#All],2,FALSE)</f>
        <v>#N/A</v>
      </c>
      <c r="D11" s="128"/>
      <c r="E11" s="125" t="e">
        <f>VLOOKUP(Table257519913140106110151155170178204297[[#This Row],[PEG]],Table1016[#All],3,FALSE)</f>
        <v>#N/A</v>
      </c>
    </row>
    <row r="12" spans="1:5" x14ac:dyDescent="0.35">
      <c r="A12" s="118">
        <v>5</v>
      </c>
      <c r="B12" s="114" t="s">
        <v>114</v>
      </c>
      <c r="C12" s="109" t="e">
        <f>VLOOKUP(Table257519913140106110151155170178204297[[#This Row],[PEG]],Table1016[#All],2,FALSE)</f>
        <v>#N/A</v>
      </c>
      <c r="D12" s="128"/>
      <c r="E12" s="125" t="e">
        <f>VLOOKUP(Table257519913140106110151155170178204297[[#This Row],[PEG]],Table1016[#All],3,FALSE)</f>
        <v>#N/A</v>
      </c>
    </row>
    <row r="13" spans="1:5" x14ac:dyDescent="0.35">
      <c r="A13" s="118">
        <v>6</v>
      </c>
      <c r="B13" s="114" t="s">
        <v>115</v>
      </c>
      <c r="C13" s="109" t="e">
        <f>VLOOKUP(Table257519913140106110151155170178204297[[#This Row],[PEG]],Table1016[#All],2,FALSE)</f>
        <v>#N/A</v>
      </c>
      <c r="D13" s="128"/>
      <c r="E13" s="125" t="e">
        <f>VLOOKUP(Table257519913140106110151155170178204297[[#This Row],[PEG]],Table1016[#All],3,FALSE)</f>
        <v>#N/A</v>
      </c>
    </row>
    <row r="14" spans="1:5" x14ac:dyDescent="0.35">
      <c r="A14" s="118">
        <v>7</v>
      </c>
      <c r="B14" s="114" t="s">
        <v>114</v>
      </c>
      <c r="C14" s="109" t="e">
        <f>VLOOKUP(Table257519913140106110151155170178204297[[#This Row],[PEG]],Table1016[#All],2,FALSE)</f>
        <v>#N/A</v>
      </c>
      <c r="D14" s="128"/>
      <c r="E14" s="125" t="e">
        <f>VLOOKUP(Table257519913140106110151155170178204297[[#This Row],[PEG]],Table1016[#All],3,FALSE)</f>
        <v>#N/A</v>
      </c>
    </row>
    <row r="15" spans="1:5" x14ac:dyDescent="0.35">
      <c r="A15" s="118">
        <v>8</v>
      </c>
      <c r="B15" s="114" t="s">
        <v>115</v>
      </c>
      <c r="C15" s="109" t="e">
        <f>VLOOKUP(Table257519913140106110151155170178204297[[#This Row],[PEG]],Table1016[#All],2,FALSE)</f>
        <v>#N/A</v>
      </c>
      <c r="D15" s="116"/>
      <c r="E15" s="125" t="e">
        <f>VLOOKUP(Table257519913140106110151155170178204297[[#This Row],[PEG]],Table1016[#All],3,FALSE)</f>
        <v>#N/A</v>
      </c>
    </row>
    <row r="16" spans="1:5" x14ac:dyDescent="0.35">
      <c r="A16" s="118">
        <v>9</v>
      </c>
      <c r="B16" s="114" t="s">
        <v>12</v>
      </c>
      <c r="C16" s="109" t="e">
        <f>VLOOKUP(Table257519913140106110151155170178204297[[#This Row],[PEG]],Table1016[#All],2,FALSE)</f>
        <v>#N/A</v>
      </c>
      <c r="D16" s="116"/>
      <c r="E16" s="125" t="e">
        <f>VLOOKUP(Table257519913140106110151155170178204297[[#This Row],[PEG]],Table1016[#All],3,FALSE)</f>
        <v>#N/A</v>
      </c>
    </row>
    <row r="17" spans="1:5" x14ac:dyDescent="0.35">
      <c r="A17" s="118">
        <v>10</v>
      </c>
      <c r="B17" s="114" t="s">
        <v>12</v>
      </c>
      <c r="C17" s="109" t="e">
        <f>VLOOKUP(Table257519913140106110151155170178204297[[#This Row],[PEG]],Table1016[#All],2,FALSE)</f>
        <v>#N/A</v>
      </c>
      <c r="D17" s="117"/>
      <c r="E17" s="125" t="e">
        <f>VLOOKUP(Table257519913140106110151155170178204297[[#This Row],[PEG]],Table1016[#All],3,FALSE)</f>
        <v>#N/A</v>
      </c>
    </row>
    <row r="18" spans="1:5" x14ac:dyDescent="0.35">
      <c r="A18" s="118">
        <v>11</v>
      </c>
      <c r="B18" s="114" t="s">
        <v>115</v>
      </c>
      <c r="C18" s="109" t="e">
        <f>VLOOKUP(Table257519913140106110151155170178204297[[#This Row],[PEG]],Table1016[#All],2,FALSE)</f>
        <v>#N/A</v>
      </c>
      <c r="D18" s="117"/>
      <c r="E18" s="125" t="e">
        <f>VLOOKUP(Table257519913140106110151155170178204297[[#This Row],[PEG]],Table1016[#All],3,FALSE)</f>
        <v>#N/A</v>
      </c>
    </row>
    <row r="19" spans="1:5" x14ac:dyDescent="0.35">
      <c r="A19" s="118">
        <v>12</v>
      </c>
      <c r="B19" s="114" t="s">
        <v>115</v>
      </c>
      <c r="C19" s="109" t="e">
        <f>VLOOKUP(Table257519913140106110151155170178204297[[#This Row],[PEG]],Table1016[#All],2,FALSE)</f>
        <v>#N/A</v>
      </c>
      <c r="D19" s="117"/>
      <c r="E19" s="125" t="e">
        <f>VLOOKUP(Table257519913140106110151155170178204297[[#This Row],[PEG]],Table1016[#All],3,FALSE)</f>
        <v>#N/A</v>
      </c>
    </row>
    <row r="20" spans="1:5" x14ac:dyDescent="0.35">
      <c r="A20" s="118">
        <v>13</v>
      </c>
      <c r="B20" s="114" t="s">
        <v>114</v>
      </c>
      <c r="C20" s="109" t="e">
        <f>VLOOKUP(Table257519913140106110151155170178204297[[#This Row],[PEG]],Table1016[#All],2,FALSE)</f>
        <v>#N/A</v>
      </c>
      <c r="D20" s="117"/>
      <c r="E20" s="125" t="e">
        <f>VLOOKUP(Table257519913140106110151155170178204297[[#This Row],[PEG]],Table1016[#All],3,FALSE)</f>
        <v>#N/A</v>
      </c>
    </row>
    <row r="21" spans="1:5" x14ac:dyDescent="0.35">
      <c r="A21" s="118">
        <v>14</v>
      </c>
      <c r="B21" s="114" t="s">
        <v>12</v>
      </c>
      <c r="C21" s="109" t="e">
        <f>VLOOKUP(Table257519913140106110151155170178204297[[#This Row],[PEG]],Table1016[#All],2,FALSE)</f>
        <v>#N/A</v>
      </c>
      <c r="D21" s="117"/>
      <c r="E21" s="125" t="e">
        <f>VLOOKUP(Table257519913140106110151155170178204297[[#This Row],[PEG]],Table1016[#All],3,FALSE)</f>
        <v>#N/A</v>
      </c>
    </row>
    <row r="22" spans="1:5" x14ac:dyDescent="0.35">
      <c r="A22" s="118">
        <v>15</v>
      </c>
      <c r="B22" s="114" t="s">
        <v>12</v>
      </c>
      <c r="C22" s="109" t="e">
        <f>VLOOKUP(Table257519913140106110151155170178204297[[#This Row],[PEG]],Table1016[#All],2,FALSE)</f>
        <v>#N/A</v>
      </c>
      <c r="D22" s="117"/>
      <c r="E22" s="125" t="e">
        <f>VLOOKUP(Table257519913140106110151155170178204297[[#This Row],[PEG]],Table1016[#All],3,FALSE)</f>
        <v>#N/A</v>
      </c>
    </row>
    <row r="23" spans="1:5" x14ac:dyDescent="0.35">
      <c r="A23" s="118">
        <v>16</v>
      </c>
      <c r="B23" s="114" t="s">
        <v>115</v>
      </c>
      <c r="C23" s="109" t="e">
        <f>VLOOKUP(Table257519913140106110151155170178204297[[#This Row],[PEG]],Table1016[#All],2,FALSE)</f>
        <v>#N/A</v>
      </c>
      <c r="D23" s="117"/>
      <c r="E23" s="125" t="e">
        <f>VLOOKUP(Table257519913140106110151155170178204297[[#This Row],[PEG]],Table1016[#All],3,FALSE)</f>
        <v>#N/A</v>
      </c>
    </row>
    <row r="24" spans="1:5" x14ac:dyDescent="0.35">
      <c r="A24" s="118">
        <v>17</v>
      </c>
      <c r="B24" s="114" t="s">
        <v>114</v>
      </c>
      <c r="C24" s="109" t="e">
        <f>VLOOKUP(Table257519913140106110151155170178204297[[#This Row],[PEG]],Table1016[#All],2,FALSE)</f>
        <v>#N/A</v>
      </c>
      <c r="D24" s="117"/>
      <c r="E24" s="125" t="e">
        <f>VLOOKUP(Table257519913140106110151155170178204297[[#This Row],[PEG]],Table1016[#All],3,FALSE)</f>
        <v>#N/A</v>
      </c>
    </row>
    <row r="25" spans="1:5" x14ac:dyDescent="0.35">
      <c r="A25" s="118">
        <v>18</v>
      </c>
      <c r="B25" s="114" t="s">
        <v>12</v>
      </c>
      <c r="C25" s="109" t="e">
        <f>VLOOKUP(Table257519913140106110151155170178204297[[#This Row],[PEG]],Table1016[#All],2,FALSE)</f>
        <v>#N/A</v>
      </c>
      <c r="D25" s="117"/>
      <c r="E25" s="125" t="e">
        <f>VLOOKUP(Table257519913140106110151155170178204297[[#This Row],[PEG]],Table1016[#All],3,FALSE)</f>
        <v>#N/A</v>
      </c>
    </row>
    <row r="26" spans="1:5" x14ac:dyDescent="0.35">
      <c r="A26" s="118">
        <v>19</v>
      </c>
      <c r="B26" s="114" t="s">
        <v>12</v>
      </c>
      <c r="C26" s="109" t="e">
        <f>VLOOKUP(Table257519913140106110151155170178204297[[#This Row],[PEG]],Table1016[#All],2,FALSE)</f>
        <v>#N/A</v>
      </c>
      <c r="D26" s="117"/>
      <c r="E26" s="125" t="e">
        <f>VLOOKUP(Table257519913140106110151155170178204297[[#This Row],[PEG]],Table1016[#All],3,FALSE)</f>
        <v>#N/A</v>
      </c>
    </row>
    <row r="27" spans="1:5" x14ac:dyDescent="0.35">
      <c r="A27" s="118">
        <v>20</v>
      </c>
      <c r="B27" s="114" t="s">
        <v>115</v>
      </c>
      <c r="C27" s="109" t="e">
        <f>VLOOKUP(Table257519913140106110151155170178204297[[#This Row],[PEG]],Table1016[#All],2,FALSE)</f>
        <v>#N/A</v>
      </c>
      <c r="D27" s="117"/>
      <c r="E27" s="125" t="e">
        <f>VLOOKUP(Table257519913140106110151155170178204297[[#This Row],[PEG]],Table1016[#All],3,FALSE)</f>
        <v>#N/A</v>
      </c>
    </row>
    <row r="28" spans="1:5" x14ac:dyDescent="0.35">
      <c r="A28" s="118">
        <v>21</v>
      </c>
      <c r="B28" s="114" t="s">
        <v>114</v>
      </c>
      <c r="C28" s="109" t="e">
        <f>VLOOKUP(Table257519913140106110151155170178204297[[#This Row],[PEG]],Table1016[#All],2,FALSE)</f>
        <v>#N/A</v>
      </c>
      <c r="D28" s="117"/>
      <c r="E28" s="125" t="e">
        <f>VLOOKUP(Table257519913140106110151155170178204297[[#This Row],[PEG]],Table1016[#All],3,FALSE)</f>
        <v>#N/A</v>
      </c>
    </row>
    <row r="29" spans="1:5" x14ac:dyDescent="0.35">
      <c r="A29" s="118">
        <v>22</v>
      </c>
      <c r="B29" s="114" t="s">
        <v>12</v>
      </c>
      <c r="C29" s="109" t="e">
        <f>VLOOKUP(Table257519913140106110151155170178204297[[#This Row],[PEG]],Table1016[#All],2,FALSE)</f>
        <v>#N/A</v>
      </c>
      <c r="D29" s="117"/>
      <c r="E29" s="125" t="e">
        <f>VLOOKUP(Table257519913140106110151155170178204297[[#This Row],[PEG]],Table1016[#All],3,FALSE)</f>
        <v>#N/A</v>
      </c>
    </row>
    <row r="30" spans="1:5" x14ac:dyDescent="0.35">
      <c r="A30" s="118">
        <v>23</v>
      </c>
      <c r="B30" s="114" t="s">
        <v>12</v>
      </c>
      <c r="C30" s="109" t="e">
        <f>VLOOKUP(Table257519913140106110151155170178204297[[#This Row],[PEG]],Table1016[#All],2,FALSE)</f>
        <v>#N/A</v>
      </c>
      <c r="D30" s="117"/>
      <c r="E30" s="125" t="e">
        <f>VLOOKUP(Table257519913140106110151155170178204297[[#This Row],[PEG]],Table1016[#All],3,FALSE)</f>
        <v>#N/A</v>
      </c>
    </row>
    <row r="31" spans="1:5" x14ac:dyDescent="0.35">
      <c r="A31" s="118">
        <v>24</v>
      </c>
      <c r="B31" s="114" t="s">
        <v>115</v>
      </c>
      <c r="C31" s="109" t="e">
        <f>VLOOKUP(Table257519913140106110151155170178204297[[#This Row],[PEG]],Table1016[#All],2,FALSE)</f>
        <v>#N/A</v>
      </c>
      <c r="D31" s="117"/>
      <c r="E31" s="125" t="e">
        <f>VLOOKUP(Table257519913140106110151155170178204297[[#This Row],[PEG]],Table1016[#All],3,FALSE)</f>
        <v>#N/A</v>
      </c>
    </row>
    <row r="32" spans="1:5" x14ac:dyDescent="0.35">
      <c r="A32" s="118">
        <v>25</v>
      </c>
      <c r="B32" s="114" t="s">
        <v>115</v>
      </c>
      <c r="C32" s="109" t="e">
        <f>VLOOKUP(Table257519913140106110151155170178204297[[#This Row],[PEG]],Table1016[#All],2,FALSE)</f>
        <v>#N/A</v>
      </c>
      <c r="D32" s="117"/>
      <c r="E32" s="125" t="e">
        <f>VLOOKUP(Table257519913140106110151155170178204297[[#This Row],[PEG]],Table1016[#All],3,FALSE)</f>
        <v>#N/A</v>
      </c>
    </row>
    <row r="33" spans="1:5" x14ac:dyDescent="0.35">
      <c r="A33" s="118">
        <v>26</v>
      </c>
      <c r="B33" s="114" t="s">
        <v>124</v>
      </c>
      <c r="C33" s="109" t="e">
        <f>VLOOKUP(Table257519913140106110151155170178204297[[#This Row],[PEG]],Table1016[#All],2,FALSE)</f>
        <v>#N/A</v>
      </c>
      <c r="D33" s="117"/>
      <c r="E33" s="125" t="e">
        <f>VLOOKUP(Table257519913140106110151155170178204297[[#This Row],[PEG]],Table1016[#All],3,FALSE)</f>
        <v>#N/A</v>
      </c>
    </row>
    <row r="34" spans="1:5" x14ac:dyDescent="0.35">
      <c r="A34" s="118">
        <v>27</v>
      </c>
      <c r="B34" s="114" t="s">
        <v>115</v>
      </c>
      <c r="C34" s="109" t="e">
        <f>VLOOKUP(Table257519913140106110151155170178204297[[#This Row],[PEG]],Table1016[#All],2,FALSE)</f>
        <v>#N/A</v>
      </c>
      <c r="D34" s="117"/>
      <c r="E34" s="125" t="e">
        <f>VLOOKUP(Table257519913140106110151155170178204297[[#This Row],[PEG]],Table1016[#All],3,FALSE)</f>
        <v>#N/A</v>
      </c>
    </row>
    <row r="35" spans="1:5" x14ac:dyDescent="0.35">
      <c r="A35" s="118">
        <v>28</v>
      </c>
      <c r="B35" s="114" t="s">
        <v>124</v>
      </c>
      <c r="C35" s="109" t="e">
        <f>VLOOKUP(Table257519913140106110151155170178204297[[#This Row],[PEG]],Table1016[#All],2,FALSE)</f>
        <v>#N/A</v>
      </c>
      <c r="D35" s="117"/>
      <c r="E35" s="125" t="e">
        <f>VLOOKUP(Table257519913140106110151155170178204297[[#This Row],[PEG]],Table1016[#All],3,FALSE)</f>
        <v>#N/A</v>
      </c>
    </row>
    <row r="36" spans="1:5" x14ac:dyDescent="0.35">
      <c r="A36" s="118">
        <v>29</v>
      </c>
      <c r="B36" s="114" t="s">
        <v>115</v>
      </c>
      <c r="C36" s="109" t="e">
        <f>VLOOKUP(Table257519913140106110151155170178204297[[#This Row],[PEG]],Table1016[#All],2,FALSE)</f>
        <v>#N/A</v>
      </c>
      <c r="D36" s="117"/>
      <c r="E36" s="125" t="e">
        <f>VLOOKUP(Table257519913140106110151155170178204297[[#This Row],[PEG]],Table1016[#All],3,FALSE)</f>
        <v>#N/A</v>
      </c>
    </row>
    <row r="37" spans="1:5" x14ac:dyDescent="0.35">
      <c r="A37" s="118">
        <v>30</v>
      </c>
      <c r="B37" s="114" t="s">
        <v>12</v>
      </c>
      <c r="C37" s="109" t="e">
        <f>VLOOKUP(Table257519913140106110151155170178204297[[#This Row],[PEG]],Table1016[#All],2,FALSE)</f>
        <v>#N/A</v>
      </c>
      <c r="D37" s="117"/>
      <c r="E37" s="125" t="e">
        <f>VLOOKUP(Table257519913140106110151155170178204297[[#This Row],[PEG]],Table1016[#All],3,FALSE)</f>
        <v>#N/A</v>
      </c>
    </row>
    <row r="38" spans="1:5" x14ac:dyDescent="0.35">
      <c r="A38" s="118">
        <v>31</v>
      </c>
      <c r="B38" s="114" t="s">
        <v>12</v>
      </c>
      <c r="C38" s="109" t="e">
        <f>VLOOKUP(Table257519913140106110151155170178204297[[#This Row],[PEG]],Table1016[#All],2,FALSE)</f>
        <v>#N/A</v>
      </c>
      <c r="D38" s="117"/>
      <c r="E38" s="125" t="e">
        <f>VLOOKUP(Table257519913140106110151155170178204297[[#This Row],[PEG]],Table1016[#All],3,FALSE)</f>
        <v>#N/A</v>
      </c>
    </row>
    <row r="39" spans="1:5" x14ac:dyDescent="0.35">
      <c r="A39" s="118">
        <v>32</v>
      </c>
      <c r="B39" s="114" t="s">
        <v>12</v>
      </c>
      <c r="C39" s="109" t="e">
        <f>VLOOKUP(Table257519913140106110151155170178204297[[#This Row],[PEG]],Table1016[#All],2,FALSE)</f>
        <v>#N/A</v>
      </c>
      <c r="D39" s="117"/>
      <c r="E39" s="125" t="e">
        <f>VLOOKUP(Table257519913140106110151155170178204297[[#This Row],[PEG]],Table1016[#All],3,FALSE)</f>
        <v>#N/A</v>
      </c>
    </row>
    <row r="40" spans="1:5" x14ac:dyDescent="0.35">
      <c r="A40" s="118">
        <v>33</v>
      </c>
      <c r="B40" s="114" t="s">
        <v>12</v>
      </c>
      <c r="C40" s="109" t="e">
        <f>VLOOKUP(Table257519913140106110151155170178204297[[#This Row],[PEG]],Table1016[#All],2,FALSE)</f>
        <v>#N/A</v>
      </c>
      <c r="D40" s="117"/>
      <c r="E40" s="125" t="e">
        <f>VLOOKUP(Table257519913140106110151155170178204297[[#This Row],[PEG]],Table1016[#All],3,FALSE)</f>
        <v>#N/A</v>
      </c>
    </row>
    <row r="41" spans="1:5" x14ac:dyDescent="0.35">
      <c r="A41" s="118">
        <v>34</v>
      </c>
      <c r="B41" s="114" t="s">
        <v>115</v>
      </c>
      <c r="C41" s="109" t="e">
        <f>VLOOKUP(Table257519913140106110151155170178204297[[#This Row],[PEG]],Table1016[#All],2,FALSE)</f>
        <v>#N/A</v>
      </c>
      <c r="D41" s="117"/>
      <c r="E41" s="125" t="e">
        <f>VLOOKUP(Table257519913140106110151155170178204297[[#This Row],[PEG]],Table1016[#All],3,FALSE)</f>
        <v>#N/A</v>
      </c>
    </row>
    <row r="42" spans="1:5" x14ac:dyDescent="0.35">
      <c r="A42" s="118">
        <v>35</v>
      </c>
      <c r="B42" s="114" t="s">
        <v>12</v>
      </c>
      <c r="C42" s="109" t="e">
        <f>VLOOKUP(Table257519913140106110151155170178204297[[#This Row],[PEG]],Table1016[#All],2,FALSE)</f>
        <v>#N/A</v>
      </c>
      <c r="D42" s="115"/>
      <c r="E42" s="125" t="e">
        <f>VLOOKUP(Table257519913140106110151155170178204297[[#This Row],[PEG]],Table1016[#All],3,FALSE)</f>
        <v>#N/A</v>
      </c>
    </row>
    <row r="43" spans="1:5" x14ac:dyDescent="0.35">
      <c r="A43" s="118">
        <v>36</v>
      </c>
      <c r="B43" s="114" t="s">
        <v>115</v>
      </c>
      <c r="C43" s="109" t="e">
        <f>VLOOKUP(Table257519913140106110151155170178204297[[#This Row],[PEG]],Table1016[#All],2,FALSE)</f>
        <v>#N/A</v>
      </c>
      <c r="D43" s="115"/>
      <c r="E43" s="125" t="e">
        <f>VLOOKUP(Table257519913140106110151155170178204297[[#This Row],[PEG]],Table1016[#All],3,FALSE)</f>
        <v>#N/A</v>
      </c>
    </row>
    <row r="44" spans="1:5" x14ac:dyDescent="0.35">
      <c r="A44" s="118">
        <v>37</v>
      </c>
      <c r="B44" s="114" t="s">
        <v>13</v>
      </c>
      <c r="C44" s="18" t="s">
        <v>13</v>
      </c>
      <c r="D44" s="115"/>
      <c r="E44" s="32"/>
    </row>
  </sheetData>
  <mergeCells count="1">
    <mergeCell ref="A1:B1"/>
  </mergeCells>
  <conditionalFormatting sqref="B8:B18">
    <cfRule type="containsText" dxfId="215" priority="1" operator="containsText" text="Hear">
      <formula>NOT(ISERROR(SEARCH("Hear",B8)))</formula>
    </cfRule>
  </conditionalFormatting>
  <conditionalFormatting sqref="B30">
    <cfRule type="containsText" dxfId="214" priority="4" operator="containsText" text="Hear">
      <formula>NOT(ISERROR(SEARCH("Hear",B30)))</formula>
    </cfRule>
  </conditionalFormatting>
  <conditionalFormatting sqref="B43:B44">
    <cfRule type="containsText" dxfId="213" priority="8" operator="containsText" text="Hear">
      <formula>NOT(ISERROR(SEARCH("Hear",B43)))</formula>
    </cfRule>
  </conditionalFormatting>
  <conditionalFormatting sqref="E44">
    <cfRule type="containsText" dxfId="212" priority="6" operator="containsText" text="WEB SERVICE">
      <formula>NOT(ISERROR(SEARCH("WEB SERVICE",E44)))</formula>
    </cfRule>
    <cfRule type="containsText" dxfId="211" priority="7" operator="containsText" text="DB">
      <formula>NOT(ISERROR(SEARCH("DB",E44)))</formula>
    </cfRule>
  </conditionalFormatting>
  <conditionalFormatting sqref="C44">
    <cfRule type="expression" dxfId="210" priority="9">
      <formula>$B44="Dial"</formula>
    </cfRule>
  </conditionalFormatting>
  <conditionalFormatting sqref="C44">
    <cfRule type="expression" dxfId="209" priority="3">
      <formula>$B44="Speak"</formula>
    </cfRule>
  </conditionalFormatting>
  <conditionalFormatting sqref="B19:B29 B31:B35 B42">
    <cfRule type="containsText" dxfId="208" priority="5" operator="containsText" text="Hear">
      <formula>NOT(ISERROR(SEARCH("Hear",B19)))</formula>
    </cfRule>
  </conditionalFormatting>
  <hyperlinks>
    <hyperlink ref="A1" location="'Test Case Overview'!A1" display="Return to Test Case Overview" xr:uid="{1F788120-2617-44D3-8848-E726AFF55DE4}"/>
  </hyperlinks>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expression" priority="2" id="{600F9746-5CEB-474D-9861-731B900054B7}">
            <xm:f>'TC1'!$B8="HANGUP"</xm:f>
            <x14:dxf>
              <font>
                <b/>
                <i val="0"/>
              </font>
            </x14:dxf>
          </x14:cfRule>
          <xm:sqref>C8</xm:sqref>
        </x14:conditionalFormatting>
        <x14:conditionalFormatting xmlns:xm="http://schemas.microsoft.com/office/excel/2006/main">
          <x14:cfRule type="expression" priority="3422" id="{600F9746-5CEB-474D-9861-731B900054B7}">
            <xm:f>'TC1'!$B16="HANGUP"</xm:f>
            <x14:dxf>
              <font>
                <b/>
                <i val="0"/>
              </font>
            </x14:dxf>
          </x14:cfRule>
          <xm:sqref>C34:C43</xm:sqref>
        </x14:conditionalFormatting>
        <x14:conditionalFormatting xmlns:xm="http://schemas.microsoft.com/office/excel/2006/main">
          <x14:cfRule type="expression" priority="3423" id="{600F9746-5CEB-474D-9861-731B900054B7}">
            <xm:f>'TC1'!#REF!="HANGUP"</xm:f>
            <x14:dxf>
              <font>
                <b/>
                <i val="0"/>
              </font>
            </x14:dxf>
          </x14:cfRule>
          <xm:sqref>C17:C33</xm:sqref>
        </x14:conditionalFormatting>
        <x14:conditionalFormatting xmlns:xm="http://schemas.microsoft.com/office/excel/2006/main">
          <x14:cfRule type="expression" priority="6036" id="{600F9746-5CEB-474D-9861-731B900054B7}">
            <xm:f>'TC1'!$B9="HANGUP"</xm:f>
            <x14:dxf>
              <font>
                <b/>
                <i val="0"/>
              </font>
            </x14:dxf>
          </x14:cfRule>
          <xm:sqref>C12:C15</xm:sqref>
        </x14:conditionalFormatting>
        <x14:conditionalFormatting xmlns:xm="http://schemas.microsoft.com/office/excel/2006/main">
          <x14:cfRule type="expression" priority="6037" id="{600F9746-5CEB-474D-9861-731B900054B7}">
            <xm:f>'TC1'!#REF!="HANGUP"</xm:f>
            <x14:dxf>
              <font>
                <b/>
                <i val="0"/>
              </font>
            </x14:dxf>
          </x14:cfRule>
          <xm:sqref>C9:C11</xm:sqref>
        </x14:conditionalFormatting>
        <x14:conditionalFormatting xmlns:xm="http://schemas.microsoft.com/office/excel/2006/main">
          <x14:cfRule type="expression" priority="8190" id="{600F9746-5CEB-474D-9861-731B900054B7}">
            <xm:f>'TC1'!$B15="HANGUP"</xm:f>
            <x14:dxf>
              <font>
                <b/>
                <i val="0"/>
              </font>
            </x14:dxf>
          </x14:cfRule>
          <xm:sqref>C16</xm:sqref>
        </x14:conditionalFormatting>
      </x14:conditionalFormattings>
    </ext>
  </extLst>
</worksheet>
</file>

<file path=xl/worksheets/sheet1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C300-000000000000}">
  <sheetPr codeName="Sheet197"/>
  <dimension ref="A1:E44"/>
  <sheetViews>
    <sheetView zoomScaleNormal="100" workbookViewId="0">
      <selection sqref="A1:E44"/>
    </sheetView>
  </sheetViews>
  <sheetFormatPr defaultRowHeight="14.5" x14ac:dyDescent="0.35"/>
  <cols>
    <col min="1" max="1" width="14.453125" bestFit="1" customWidth="1"/>
    <col min="2" max="2" width="42.6328125" customWidth="1"/>
    <col min="3" max="3" width="106.1796875" customWidth="1"/>
    <col min="4" max="4" width="21.81640625" bestFit="1" customWidth="1"/>
    <col min="5" max="5" width="20.6328125" customWidth="1"/>
  </cols>
  <sheetData>
    <row r="1" spans="1:5" ht="18.5" x14ac:dyDescent="0.35">
      <c r="A1" s="192" t="s">
        <v>4</v>
      </c>
      <c r="B1" s="192"/>
      <c r="C1" s="105"/>
      <c r="D1" s="111"/>
      <c r="E1" s="97"/>
    </row>
    <row r="2" spans="1:5" x14ac:dyDescent="0.35">
      <c r="A2" s="106" t="s">
        <v>5</v>
      </c>
      <c r="B2" s="107" t="str">
        <f ca="1">MID(CELL("filename",A1),FIND("]",CELL("filename",A1))+1,LEN(CELL("filename",A1))-FIND("]",CELL("filename",A1)))</f>
        <v>TC195</v>
      </c>
      <c r="C2" s="98"/>
      <c r="D2" s="111"/>
      <c r="E2" s="97"/>
    </row>
    <row r="3" spans="1:5" x14ac:dyDescent="0.35">
      <c r="A3" s="104" t="s">
        <v>19</v>
      </c>
      <c r="B3" s="112" t="e">
        <f ca="1">VLOOKUP(B2,Table53[#All],2,FALSE)</f>
        <v>#N/A</v>
      </c>
      <c r="C3" s="98"/>
      <c r="D3" s="111"/>
      <c r="E3" s="97"/>
    </row>
    <row r="4" spans="1:5" ht="29" x14ac:dyDescent="0.35">
      <c r="A4" s="113" t="s">
        <v>20</v>
      </c>
      <c r="B4" s="99" t="e">
        <f ca="1">VLOOKUP(B2,Table53[#All],4,FALSE)</f>
        <v>#N/A</v>
      </c>
      <c r="C4" s="98"/>
      <c r="D4" s="111"/>
      <c r="E4" s="97"/>
    </row>
    <row r="5" spans="1:5" x14ac:dyDescent="0.35">
      <c r="A5" s="104" t="s">
        <v>6</v>
      </c>
      <c r="B5" s="77" t="e">
        <f ca="1">VLOOKUP(B2,Table53[#All],3,FALSE)</f>
        <v>#N/A</v>
      </c>
      <c r="C5" s="98"/>
      <c r="D5" s="111"/>
      <c r="E5" s="97"/>
    </row>
    <row r="6" spans="1:5" x14ac:dyDescent="0.35">
      <c r="A6" s="97"/>
      <c r="B6" s="97"/>
      <c r="C6" s="98"/>
      <c r="D6" s="111"/>
      <c r="E6" s="97"/>
    </row>
    <row r="7" spans="1:5" ht="15.5" x14ac:dyDescent="0.35">
      <c r="A7" s="100" t="s">
        <v>7</v>
      </c>
      <c r="B7" s="101" t="s">
        <v>8</v>
      </c>
      <c r="C7" s="102" t="s">
        <v>9</v>
      </c>
      <c r="D7" s="102" t="s">
        <v>14</v>
      </c>
      <c r="E7" s="103" t="s">
        <v>10</v>
      </c>
    </row>
    <row r="8" spans="1:5" x14ac:dyDescent="0.35">
      <c r="A8" s="118">
        <v>1</v>
      </c>
      <c r="B8" s="114" t="s">
        <v>114</v>
      </c>
      <c r="C8" s="109" t="s">
        <v>125</v>
      </c>
      <c r="D8" s="128"/>
      <c r="E8" s="125" t="s">
        <v>11</v>
      </c>
    </row>
    <row r="9" spans="1:5" x14ac:dyDescent="0.35">
      <c r="A9" s="118">
        <v>2</v>
      </c>
      <c r="B9" s="114" t="s">
        <v>12</v>
      </c>
      <c r="C9" s="109" t="e">
        <f>VLOOKUP(Table257519913140106110151155170178204299[[#This Row],[PEG]],Table1016[#All],2,FALSE)</f>
        <v>#N/A</v>
      </c>
      <c r="D9" s="128"/>
      <c r="E9" s="125" t="e">
        <f>VLOOKUP(Table257519913140106110151155170178204299[[#This Row],[PEG]],Table1016[#All],3,FALSE)</f>
        <v>#N/A</v>
      </c>
    </row>
    <row r="10" spans="1:5" x14ac:dyDescent="0.35">
      <c r="A10" s="118">
        <v>3</v>
      </c>
      <c r="B10" s="114" t="s">
        <v>115</v>
      </c>
      <c r="C10" s="109" t="e">
        <f>VLOOKUP(Table257519913140106110151155170178204299[[#This Row],[PEG]],Table1016[#All],2,FALSE)</f>
        <v>#N/A</v>
      </c>
      <c r="D10" s="128"/>
      <c r="E10" s="125" t="e">
        <f>VLOOKUP(Table257519913140106110151155170178204299[[#This Row],[PEG]],Table1016[#All],3,FALSE)</f>
        <v>#N/A</v>
      </c>
    </row>
    <row r="11" spans="1:5" x14ac:dyDescent="0.35">
      <c r="A11" s="118">
        <v>4</v>
      </c>
      <c r="B11" s="114" t="s">
        <v>115</v>
      </c>
      <c r="C11" s="109" t="e">
        <f>VLOOKUP(Table257519913140106110151155170178204299[[#This Row],[PEG]],Table1016[#All],2,FALSE)</f>
        <v>#N/A</v>
      </c>
      <c r="D11" s="128"/>
      <c r="E11" s="125" t="e">
        <f>VLOOKUP(Table257519913140106110151155170178204299[[#This Row],[PEG]],Table1016[#All],3,FALSE)</f>
        <v>#N/A</v>
      </c>
    </row>
    <row r="12" spans="1:5" x14ac:dyDescent="0.35">
      <c r="A12" s="118">
        <v>5</v>
      </c>
      <c r="B12" s="114" t="s">
        <v>114</v>
      </c>
      <c r="C12" s="109" t="e">
        <f>VLOOKUP(Table257519913140106110151155170178204299[[#This Row],[PEG]],Table1016[#All],2,FALSE)</f>
        <v>#N/A</v>
      </c>
      <c r="D12" s="128"/>
      <c r="E12" s="125" t="e">
        <f>VLOOKUP(Table257519913140106110151155170178204299[[#This Row],[PEG]],Table1016[#All],3,FALSE)</f>
        <v>#N/A</v>
      </c>
    </row>
    <row r="13" spans="1:5" x14ac:dyDescent="0.35">
      <c r="A13" s="118">
        <v>6</v>
      </c>
      <c r="B13" s="114" t="s">
        <v>115</v>
      </c>
      <c r="C13" s="109" t="e">
        <f>VLOOKUP(Table257519913140106110151155170178204299[[#This Row],[PEG]],Table1016[#All],2,FALSE)</f>
        <v>#N/A</v>
      </c>
      <c r="D13" s="128"/>
      <c r="E13" s="125" t="e">
        <f>VLOOKUP(Table257519913140106110151155170178204299[[#This Row],[PEG]],Table1016[#All],3,FALSE)</f>
        <v>#N/A</v>
      </c>
    </row>
    <row r="14" spans="1:5" x14ac:dyDescent="0.35">
      <c r="A14" s="118">
        <v>7</v>
      </c>
      <c r="B14" s="114" t="s">
        <v>114</v>
      </c>
      <c r="C14" s="109" t="e">
        <f>VLOOKUP(Table257519913140106110151155170178204299[[#This Row],[PEG]],Table1016[#All],2,FALSE)</f>
        <v>#N/A</v>
      </c>
      <c r="D14" s="128"/>
      <c r="E14" s="125" t="e">
        <f>VLOOKUP(Table257519913140106110151155170178204299[[#This Row],[PEG]],Table1016[#All],3,FALSE)</f>
        <v>#N/A</v>
      </c>
    </row>
    <row r="15" spans="1:5" x14ac:dyDescent="0.35">
      <c r="A15" s="118">
        <v>8</v>
      </c>
      <c r="B15" s="114" t="s">
        <v>115</v>
      </c>
      <c r="C15" s="109" t="e">
        <f>VLOOKUP(Table257519913140106110151155170178204299[[#This Row],[PEG]],Table1016[#All],2,FALSE)</f>
        <v>#N/A</v>
      </c>
      <c r="D15" s="116"/>
      <c r="E15" s="125" t="e">
        <f>VLOOKUP(Table257519913140106110151155170178204299[[#This Row],[PEG]],Table1016[#All],3,FALSE)</f>
        <v>#N/A</v>
      </c>
    </row>
    <row r="16" spans="1:5" x14ac:dyDescent="0.35">
      <c r="A16" s="118">
        <v>9</v>
      </c>
      <c r="B16" s="114" t="s">
        <v>12</v>
      </c>
      <c r="C16" s="109" t="e">
        <f>VLOOKUP(Table257519913140106110151155170178204299[[#This Row],[PEG]],Table1016[#All],2,FALSE)</f>
        <v>#N/A</v>
      </c>
      <c r="D16" s="116"/>
      <c r="E16" s="125" t="e">
        <f>VLOOKUP(Table257519913140106110151155170178204299[[#This Row],[PEG]],Table1016[#All],3,FALSE)</f>
        <v>#N/A</v>
      </c>
    </row>
    <row r="17" spans="1:5" x14ac:dyDescent="0.35">
      <c r="A17" s="118">
        <v>10</v>
      </c>
      <c r="B17" s="114" t="s">
        <v>12</v>
      </c>
      <c r="C17" s="109" t="e">
        <f>VLOOKUP(Table257519913140106110151155170178204299[[#This Row],[PEG]],Table1016[#All],2,FALSE)</f>
        <v>#N/A</v>
      </c>
      <c r="D17" s="117"/>
      <c r="E17" s="125" t="e">
        <f>VLOOKUP(Table257519913140106110151155170178204299[[#This Row],[PEG]],Table1016[#All],3,FALSE)</f>
        <v>#N/A</v>
      </c>
    </row>
    <row r="18" spans="1:5" x14ac:dyDescent="0.35">
      <c r="A18" s="118">
        <v>11</v>
      </c>
      <c r="B18" s="114" t="s">
        <v>115</v>
      </c>
      <c r="C18" s="109" t="e">
        <f>VLOOKUP(Table257519913140106110151155170178204299[[#This Row],[PEG]],Table1016[#All],2,FALSE)</f>
        <v>#N/A</v>
      </c>
      <c r="D18" s="117"/>
      <c r="E18" s="125" t="e">
        <f>VLOOKUP(Table257519913140106110151155170178204299[[#This Row],[PEG]],Table1016[#All],3,FALSE)</f>
        <v>#N/A</v>
      </c>
    </row>
    <row r="19" spans="1:5" x14ac:dyDescent="0.35">
      <c r="A19" s="118">
        <v>12</v>
      </c>
      <c r="B19" s="114" t="s">
        <v>115</v>
      </c>
      <c r="C19" s="109" t="e">
        <f>VLOOKUP(Table257519913140106110151155170178204299[[#This Row],[PEG]],Table1016[#All],2,FALSE)</f>
        <v>#N/A</v>
      </c>
      <c r="D19" s="117"/>
      <c r="E19" s="125" t="e">
        <f>VLOOKUP(Table257519913140106110151155170178204299[[#This Row],[PEG]],Table1016[#All],3,FALSE)</f>
        <v>#N/A</v>
      </c>
    </row>
    <row r="20" spans="1:5" x14ac:dyDescent="0.35">
      <c r="A20" s="118">
        <v>13</v>
      </c>
      <c r="B20" s="114" t="s">
        <v>114</v>
      </c>
      <c r="C20" s="109" t="e">
        <f>VLOOKUP(Table257519913140106110151155170178204299[[#This Row],[PEG]],Table1016[#All],2,FALSE)</f>
        <v>#N/A</v>
      </c>
      <c r="D20" s="117"/>
      <c r="E20" s="125" t="e">
        <f>VLOOKUP(Table257519913140106110151155170178204299[[#This Row],[PEG]],Table1016[#All],3,FALSE)</f>
        <v>#N/A</v>
      </c>
    </row>
    <row r="21" spans="1:5" x14ac:dyDescent="0.35">
      <c r="A21" s="118">
        <v>14</v>
      </c>
      <c r="B21" s="114" t="s">
        <v>12</v>
      </c>
      <c r="C21" s="109" t="e">
        <f>VLOOKUP(Table257519913140106110151155170178204299[[#This Row],[PEG]],Table1016[#All],2,FALSE)</f>
        <v>#N/A</v>
      </c>
      <c r="D21" s="117"/>
      <c r="E21" s="125" t="e">
        <f>VLOOKUP(Table257519913140106110151155170178204299[[#This Row],[PEG]],Table1016[#All],3,FALSE)</f>
        <v>#N/A</v>
      </c>
    </row>
    <row r="22" spans="1:5" x14ac:dyDescent="0.35">
      <c r="A22" s="118">
        <v>15</v>
      </c>
      <c r="B22" s="114" t="s">
        <v>12</v>
      </c>
      <c r="C22" s="109" t="e">
        <f>VLOOKUP(Table257519913140106110151155170178204299[[#This Row],[PEG]],Table1016[#All],2,FALSE)</f>
        <v>#N/A</v>
      </c>
      <c r="D22" s="117"/>
      <c r="E22" s="125" t="e">
        <f>VLOOKUP(Table257519913140106110151155170178204299[[#This Row],[PEG]],Table1016[#All],3,FALSE)</f>
        <v>#N/A</v>
      </c>
    </row>
    <row r="23" spans="1:5" x14ac:dyDescent="0.35">
      <c r="A23" s="118">
        <v>16</v>
      </c>
      <c r="B23" s="114" t="s">
        <v>115</v>
      </c>
      <c r="C23" s="109" t="e">
        <f>VLOOKUP(Table257519913140106110151155170178204299[[#This Row],[PEG]],Table1016[#All],2,FALSE)</f>
        <v>#N/A</v>
      </c>
      <c r="D23" s="117"/>
      <c r="E23" s="125" t="e">
        <f>VLOOKUP(Table257519913140106110151155170178204299[[#This Row],[PEG]],Table1016[#All],3,FALSE)</f>
        <v>#N/A</v>
      </c>
    </row>
    <row r="24" spans="1:5" x14ac:dyDescent="0.35">
      <c r="A24" s="118">
        <v>17</v>
      </c>
      <c r="B24" s="114" t="s">
        <v>114</v>
      </c>
      <c r="C24" s="109" t="e">
        <f>VLOOKUP(Table257519913140106110151155170178204299[[#This Row],[PEG]],Table1016[#All],2,FALSE)</f>
        <v>#N/A</v>
      </c>
      <c r="D24" s="117"/>
      <c r="E24" s="125" t="e">
        <f>VLOOKUP(Table257519913140106110151155170178204299[[#This Row],[PEG]],Table1016[#All],3,FALSE)</f>
        <v>#N/A</v>
      </c>
    </row>
    <row r="25" spans="1:5" x14ac:dyDescent="0.35">
      <c r="A25" s="118">
        <v>18</v>
      </c>
      <c r="B25" s="114" t="s">
        <v>12</v>
      </c>
      <c r="C25" s="109" t="e">
        <f>VLOOKUP(Table257519913140106110151155170178204299[[#This Row],[PEG]],Table1016[#All],2,FALSE)</f>
        <v>#N/A</v>
      </c>
      <c r="D25" s="117"/>
      <c r="E25" s="125" t="e">
        <f>VLOOKUP(Table257519913140106110151155170178204299[[#This Row],[PEG]],Table1016[#All],3,FALSE)</f>
        <v>#N/A</v>
      </c>
    </row>
    <row r="26" spans="1:5" x14ac:dyDescent="0.35">
      <c r="A26" s="118">
        <v>19</v>
      </c>
      <c r="B26" s="114" t="s">
        <v>12</v>
      </c>
      <c r="C26" s="109" t="e">
        <f>VLOOKUP(Table257519913140106110151155170178204299[[#This Row],[PEG]],Table1016[#All],2,FALSE)</f>
        <v>#N/A</v>
      </c>
      <c r="D26" s="117"/>
      <c r="E26" s="125" t="e">
        <f>VLOOKUP(Table257519913140106110151155170178204299[[#This Row],[PEG]],Table1016[#All],3,FALSE)</f>
        <v>#N/A</v>
      </c>
    </row>
    <row r="27" spans="1:5" x14ac:dyDescent="0.35">
      <c r="A27" s="118">
        <v>20</v>
      </c>
      <c r="B27" s="114" t="s">
        <v>115</v>
      </c>
      <c r="C27" s="109" t="e">
        <f>VLOOKUP(Table257519913140106110151155170178204299[[#This Row],[PEG]],Table1016[#All],2,FALSE)</f>
        <v>#N/A</v>
      </c>
      <c r="D27" s="117"/>
      <c r="E27" s="125" t="e">
        <f>VLOOKUP(Table257519913140106110151155170178204299[[#This Row],[PEG]],Table1016[#All],3,FALSE)</f>
        <v>#N/A</v>
      </c>
    </row>
    <row r="28" spans="1:5" x14ac:dyDescent="0.35">
      <c r="A28" s="118">
        <v>21</v>
      </c>
      <c r="B28" s="114" t="s">
        <v>114</v>
      </c>
      <c r="C28" s="109" t="e">
        <f>VLOOKUP(Table257519913140106110151155170178204299[[#This Row],[PEG]],Table1016[#All],2,FALSE)</f>
        <v>#N/A</v>
      </c>
      <c r="D28" s="117"/>
      <c r="E28" s="125" t="e">
        <f>VLOOKUP(Table257519913140106110151155170178204299[[#This Row],[PEG]],Table1016[#All],3,FALSE)</f>
        <v>#N/A</v>
      </c>
    </row>
    <row r="29" spans="1:5" x14ac:dyDescent="0.35">
      <c r="A29" s="118">
        <v>22</v>
      </c>
      <c r="B29" s="114" t="s">
        <v>12</v>
      </c>
      <c r="C29" s="109" t="e">
        <f>VLOOKUP(Table257519913140106110151155170178204299[[#This Row],[PEG]],Table1016[#All],2,FALSE)</f>
        <v>#N/A</v>
      </c>
      <c r="D29" s="117"/>
      <c r="E29" s="125" t="e">
        <f>VLOOKUP(Table257519913140106110151155170178204299[[#This Row],[PEG]],Table1016[#All],3,FALSE)</f>
        <v>#N/A</v>
      </c>
    </row>
    <row r="30" spans="1:5" x14ac:dyDescent="0.35">
      <c r="A30" s="118">
        <v>23</v>
      </c>
      <c r="B30" s="114" t="s">
        <v>12</v>
      </c>
      <c r="C30" s="109" t="e">
        <f>VLOOKUP(Table257519913140106110151155170178204299[[#This Row],[PEG]],Table1016[#All],2,FALSE)</f>
        <v>#N/A</v>
      </c>
      <c r="D30" s="117"/>
      <c r="E30" s="125" t="e">
        <f>VLOOKUP(Table257519913140106110151155170178204299[[#This Row],[PEG]],Table1016[#All],3,FALSE)</f>
        <v>#N/A</v>
      </c>
    </row>
    <row r="31" spans="1:5" x14ac:dyDescent="0.35">
      <c r="A31" s="118">
        <v>24</v>
      </c>
      <c r="B31" s="114" t="s">
        <v>115</v>
      </c>
      <c r="C31" s="109" t="e">
        <f>VLOOKUP(Table257519913140106110151155170178204299[[#This Row],[PEG]],Table1016[#All],2,FALSE)</f>
        <v>#N/A</v>
      </c>
      <c r="D31" s="117"/>
      <c r="E31" s="125" t="e">
        <f>VLOOKUP(Table257519913140106110151155170178204299[[#This Row],[PEG]],Table1016[#All],3,FALSE)</f>
        <v>#N/A</v>
      </c>
    </row>
    <row r="32" spans="1:5" x14ac:dyDescent="0.35">
      <c r="A32" s="118">
        <v>25</v>
      </c>
      <c r="B32" s="114" t="s">
        <v>115</v>
      </c>
      <c r="C32" s="109" t="e">
        <f>VLOOKUP(Table257519913140106110151155170178204299[[#This Row],[PEG]],Table1016[#All],2,FALSE)</f>
        <v>#N/A</v>
      </c>
      <c r="D32" s="117"/>
      <c r="E32" s="125" t="e">
        <f>VLOOKUP(Table257519913140106110151155170178204299[[#This Row],[PEG]],Table1016[#All],3,FALSE)</f>
        <v>#N/A</v>
      </c>
    </row>
    <row r="33" spans="1:5" x14ac:dyDescent="0.35">
      <c r="A33" s="118">
        <v>26</v>
      </c>
      <c r="B33" s="114" t="s">
        <v>124</v>
      </c>
      <c r="C33" s="109" t="e">
        <f>VLOOKUP(Table257519913140106110151155170178204299[[#This Row],[PEG]],Table1016[#All],2,FALSE)</f>
        <v>#N/A</v>
      </c>
      <c r="D33" s="117"/>
      <c r="E33" s="125" t="e">
        <f>VLOOKUP(Table257519913140106110151155170178204299[[#This Row],[PEG]],Table1016[#All],3,FALSE)</f>
        <v>#N/A</v>
      </c>
    </row>
    <row r="34" spans="1:5" x14ac:dyDescent="0.35">
      <c r="A34" s="118">
        <v>27</v>
      </c>
      <c r="B34" s="114" t="s">
        <v>115</v>
      </c>
      <c r="C34" s="109" t="e">
        <f>VLOOKUP(Table257519913140106110151155170178204299[[#This Row],[PEG]],Table1016[#All],2,FALSE)</f>
        <v>#N/A</v>
      </c>
      <c r="D34" s="117"/>
      <c r="E34" s="125" t="e">
        <f>VLOOKUP(Table257519913140106110151155170178204299[[#This Row],[PEG]],Table1016[#All],3,FALSE)</f>
        <v>#N/A</v>
      </c>
    </row>
    <row r="35" spans="1:5" x14ac:dyDescent="0.35">
      <c r="A35" s="118">
        <v>28</v>
      </c>
      <c r="B35" s="114" t="s">
        <v>124</v>
      </c>
      <c r="C35" s="109" t="e">
        <f>VLOOKUP(Table257519913140106110151155170178204299[[#This Row],[PEG]],Table1016[#All],2,FALSE)</f>
        <v>#N/A</v>
      </c>
      <c r="D35" s="117"/>
      <c r="E35" s="125" t="e">
        <f>VLOOKUP(Table257519913140106110151155170178204299[[#This Row],[PEG]],Table1016[#All],3,FALSE)</f>
        <v>#N/A</v>
      </c>
    </row>
    <row r="36" spans="1:5" x14ac:dyDescent="0.35">
      <c r="A36" s="118">
        <v>29</v>
      </c>
      <c r="B36" s="114" t="s">
        <v>115</v>
      </c>
      <c r="C36" s="109" t="e">
        <f>VLOOKUP(Table257519913140106110151155170178204299[[#This Row],[PEG]],Table1016[#All],2,FALSE)</f>
        <v>#N/A</v>
      </c>
      <c r="D36" s="117"/>
      <c r="E36" s="125" t="e">
        <f>VLOOKUP(Table257519913140106110151155170178204299[[#This Row],[PEG]],Table1016[#All],3,FALSE)</f>
        <v>#N/A</v>
      </c>
    </row>
    <row r="37" spans="1:5" x14ac:dyDescent="0.35">
      <c r="A37" s="118">
        <v>30</v>
      </c>
      <c r="B37" s="114" t="s">
        <v>12</v>
      </c>
      <c r="C37" s="109" t="e">
        <f>VLOOKUP(Table257519913140106110151155170178204299[[#This Row],[PEG]],Table1016[#All],2,FALSE)</f>
        <v>#N/A</v>
      </c>
      <c r="D37" s="117"/>
      <c r="E37" s="125" t="e">
        <f>VLOOKUP(Table257519913140106110151155170178204299[[#This Row],[PEG]],Table1016[#All],3,FALSE)</f>
        <v>#N/A</v>
      </c>
    </row>
    <row r="38" spans="1:5" x14ac:dyDescent="0.35">
      <c r="A38" s="118">
        <v>31</v>
      </c>
      <c r="B38" s="114" t="s">
        <v>12</v>
      </c>
      <c r="C38" s="109" t="e">
        <f>VLOOKUP(Table257519913140106110151155170178204299[[#This Row],[PEG]],Table1016[#All],2,FALSE)</f>
        <v>#N/A</v>
      </c>
      <c r="D38" s="117"/>
      <c r="E38" s="125" t="e">
        <f>VLOOKUP(Table257519913140106110151155170178204299[[#This Row],[PEG]],Table1016[#All],3,FALSE)</f>
        <v>#N/A</v>
      </c>
    </row>
    <row r="39" spans="1:5" x14ac:dyDescent="0.35">
      <c r="A39" s="118">
        <v>32</v>
      </c>
      <c r="B39" s="114" t="s">
        <v>12</v>
      </c>
      <c r="C39" s="109" t="e">
        <f>VLOOKUP(Table257519913140106110151155170178204299[[#This Row],[PEG]],Table1016[#All],2,FALSE)</f>
        <v>#N/A</v>
      </c>
      <c r="D39" s="117"/>
      <c r="E39" s="125" t="e">
        <f>VLOOKUP(Table257519913140106110151155170178204299[[#This Row],[PEG]],Table1016[#All],3,FALSE)</f>
        <v>#N/A</v>
      </c>
    </row>
    <row r="40" spans="1:5" x14ac:dyDescent="0.35">
      <c r="A40" s="118">
        <v>33</v>
      </c>
      <c r="B40" s="114" t="s">
        <v>12</v>
      </c>
      <c r="C40" s="109" t="e">
        <f>VLOOKUP(Table257519913140106110151155170178204299[[#This Row],[PEG]],Table1016[#All],2,FALSE)</f>
        <v>#N/A</v>
      </c>
      <c r="D40" s="117"/>
      <c r="E40" s="125" t="e">
        <f>VLOOKUP(Table257519913140106110151155170178204299[[#This Row],[PEG]],Table1016[#All],3,FALSE)</f>
        <v>#N/A</v>
      </c>
    </row>
    <row r="41" spans="1:5" x14ac:dyDescent="0.35">
      <c r="A41" s="118">
        <v>34</v>
      </c>
      <c r="B41" s="114" t="s">
        <v>115</v>
      </c>
      <c r="C41" s="109" t="e">
        <f>VLOOKUP(Table257519913140106110151155170178204299[[#This Row],[PEG]],Table1016[#All],2,FALSE)</f>
        <v>#N/A</v>
      </c>
      <c r="D41" s="117"/>
      <c r="E41" s="125" t="e">
        <f>VLOOKUP(Table257519913140106110151155170178204299[[#This Row],[PEG]],Table1016[#All],3,FALSE)</f>
        <v>#N/A</v>
      </c>
    </row>
    <row r="42" spans="1:5" x14ac:dyDescent="0.35">
      <c r="A42" s="118">
        <v>35</v>
      </c>
      <c r="B42" s="114" t="s">
        <v>12</v>
      </c>
      <c r="C42" s="109" t="e">
        <f>VLOOKUP(Table257519913140106110151155170178204299[[#This Row],[PEG]],Table1016[#All],2,FALSE)</f>
        <v>#N/A</v>
      </c>
      <c r="D42" s="115"/>
      <c r="E42" s="125" t="e">
        <f>VLOOKUP(Table257519913140106110151155170178204299[[#This Row],[PEG]],Table1016[#All],3,FALSE)</f>
        <v>#N/A</v>
      </c>
    </row>
    <row r="43" spans="1:5" x14ac:dyDescent="0.35">
      <c r="A43" s="118">
        <v>36</v>
      </c>
      <c r="B43" s="114" t="s">
        <v>115</v>
      </c>
      <c r="C43" s="109" t="e">
        <f>VLOOKUP(Table257519913140106110151155170178204299[[#This Row],[PEG]],Table1016[#All],2,FALSE)</f>
        <v>#N/A</v>
      </c>
      <c r="D43" s="115"/>
      <c r="E43" s="125" t="e">
        <f>VLOOKUP(Table257519913140106110151155170178204299[[#This Row],[PEG]],Table1016[#All],3,FALSE)</f>
        <v>#N/A</v>
      </c>
    </row>
    <row r="44" spans="1:5" x14ac:dyDescent="0.35">
      <c r="A44" s="118">
        <v>37</v>
      </c>
      <c r="B44" s="114" t="s">
        <v>13</v>
      </c>
      <c r="C44" s="18" t="s">
        <v>13</v>
      </c>
      <c r="D44" s="115"/>
      <c r="E44" s="32"/>
    </row>
  </sheetData>
  <mergeCells count="1">
    <mergeCell ref="A1:B1"/>
  </mergeCells>
  <conditionalFormatting sqref="B8:B18">
    <cfRule type="containsText" dxfId="201" priority="1" operator="containsText" text="Hear">
      <formula>NOT(ISERROR(SEARCH("Hear",B8)))</formula>
    </cfRule>
  </conditionalFormatting>
  <conditionalFormatting sqref="B30">
    <cfRule type="containsText" dxfId="200" priority="4" operator="containsText" text="Hear">
      <formula>NOT(ISERROR(SEARCH("Hear",B30)))</formula>
    </cfRule>
  </conditionalFormatting>
  <conditionalFormatting sqref="B43:B44">
    <cfRule type="containsText" dxfId="199" priority="8" operator="containsText" text="Hear">
      <formula>NOT(ISERROR(SEARCH("Hear",B43)))</formula>
    </cfRule>
  </conditionalFormatting>
  <conditionalFormatting sqref="E44">
    <cfRule type="containsText" dxfId="198" priority="6" operator="containsText" text="WEB SERVICE">
      <formula>NOT(ISERROR(SEARCH("WEB SERVICE",E44)))</formula>
    </cfRule>
    <cfRule type="containsText" dxfId="197" priority="7" operator="containsText" text="DB">
      <formula>NOT(ISERROR(SEARCH("DB",E44)))</formula>
    </cfRule>
  </conditionalFormatting>
  <conditionalFormatting sqref="C44">
    <cfRule type="expression" dxfId="196" priority="9">
      <formula>$B44="Dial"</formula>
    </cfRule>
  </conditionalFormatting>
  <conditionalFormatting sqref="C44">
    <cfRule type="expression" dxfId="195" priority="3">
      <formula>$B44="Speak"</formula>
    </cfRule>
  </conditionalFormatting>
  <conditionalFormatting sqref="B19:B29 B31:B35 B42">
    <cfRule type="containsText" dxfId="194" priority="5" operator="containsText" text="Hear">
      <formula>NOT(ISERROR(SEARCH("Hear",B19)))</formula>
    </cfRule>
  </conditionalFormatting>
  <hyperlinks>
    <hyperlink ref="A1" location="'Test Case Overview'!A1" display="Return to Test Case Overview" xr:uid="{1D73D71C-DFE8-41B8-A657-F950EA2C8423}"/>
  </hyperlinks>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expression" priority="2" id="{7DFE696A-41AB-4EBC-9A2A-5003E91B7698}">
            <xm:f>'TC1'!$B8="HANGUP"</xm:f>
            <x14:dxf>
              <font>
                <b/>
                <i val="0"/>
              </font>
            </x14:dxf>
          </x14:cfRule>
          <xm:sqref>C8</xm:sqref>
        </x14:conditionalFormatting>
        <x14:conditionalFormatting xmlns:xm="http://schemas.microsoft.com/office/excel/2006/main">
          <x14:cfRule type="expression" priority="3426" id="{7DFE696A-41AB-4EBC-9A2A-5003E91B7698}">
            <xm:f>'TC1'!$B16="HANGUP"</xm:f>
            <x14:dxf>
              <font>
                <b/>
                <i val="0"/>
              </font>
            </x14:dxf>
          </x14:cfRule>
          <xm:sqref>C34:C43</xm:sqref>
        </x14:conditionalFormatting>
        <x14:conditionalFormatting xmlns:xm="http://schemas.microsoft.com/office/excel/2006/main">
          <x14:cfRule type="expression" priority="3427" id="{7DFE696A-41AB-4EBC-9A2A-5003E91B7698}">
            <xm:f>'TC1'!#REF!="HANGUP"</xm:f>
            <x14:dxf>
              <font>
                <b/>
                <i val="0"/>
              </font>
            </x14:dxf>
          </x14:cfRule>
          <xm:sqref>C17:C33</xm:sqref>
        </x14:conditionalFormatting>
        <x14:conditionalFormatting xmlns:xm="http://schemas.microsoft.com/office/excel/2006/main">
          <x14:cfRule type="expression" priority="6040" id="{7DFE696A-41AB-4EBC-9A2A-5003E91B7698}">
            <xm:f>'TC1'!$B9="HANGUP"</xm:f>
            <x14:dxf>
              <font>
                <b/>
                <i val="0"/>
              </font>
            </x14:dxf>
          </x14:cfRule>
          <xm:sqref>C12:C15</xm:sqref>
        </x14:conditionalFormatting>
        <x14:conditionalFormatting xmlns:xm="http://schemas.microsoft.com/office/excel/2006/main">
          <x14:cfRule type="expression" priority="6041" id="{7DFE696A-41AB-4EBC-9A2A-5003E91B7698}">
            <xm:f>'TC1'!#REF!="HANGUP"</xm:f>
            <x14:dxf>
              <font>
                <b/>
                <i val="0"/>
              </font>
            </x14:dxf>
          </x14:cfRule>
          <xm:sqref>C9:C11</xm:sqref>
        </x14:conditionalFormatting>
        <x14:conditionalFormatting xmlns:xm="http://schemas.microsoft.com/office/excel/2006/main">
          <x14:cfRule type="expression" priority="8193" id="{7DFE696A-41AB-4EBC-9A2A-5003E91B7698}">
            <xm:f>'TC1'!$B15="HANGUP"</xm:f>
            <x14:dxf>
              <font>
                <b/>
                <i val="0"/>
              </font>
            </x14:dxf>
          </x14:cfRule>
          <xm:sqref>C16</xm:sqref>
        </x14:conditionalFormatting>
      </x14:conditionalFormattings>
    </ext>
  </extLst>
</worksheet>
</file>

<file path=xl/worksheets/sheet1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C400-000000000000}">
  <sheetPr codeName="Sheet198"/>
  <dimension ref="A1:E44"/>
  <sheetViews>
    <sheetView zoomScaleNormal="100" workbookViewId="0">
      <selection sqref="A1:E44"/>
    </sheetView>
  </sheetViews>
  <sheetFormatPr defaultRowHeight="14.5" x14ac:dyDescent="0.35"/>
  <cols>
    <col min="1" max="1" width="14.453125" bestFit="1" customWidth="1"/>
    <col min="2" max="2" width="42.6328125" customWidth="1"/>
    <col min="3" max="3" width="106.1796875" customWidth="1"/>
    <col min="4" max="4" width="21.81640625" bestFit="1" customWidth="1"/>
    <col min="5" max="5" width="20.6328125" customWidth="1"/>
  </cols>
  <sheetData>
    <row r="1" spans="1:5" ht="18.5" x14ac:dyDescent="0.35">
      <c r="A1" s="192" t="s">
        <v>4</v>
      </c>
      <c r="B1" s="192"/>
      <c r="C1" s="105"/>
      <c r="D1" s="111"/>
      <c r="E1" s="97"/>
    </row>
    <row r="2" spans="1:5" x14ac:dyDescent="0.35">
      <c r="A2" s="106" t="s">
        <v>5</v>
      </c>
      <c r="B2" s="107" t="str">
        <f ca="1">MID(CELL("filename",A1),FIND("]",CELL("filename",A1))+1,LEN(CELL("filename",A1))-FIND("]",CELL("filename",A1)))</f>
        <v>TC196</v>
      </c>
      <c r="C2" s="98"/>
      <c r="D2" s="111"/>
      <c r="E2" s="97"/>
    </row>
    <row r="3" spans="1:5" x14ac:dyDescent="0.35">
      <c r="A3" s="104" t="s">
        <v>19</v>
      </c>
      <c r="B3" s="112" t="e">
        <f ca="1">VLOOKUP(B2,Table53[#All],2,FALSE)</f>
        <v>#N/A</v>
      </c>
      <c r="C3" s="98"/>
      <c r="D3" s="111"/>
      <c r="E3" s="97"/>
    </row>
    <row r="4" spans="1:5" ht="29" x14ac:dyDescent="0.35">
      <c r="A4" s="113" t="s">
        <v>20</v>
      </c>
      <c r="B4" s="99" t="e">
        <f ca="1">VLOOKUP(B2,Table53[#All],4,FALSE)</f>
        <v>#N/A</v>
      </c>
      <c r="C4" s="98"/>
      <c r="D4" s="111"/>
      <c r="E4" s="97"/>
    </row>
    <row r="5" spans="1:5" x14ac:dyDescent="0.35">
      <c r="A5" s="104" t="s">
        <v>6</v>
      </c>
      <c r="B5" s="77" t="e">
        <f ca="1">VLOOKUP(B2,Table53[#All],3,FALSE)</f>
        <v>#N/A</v>
      </c>
      <c r="C5" s="98"/>
      <c r="D5" s="111"/>
      <c r="E5" s="97"/>
    </row>
    <row r="6" spans="1:5" x14ac:dyDescent="0.35">
      <c r="A6" s="97"/>
      <c r="B6" s="97"/>
      <c r="C6" s="98"/>
      <c r="D6" s="111"/>
      <c r="E6" s="97"/>
    </row>
    <row r="7" spans="1:5" ht="15.5" x14ac:dyDescent="0.35">
      <c r="A7" s="100" t="s">
        <v>7</v>
      </c>
      <c r="B7" s="101" t="s">
        <v>8</v>
      </c>
      <c r="C7" s="102" t="s">
        <v>9</v>
      </c>
      <c r="D7" s="102" t="s">
        <v>14</v>
      </c>
      <c r="E7" s="103" t="s">
        <v>10</v>
      </c>
    </row>
    <row r="8" spans="1:5" x14ac:dyDescent="0.35">
      <c r="A8" s="118">
        <v>1</v>
      </c>
      <c r="B8" s="114" t="s">
        <v>114</v>
      </c>
      <c r="C8" s="109" t="s">
        <v>125</v>
      </c>
      <c r="D8" s="128"/>
      <c r="E8" s="125" t="s">
        <v>11</v>
      </c>
    </row>
    <row r="9" spans="1:5" x14ac:dyDescent="0.35">
      <c r="A9" s="118">
        <v>2</v>
      </c>
      <c r="B9" s="114" t="s">
        <v>12</v>
      </c>
      <c r="C9" s="109" t="e">
        <f>VLOOKUP(Table257519913140106110151155170178204301[[#This Row],[PEG]],Table1016[#All],2,FALSE)</f>
        <v>#N/A</v>
      </c>
      <c r="D9" s="128"/>
      <c r="E9" s="125" t="e">
        <f>VLOOKUP(Table257519913140106110151155170178204301[[#This Row],[PEG]],Table1016[#All],3,FALSE)</f>
        <v>#N/A</v>
      </c>
    </row>
    <row r="10" spans="1:5" x14ac:dyDescent="0.35">
      <c r="A10" s="118">
        <v>3</v>
      </c>
      <c r="B10" s="114" t="s">
        <v>115</v>
      </c>
      <c r="C10" s="109" t="e">
        <f>VLOOKUP(Table257519913140106110151155170178204301[[#This Row],[PEG]],Table1016[#All],2,FALSE)</f>
        <v>#N/A</v>
      </c>
      <c r="D10" s="128"/>
      <c r="E10" s="125" t="e">
        <f>VLOOKUP(Table257519913140106110151155170178204301[[#This Row],[PEG]],Table1016[#All],3,FALSE)</f>
        <v>#N/A</v>
      </c>
    </row>
    <row r="11" spans="1:5" x14ac:dyDescent="0.35">
      <c r="A11" s="118">
        <v>4</v>
      </c>
      <c r="B11" s="114" t="s">
        <v>115</v>
      </c>
      <c r="C11" s="109" t="e">
        <f>VLOOKUP(Table257519913140106110151155170178204301[[#This Row],[PEG]],Table1016[#All],2,FALSE)</f>
        <v>#N/A</v>
      </c>
      <c r="D11" s="128"/>
      <c r="E11" s="125" t="e">
        <f>VLOOKUP(Table257519913140106110151155170178204301[[#This Row],[PEG]],Table1016[#All],3,FALSE)</f>
        <v>#N/A</v>
      </c>
    </row>
    <row r="12" spans="1:5" x14ac:dyDescent="0.35">
      <c r="A12" s="118">
        <v>5</v>
      </c>
      <c r="B12" s="114" t="s">
        <v>114</v>
      </c>
      <c r="C12" s="109" t="e">
        <f>VLOOKUP(Table257519913140106110151155170178204301[[#This Row],[PEG]],Table1016[#All],2,FALSE)</f>
        <v>#N/A</v>
      </c>
      <c r="D12" s="128"/>
      <c r="E12" s="125" t="e">
        <f>VLOOKUP(Table257519913140106110151155170178204301[[#This Row],[PEG]],Table1016[#All],3,FALSE)</f>
        <v>#N/A</v>
      </c>
    </row>
    <row r="13" spans="1:5" x14ac:dyDescent="0.35">
      <c r="A13" s="118">
        <v>6</v>
      </c>
      <c r="B13" s="114" t="s">
        <v>115</v>
      </c>
      <c r="C13" s="109" t="e">
        <f>VLOOKUP(Table257519913140106110151155170178204301[[#This Row],[PEG]],Table1016[#All],2,FALSE)</f>
        <v>#N/A</v>
      </c>
      <c r="D13" s="128"/>
      <c r="E13" s="125" t="e">
        <f>VLOOKUP(Table257519913140106110151155170178204301[[#This Row],[PEG]],Table1016[#All],3,FALSE)</f>
        <v>#N/A</v>
      </c>
    </row>
    <row r="14" spans="1:5" x14ac:dyDescent="0.35">
      <c r="A14" s="118">
        <v>7</v>
      </c>
      <c r="B14" s="114" t="s">
        <v>114</v>
      </c>
      <c r="C14" s="109" t="e">
        <f>VLOOKUP(Table257519913140106110151155170178204301[[#This Row],[PEG]],Table1016[#All],2,FALSE)</f>
        <v>#N/A</v>
      </c>
      <c r="D14" s="128"/>
      <c r="E14" s="125" t="e">
        <f>VLOOKUP(Table257519913140106110151155170178204301[[#This Row],[PEG]],Table1016[#All],3,FALSE)</f>
        <v>#N/A</v>
      </c>
    </row>
    <row r="15" spans="1:5" x14ac:dyDescent="0.35">
      <c r="A15" s="118">
        <v>8</v>
      </c>
      <c r="B15" s="114" t="s">
        <v>115</v>
      </c>
      <c r="C15" s="109" t="e">
        <f>VLOOKUP(Table257519913140106110151155170178204301[[#This Row],[PEG]],Table1016[#All],2,FALSE)</f>
        <v>#N/A</v>
      </c>
      <c r="D15" s="116"/>
      <c r="E15" s="125" t="e">
        <f>VLOOKUP(Table257519913140106110151155170178204301[[#This Row],[PEG]],Table1016[#All],3,FALSE)</f>
        <v>#N/A</v>
      </c>
    </row>
    <row r="16" spans="1:5" x14ac:dyDescent="0.35">
      <c r="A16" s="118">
        <v>9</v>
      </c>
      <c r="B16" s="114" t="s">
        <v>12</v>
      </c>
      <c r="C16" s="109" t="e">
        <f>VLOOKUP(Table257519913140106110151155170178204301[[#This Row],[PEG]],Table1016[#All],2,FALSE)</f>
        <v>#N/A</v>
      </c>
      <c r="D16" s="116"/>
      <c r="E16" s="125" t="e">
        <f>VLOOKUP(Table257519913140106110151155170178204301[[#This Row],[PEG]],Table1016[#All],3,FALSE)</f>
        <v>#N/A</v>
      </c>
    </row>
    <row r="17" spans="1:5" x14ac:dyDescent="0.35">
      <c r="A17" s="118">
        <v>10</v>
      </c>
      <c r="B17" s="114" t="s">
        <v>12</v>
      </c>
      <c r="C17" s="109" t="e">
        <f>VLOOKUP(Table257519913140106110151155170178204301[[#This Row],[PEG]],Table1016[#All],2,FALSE)</f>
        <v>#N/A</v>
      </c>
      <c r="D17" s="117"/>
      <c r="E17" s="125" t="e">
        <f>VLOOKUP(Table257519913140106110151155170178204301[[#This Row],[PEG]],Table1016[#All],3,FALSE)</f>
        <v>#N/A</v>
      </c>
    </row>
    <row r="18" spans="1:5" x14ac:dyDescent="0.35">
      <c r="A18" s="118">
        <v>11</v>
      </c>
      <c r="B18" s="114" t="s">
        <v>115</v>
      </c>
      <c r="C18" s="109" t="e">
        <f>VLOOKUP(Table257519913140106110151155170178204301[[#This Row],[PEG]],Table1016[#All],2,FALSE)</f>
        <v>#N/A</v>
      </c>
      <c r="D18" s="117"/>
      <c r="E18" s="125" t="e">
        <f>VLOOKUP(Table257519913140106110151155170178204301[[#This Row],[PEG]],Table1016[#All],3,FALSE)</f>
        <v>#N/A</v>
      </c>
    </row>
    <row r="19" spans="1:5" x14ac:dyDescent="0.35">
      <c r="A19" s="118">
        <v>12</v>
      </c>
      <c r="B19" s="114" t="s">
        <v>115</v>
      </c>
      <c r="C19" s="109" t="e">
        <f>VLOOKUP(Table257519913140106110151155170178204301[[#This Row],[PEG]],Table1016[#All],2,FALSE)</f>
        <v>#N/A</v>
      </c>
      <c r="D19" s="117"/>
      <c r="E19" s="125" t="e">
        <f>VLOOKUP(Table257519913140106110151155170178204301[[#This Row],[PEG]],Table1016[#All],3,FALSE)</f>
        <v>#N/A</v>
      </c>
    </row>
    <row r="20" spans="1:5" x14ac:dyDescent="0.35">
      <c r="A20" s="118">
        <v>13</v>
      </c>
      <c r="B20" s="114" t="s">
        <v>114</v>
      </c>
      <c r="C20" s="109" t="e">
        <f>VLOOKUP(Table257519913140106110151155170178204301[[#This Row],[PEG]],Table1016[#All],2,FALSE)</f>
        <v>#N/A</v>
      </c>
      <c r="D20" s="117"/>
      <c r="E20" s="125" t="e">
        <f>VLOOKUP(Table257519913140106110151155170178204301[[#This Row],[PEG]],Table1016[#All],3,FALSE)</f>
        <v>#N/A</v>
      </c>
    </row>
    <row r="21" spans="1:5" x14ac:dyDescent="0.35">
      <c r="A21" s="118">
        <v>14</v>
      </c>
      <c r="B21" s="114" t="s">
        <v>12</v>
      </c>
      <c r="C21" s="109" t="e">
        <f>VLOOKUP(Table257519913140106110151155170178204301[[#This Row],[PEG]],Table1016[#All],2,FALSE)</f>
        <v>#N/A</v>
      </c>
      <c r="D21" s="117"/>
      <c r="E21" s="125" t="e">
        <f>VLOOKUP(Table257519913140106110151155170178204301[[#This Row],[PEG]],Table1016[#All],3,FALSE)</f>
        <v>#N/A</v>
      </c>
    </row>
    <row r="22" spans="1:5" x14ac:dyDescent="0.35">
      <c r="A22" s="118">
        <v>15</v>
      </c>
      <c r="B22" s="114" t="s">
        <v>12</v>
      </c>
      <c r="C22" s="109" t="e">
        <f>VLOOKUP(Table257519913140106110151155170178204301[[#This Row],[PEG]],Table1016[#All],2,FALSE)</f>
        <v>#N/A</v>
      </c>
      <c r="D22" s="117"/>
      <c r="E22" s="125" t="e">
        <f>VLOOKUP(Table257519913140106110151155170178204301[[#This Row],[PEG]],Table1016[#All],3,FALSE)</f>
        <v>#N/A</v>
      </c>
    </row>
    <row r="23" spans="1:5" x14ac:dyDescent="0.35">
      <c r="A23" s="118">
        <v>16</v>
      </c>
      <c r="B23" s="114" t="s">
        <v>115</v>
      </c>
      <c r="C23" s="109" t="e">
        <f>VLOOKUP(Table257519913140106110151155170178204301[[#This Row],[PEG]],Table1016[#All],2,FALSE)</f>
        <v>#N/A</v>
      </c>
      <c r="D23" s="117"/>
      <c r="E23" s="125" t="e">
        <f>VLOOKUP(Table257519913140106110151155170178204301[[#This Row],[PEG]],Table1016[#All],3,FALSE)</f>
        <v>#N/A</v>
      </c>
    </row>
    <row r="24" spans="1:5" x14ac:dyDescent="0.35">
      <c r="A24" s="118">
        <v>17</v>
      </c>
      <c r="B24" s="114" t="s">
        <v>114</v>
      </c>
      <c r="C24" s="109" t="e">
        <f>VLOOKUP(Table257519913140106110151155170178204301[[#This Row],[PEG]],Table1016[#All],2,FALSE)</f>
        <v>#N/A</v>
      </c>
      <c r="D24" s="117"/>
      <c r="E24" s="125" t="e">
        <f>VLOOKUP(Table257519913140106110151155170178204301[[#This Row],[PEG]],Table1016[#All],3,FALSE)</f>
        <v>#N/A</v>
      </c>
    </row>
    <row r="25" spans="1:5" x14ac:dyDescent="0.35">
      <c r="A25" s="118">
        <v>18</v>
      </c>
      <c r="B25" s="114" t="s">
        <v>12</v>
      </c>
      <c r="C25" s="109" t="e">
        <f>VLOOKUP(Table257519913140106110151155170178204301[[#This Row],[PEG]],Table1016[#All],2,FALSE)</f>
        <v>#N/A</v>
      </c>
      <c r="D25" s="117"/>
      <c r="E25" s="125" t="e">
        <f>VLOOKUP(Table257519913140106110151155170178204301[[#This Row],[PEG]],Table1016[#All],3,FALSE)</f>
        <v>#N/A</v>
      </c>
    </row>
    <row r="26" spans="1:5" x14ac:dyDescent="0.35">
      <c r="A26" s="118">
        <v>19</v>
      </c>
      <c r="B26" s="114" t="s">
        <v>12</v>
      </c>
      <c r="C26" s="109" t="e">
        <f>VLOOKUP(Table257519913140106110151155170178204301[[#This Row],[PEG]],Table1016[#All],2,FALSE)</f>
        <v>#N/A</v>
      </c>
      <c r="D26" s="117"/>
      <c r="E26" s="125" t="e">
        <f>VLOOKUP(Table257519913140106110151155170178204301[[#This Row],[PEG]],Table1016[#All],3,FALSE)</f>
        <v>#N/A</v>
      </c>
    </row>
    <row r="27" spans="1:5" x14ac:dyDescent="0.35">
      <c r="A27" s="118">
        <v>20</v>
      </c>
      <c r="B27" s="114" t="s">
        <v>115</v>
      </c>
      <c r="C27" s="109" t="e">
        <f>VLOOKUP(Table257519913140106110151155170178204301[[#This Row],[PEG]],Table1016[#All],2,FALSE)</f>
        <v>#N/A</v>
      </c>
      <c r="D27" s="117"/>
      <c r="E27" s="125" t="e">
        <f>VLOOKUP(Table257519913140106110151155170178204301[[#This Row],[PEG]],Table1016[#All],3,FALSE)</f>
        <v>#N/A</v>
      </c>
    </row>
    <row r="28" spans="1:5" x14ac:dyDescent="0.35">
      <c r="A28" s="118">
        <v>21</v>
      </c>
      <c r="B28" s="114" t="s">
        <v>114</v>
      </c>
      <c r="C28" s="109" t="e">
        <f>VLOOKUP(Table257519913140106110151155170178204301[[#This Row],[PEG]],Table1016[#All],2,FALSE)</f>
        <v>#N/A</v>
      </c>
      <c r="D28" s="117"/>
      <c r="E28" s="125" t="e">
        <f>VLOOKUP(Table257519913140106110151155170178204301[[#This Row],[PEG]],Table1016[#All],3,FALSE)</f>
        <v>#N/A</v>
      </c>
    </row>
    <row r="29" spans="1:5" x14ac:dyDescent="0.35">
      <c r="A29" s="118">
        <v>22</v>
      </c>
      <c r="B29" s="114" t="s">
        <v>12</v>
      </c>
      <c r="C29" s="109" t="e">
        <f>VLOOKUP(Table257519913140106110151155170178204301[[#This Row],[PEG]],Table1016[#All],2,FALSE)</f>
        <v>#N/A</v>
      </c>
      <c r="D29" s="117"/>
      <c r="E29" s="125" t="e">
        <f>VLOOKUP(Table257519913140106110151155170178204301[[#This Row],[PEG]],Table1016[#All],3,FALSE)</f>
        <v>#N/A</v>
      </c>
    </row>
    <row r="30" spans="1:5" x14ac:dyDescent="0.35">
      <c r="A30" s="118">
        <v>23</v>
      </c>
      <c r="B30" s="114" t="s">
        <v>12</v>
      </c>
      <c r="C30" s="109" t="e">
        <f>VLOOKUP(Table257519913140106110151155170178204301[[#This Row],[PEG]],Table1016[#All],2,FALSE)</f>
        <v>#N/A</v>
      </c>
      <c r="D30" s="117"/>
      <c r="E30" s="125" t="e">
        <f>VLOOKUP(Table257519913140106110151155170178204301[[#This Row],[PEG]],Table1016[#All],3,FALSE)</f>
        <v>#N/A</v>
      </c>
    </row>
    <row r="31" spans="1:5" x14ac:dyDescent="0.35">
      <c r="A31" s="118">
        <v>24</v>
      </c>
      <c r="B31" s="114" t="s">
        <v>115</v>
      </c>
      <c r="C31" s="109" t="e">
        <f>VLOOKUP(Table257519913140106110151155170178204301[[#This Row],[PEG]],Table1016[#All],2,FALSE)</f>
        <v>#N/A</v>
      </c>
      <c r="D31" s="117"/>
      <c r="E31" s="125" t="e">
        <f>VLOOKUP(Table257519913140106110151155170178204301[[#This Row],[PEG]],Table1016[#All],3,FALSE)</f>
        <v>#N/A</v>
      </c>
    </row>
    <row r="32" spans="1:5" x14ac:dyDescent="0.35">
      <c r="A32" s="118">
        <v>25</v>
      </c>
      <c r="B32" s="114" t="s">
        <v>115</v>
      </c>
      <c r="C32" s="109" t="e">
        <f>VLOOKUP(Table257519913140106110151155170178204301[[#This Row],[PEG]],Table1016[#All],2,FALSE)</f>
        <v>#N/A</v>
      </c>
      <c r="D32" s="117"/>
      <c r="E32" s="125" t="e">
        <f>VLOOKUP(Table257519913140106110151155170178204301[[#This Row],[PEG]],Table1016[#All],3,FALSE)</f>
        <v>#N/A</v>
      </c>
    </row>
    <row r="33" spans="1:5" x14ac:dyDescent="0.35">
      <c r="A33" s="118">
        <v>26</v>
      </c>
      <c r="B33" s="114" t="s">
        <v>124</v>
      </c>
      <c r="C33" s="109" t="e">
        <f>VLOOKUP(Table257519913140106110151155170178204301[[#This Row],[PEG]],Table1016[#All],2,FALSE)</f>
        <v>#N/A</v>
      </c>
      <c r="D33" s="117"/>
      <c r="E33" s="125" t="e">
        <f>VLOOKUP(Table257519913140106110151155170178204301[[#This Row],[PEG]],Table1016[#All],3,FALSE)</f>
        <v>#N/A</v>
      </c>
    </row>
    <row r="34" spans="1:5" x14ac:dyDescent="0.35">
      <c r="A34" s="118">
        <v>27</v>
      </c>
      <c r="B34" s="114" t="s">
        <v>115</v>
      </c>
      <c r="C34" s="109" t="e">
        <f>VLOOKUP(Table257519913140106110151155170178204301[[#This Row],[PEG]],Table1016[#All],2,FALSE)</f>
        <v>#N/A</v>
      </c>
      <c r="D34" s="117"/>
      <c r="E34" s="125" t="e">
        <f>VLOOKUP(Table257519913140106110151155170178204301[[#This Row],[PEG]],Table1016[#All],3,FALSE)</f>
        <v>#N/A</v>
      </c>
    </row>
    <row r="35" spans="1:5" x14ac:dyDescent="0.35">
      <c r="A35" s="118">
        <v>28</v>
      </c>
      <c r="B35" s="114" t="s">
        <v>124</v>
      </c>
      <c r="C35" s="109" t="e">
        <f>VLOOKUP(Table257519913140106110151155170178204301[[#This Row],[PEG]],Table1016[#All],2,FALSE)</f>
        <v>#N/A</v>
      </c>
      <c r="D35" s="117"/>
      <c r="E35" s="125" t="e">
        <f>VLOOKUP(Table257519913140106110151155170178204301[[#This Row],[PEG]],Table1016[#All],3,FALSE)</f>
        <v>#N/A</v>
      </c>
    </row>
    <row r="36" spans="1:5" x14ac:dyDescent="0.35">
      <c r="A36" s="118">
        <v>29</v>
      </c>
      <c r="B36" s="114" t="s">
        <v>115</v>
      </c>
      <c r="C36" s="109" t="e">
        <f>VLOOKUP(Table257519913140106110151155170178204301[[#This Row],[PEG]],Table1016[#All],2,FALSE)</f>
        <v>#N/A</v>
      </c>
      <c r="D36" s="117"/>
      <c r="E36" s="125" t="e">
        <f>VLOOKUP(Table257519913140106110151155170178204301[[#This Row],[PEG]],Table1016[#All],3,FALSE)</f>
        <v>#N/A</v>
      </c>
    </row>
    <row r="37" spans="1:5" x14ac:dyDescent="0.35">
      <c r="A37" s="118">
        <v>30</v>
      </c>
      <c r="B37" s="114" t="s">
        <v>12</v>
      </c>
      <c r="C37" s="109" t="e">
        <f>VLOOKUP(Table257519913140106110151155170178204301[[#This Row],[PEG]],Table1016[#All],2,FALSE)</f>
        <v>#N/A</v>
      </c>
      <c r="D37" s="117"/>
      <c r="E37" s="125" t="e">
        <f>VLOOKUP(Table257519913140106110151155170178204301[[#This Row],[PEG]],Table1016[#All],3,FALSE)</f>
        <v>#N/A</v>
      </c>
    </row>
    <row r="38" spans="1:5" x14ac:dyDescent="0.35">
      <c r="A38" s="118">
        <v>31</v>
      </c>
      <c r="B38" s="114" t="s">
        <v>12</v>
      </c>
      <c r="C38" s="109" t="e">
        <f>VLOOKUP(Table257519913140106110151155170178204301[[#This Row],[PEG]],Table1016[#All],2,FALSE)</f>
        <v>#N/A</v>
      </c>
      <c r="D38" s="117"/>
      <c r="E38" s="125" t="e">
        <f>VLOOKUP(Table257519913140106110151155170178204301[[#This Row],[PEG]],Table1016[#All],3,FALSE)</f>
        <v>#N/A</v>
      </c>
    </row>
    <row r="39" spans="1:5" x14ac:dyDescent="0.35">
      <c r="A39" s="118">
        <v>32</v>
      </c>
      <c r="B39" s="114" t="s">
        <v>12</v>
      </c>
      <c r="C39" s="109" t="e">
        <f>VLOOKUP(Table257519913140106110151155170178204301[[#This Row],[PEG]],Table1016[#All],2,FALSE)</f>
        <v>#N/A</v>
      </c>
      <c r="D39" s="117"/>
      <c r="E39" s="125" t="e">
        <f>VLOOKUP(Table257519913140106110151155170178204301[[#This Row],[PEG]],Table1016[#All],3,FALSE)</f>
        <v>#N/A</v>
      </c>
    </row>
    <row r="40" spans="1:5" x14ac:dyDescent="0.35">
      <c r="A40" s="118">
        <v>33</v>
      </c>
      <c r="B40" s="114" t="s">
        <v>12</v>
      </c>
      <c r="C40" s="109" t="e">
        <f>VLOOKUP(Table257519913140106110151155170178204301[[#This Row],[PEG]],Table1016[#All],2,FALSE)</f>
        <v>#N/A</v>
      </c>
      <c r="D40" s="117"/>
      <c r="E40" s="125" t="e">
        <f>VLOOKUP(Table257519913140106110151155170178204301[[#This Row],[PEG]],Table1016[#All],3,FALSE)</f>
        <v>#N/A</v>
      </c>
    </row>
    <row r="41" spans="1:5" x14ac:dyDescent="0.35">
      <c r="A41" s="118">
        <v>34</v>
      </c>
      <c r="B41" s="114" t="s">
        <v>115</v>
      </c>
      <c r="C41" s="109" t="e">
        <f>VLOOKUP(Table257519913140106110151155170178204301[[#This Row],[PEG]],Table1016[#All],2,FALSE)</f>
        <v>#N/A</v>
      </c>
      <c r="D41" s="117"/>
      <c r="E41" s="125" t="e">
        <f>VLOOKUP(Table257519913140106110151155170178204301[[#This Row],[PEG]],Table1016[#All],3,FALSE)</f>
        <v>#N/A</v>
      </c>
    </row>
    <row r="42" spans="1:5" x14ac:dyDescent="0.35">
      <c r="A42" s="118">
        <v>35</v>
      </c>
      <c r="B42" s="114" t="s">
        <v>12</v>
      </c>
      <c r="C42" s="109" t="e">
        <f>VLOOKUP(Table257519913140106110151155170178204301[[#This Row],[PEG]],Table1016[#All],2,FALSE)</f>
        <v>#N/A</v>
      </c>
      <c r="D42" s="115"/>
      <c r="E42" s="125" t="e">
        <f>VLOOKUP(Table257519913140106110151155170178204301[[#This Row],[PEG]],Table1016[#All],3,FALSE)</f>
        <v>#N/A</v>
      </c>
    </row>
    <row r="43" spans="1:5" x14ac:dyDescent="0.35">
      <c r="A43" s="118">
        <v>36</v>
      </c>
      <c r="B43" s="114" t="s">
        <v>115</v>
      </c>
      <c r="C43" s="109" t="e">
        <f>VLOOKUP(Table257519913140106110151155170178204301[[#This Row],[PEG]],Table1016[#All],2,FALSE)</f>
        <v>#N/A</v>
      </c>
      <c r="D43" s="115"/>
      <c r="E43" s="125" t="e">
        <f>VLOOKUP(Table257519913140106110151155170178204301[[#This Row],[PEG]],Table1016[#All],3,FALSE)</f>
        <v>#N/A</v>
      </c>
    </row>
    <row r="44" spans="1:5" x14ac:dyDescent="0.35">
      <c r="A44" s="118">
        <v>37</v>
      </c>
      <c r="B44" s="114" t="s">
        <v>13</v>
      </c>
      <c r="C44" s="18" t="s">
        <v>13</v>
      </c>
      <c r="D44" s="115"/>
      <c r="E44" s="32"/>
    </row>
  </sheetData>
  <mergeCells count="1">
    <mergeCell ref="A1:B1"/>
  </mergeCells>
  <conditionalFormatting sqref="B8:B18">
    <cfRule type="containsText" dxfId="187" priority="1" operator="containsText" text="Hear">
      <formula>NOT(ISERROR(SEARCH("Hear",B8)))</formula>
    </cfRule>
  </conditionalFormatting>
  <conditionalFormatting sqref="B30">
    <cfRule type="containsText" dxfId="186" priority="4" operator="containsText" text="Hear">
      <formula>NOT(ISERROR(SEARCH("Hear",B30)))</formula>
    </cfRule>
  </conditionalFormatting>
  <conditionalFormatting sqref="B43:B44">
    <cfRule type="containsText" dxfId="185" priority="8" operator="containsText" text="Hear">
      <formula>NOT(ISERROR(SEARCH("Hear",B43)))</formula>
    </cfRule>
  </conditionalFormatting>
  <conditionalFormatting sqref="E44">
    <cfRule type="containsText" dxfId="184" priority="6" operator="containsText" text="WEB SERVICE">
      <formula>NOT(ISERROR(SEARCH("WEB SERVICE",E44)))</formula>
    </cfRule>
    <cfRule type="containsText" dxfId="183" priority="7" operator="containsText" text="DB">
      <formula>NOT(ISERROR(SEARCH("DB",E44)))</formula>
    </cfRule>
  </conditionalFormatting>
  <conditionalFormatting sqref="C44">
    <cfRule type="expression" dxfId="182" priority="9">
      <formula>$B44="Dial"</formula>
    </cfRule>
  </conditionalFormatting>
  <conditionalFormatting sqref="C44">
    <cfRule type="expression" dxfId="181" priority="3">
      <formula>$B44="Speak"</formula>
    </cfRule>
  </conditionalFormatting>
  <conditionalFormatting sqref="B19:B29 B31:B35 B42">
    <cfRule type="containsText" dxfId="180" priority="5" operator="containsText" text="Hear">
      <formula>NOT(ISERROR(SEARCH("Hear",B19)))</formula>
    </cfRule>
  </conditionalFormatting>
  <hyperlinks>
    <hyperlink ref="A1" location="'Test Case Overview'!A1" display="Return to Test Case Overview" xr:uid="{B923F5DF-51DD-4FCE-9CD6-515BEB3586E4}"/>
  </hyperlinks>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expression" priority="2" id="{CAF1A1D6-8664-41ED-A36A-2357B9751D3C}">
            <xm:f>'TC1'!$B8="HANGUP"</xm:f>
            <x14:dxf>
              <font>
                <b/>
                <i val="0"/>
              </font>
            </x14:dxf>
          </x14:cfRule>
          <xm:sqref>C8</xm:sqref>
        </x14:conditionalFormatting>
        <x14:conditionalFormatting xmlns:xm="http://schemas.microsoft.com/office/excel/2006/main">
          <x14:cfRule type="expression" priority="3430" id="{CAF1A1D6-8664-41ED-A36A-2357B9751D3C}">
            <xm:f>'TC1'!$B16="HANGUP"</xm:f>
            <x14:dxf>
              <font>
                <b/>
                <i val="0"/>
              </font>
            </x14:dxf>
          </x14:cfRule>
          <xm:sqref>C34:C43</xm:sqref>
        </x14:conditionalFormatting>
        <x14:conditionalFormatting xmlns:xm="http://schemas.microsoft.com/office/excel/2006/main">
          <x14:cfRule type="expression" priority="3431" id="{CAF1A1D6-8664-41ED-A36A-2357B9751D3C}">
            <xm:f>'TC1'!#REF!="HANGUP"</xm:f>
            <x14:dxf>
              <font>
                <b/>
                <i val="0"/>
              </font>
            </x14:dxf>
          </x14:cfRule>
          <xm:sqref>C17:C33</xm:sqref>
        </x14:conditionalFormatting>
        <x14:conditionalFormatting xmlns:xm="http://schemas.microsoft.com/office/excel/2006/main">
          <x14:cfRule type="expression" priority="6044" id="{CAF1A1D6-8664-41ED-A36A-2357B9751D3C}">
            <xm:f>'TC1'!$B9="HANGUP"</xm:f>
            <x14:dxf>
              <font>
                <b/>
                <i val="0"/>
              </font>
            </x14:dxf>
          </x14:cfRule>
          <xm:sqref>C12:C15</xm:sqref>
        </x14:conditionalFormatting>
        <x14:conditionalFormatting xmlns:xm="http://schemas.microsoft.com/office/excel/2006/main">
          <x14:cfRule type="expression" priority="6045" id="{CAF1A1D6-8664-41ED-A36A-2357B9751D3C}">
            <xm:f>'TC1'!#REF!="HANGUP"</xm:f>
            <x14:dxf>
              <font>
                <b/>
                <i val="0"/>
              </font>
            </x14:dxf>
          </x14:cfRule>
          <xm:sqref>C9:C11</xm:sqref>
        </x14:conditionalFormatting>
        <x14:conditionalFormatting xmlns:xm="http://schemas.microsoft.com/office/excel/2006/main">
          <x14:cfRule type="expression" priority="8196" id="{CAF1A1D6-8664-41ED-A36A-2357B9751D3C}">
            <xm:f>'TC1'!$B15="HANGUP"</xm:f>
            <x14:dxf>
              <font>
                <b/>
                <i val="0"/>
              </font>
            </x14:dxf>
          </x14:cfRule>
          <xm:sqref>C16</xm:sqref>
        </x14:conditionalFormatting>
      </x14:conditionalFormattings>
    </ext>
  </extLst>
</worksheet>
</file>

<file path=xl/worksheets/sheet1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C500-000000000000}">
  <sheetPr codeName="Sheet199"/>
  <dimension ref="A1:E44"/>
  <sheetViews>
    <sheetView zoomScaleNormal="100" workbookViewId="0">
      <selection sqref="A1:E44"/>
    </sheetView>
  </sheetViews>
  <sheetFormatPr defaultRowHeight="14.5" x14ac:dyDescent="0.35"/>
  <cols>
    <col min="1" max="1" width="14.453125" bestFit="1" customWidth="1"/>
    <col min="2" max="2" width="42.6328125" customWidth="1"/>
    <col min="3" max="3" width="106.1796875" customWidth="1"/>
    <col min="4" max="4" width="21.81640625" bestFit="1" customWidth="1"/>
    <col min="5" max="5" width="20.6328125" customWidth="1"/>
  </cols>
  <sheetData>
    <row r="1" spans="1:5" ht="18.5" x14ac:dyDescent="0.35">
      <c r="A1" s="192" t="s">
        <v>4</v>
      </c>
      <c r="B1" s="192"/>
      <c r="C1" s="105"/>
      <c r="D1" s="111"/>
      <c r="E1" s="97"/>
    </row>
    <row r="2" spans="1:5" x14ac:dyDescent="0.35">
      <c r="A2" s="106" t="s">
        <v>5</v>
      </c>
      <c r="B2" s="107" t="str">
        <f ca="1">MID(CELL("filename",A1),FIND("]",CELL("filename",A1))+1,LEN(CELL("filename",A1))-FIND("]",CELL("filename",A1)))</f>
        <v>TC197</v>
      </c>
      <c r="C2" s="98"/>
      <c r="D2" s="111"/>
      <c r="E2" s="97"/>
    </row>
    <row r="3" spans="1:5" x14ac:dyDescent="0.35">
      <c r="A3" s="104" t="s">
        <v>19</v>
      </c>
      <c r="B3" s="112" t="e">
        <f ca="1">VLOOKUP(B2,Table53[#All],2,FALSE)</f>
        <v>#N/A</v>
      </c>
      <c r="C3" s="98"/>
      <c r="D3" s="111"/>
      <c r="E3" s="97"/>
    </row>
    <row r="4" spans="1:5" ht="29" x14ac:dyDescent="0.35">
      <c r="A4" s="113" t="s">
        <v>20</v>
      </c>
      <c r="B4" s="99" t="e">
        <f ca="1">VLOOKUP(B2,Table53[#All],4,FALSE)</f>
        <v>#N/A</v>
      </c>
      <c r="C4" s="98"/>
      <c r="D4" s="111"/>
      <c r="E4" s="97"/>
    </row>
    <row r="5" spans="1:5" x14ac:dyDescent="0.35">
      <c r="A5" s="104" t="s">
        <v>6</v>
      </c>
      <c r="B5" s="77" t="e">
        <f ca="1">VLOOKUP(B2,Table53[#All],3,FALSE)</f>
        <v>#N/A</v>
      </c>
      <c r="C5" s="98"/>
      <c r="D5" s="111"/>
      <c r="E5" s="97"/>
    </row>
    <row r="6" spans="1:5" x14ac:dyDescent="0.35">
      <c r="A6" s="97"/>
      <c r="B6" s="97"/>
      <c r="C6" s="98"/>
      <c r="D6" s="111"/>
      <c r="E6" s="97"/>
    </row>
    <row r="7" spans="1:5" ht="15.5" x14ac:dyDescent="0.35">
      <c r="A7" s="100" t="s">
        <v>7</v>
      </c>
      <c r="B7" s="101" t="s">
        <v>8</v>
      </c>
      <c r="C7" s="102" t="s">
        <v>9</v>
      </c>
      <c r="D7" s="102" t="s">
        <v>14</v>
      </c>
      <c r="E7" s="103" t="s">
        <v>10</v>
      </c>
    </row>
    <row r="8" spans="1:5" x14ac:dyDescent="0.35">
      <c r="A8" s="118">
        <v>1</v>
      </c>
      <c r="B8" s="114" t="s">
        <v>114</v>
      </c>
      <c r="C8" s="109" t="s">
        <v>125</v>
      </c>
      <c r="D8" s="128"/>
      <c r="E8" s="125" t="s">
        <v>11</v>
      </c>
    </row>
    <row r="9" spans="1:5" x14ac:dyDescent="0.35">
      <c r="A9" s="118">
        <v>2</v>
      </c>
      <c r="B9" s="114" t="s">
        <v>12</v>
      </c>
      <c r="C9" s="109" t="e">
        <f>VLOOKUP(Table257519913140106110151155170178204303[[#This Row],[PEG]],Table1016[#All],2,FALSE)</f>
        <v>#N/A</v>
      </c>
      <c r="D9" s="128"/>
      <c r="E9" s="125" t="e">
        <f>VLOOKUP(Table257519913140106110151155170178204303[[#This Row],[PEG]],Table1016[#All],3,FALSE)</f>
        <v>#N/A</v>
      </c>
    </row>
    <row r="10" spans="1:5" x14ac:dyDescent="0.35">
      <c r="A10" s="118">
        <v>3</v>
      </c>
      <c r="B10" s="114" t="s">
        <v>115</v>
      </c>
      <c r="C10" s="109" t="e">
        <f>VLOOKUP(Table257519913140106110151155170178204303[[#This Row],[PEG]],Table1016[#All],2,FALSE)</f>
        <v>#N/A</v>
      </c>
      <c r="D10" s="128"/>
      <c r="E10" s="125" t="e">
        <f>VLOOKUP(Table257519913140106110151155170178204303[[#This Row],[PEG]],Table1016[#All],3,FALSE)</f>
        <v>#N/A</v>
      </c>
    </row>
    <row r="11" spans="1:5" x14ac:dyDescent="0.35">
      <c r="A11" s="118">
        <v>4</v>
      </c>
      <c r="B11" s="114" t="s">
        <v>115</v>
      </c>
      <c r="C11" s="109" t="e">
        <f>VLOOKUP(Table257519913140106110151155170178204303[[#This Row],[PEG]],Table1016[#All],2,FALSE)</f>
        <v>#N/A</v>
      </c>
      <c r="D11" s="128"/>
      <c r="E11" s="125" t="e">
        <f>VLOOKUP(Table257519913140106110151155170178204303[[#This Row],[PEG]],Table1016[#All],3,FALSE)</f>
        <v>#N/A</v>
      </c>
    </row>
    <row r="12" spans="1:5" x14ac:dyDescent="0.35">
      <c r="A12" s="118">
        <v>5</v>
      </c>
      <c r="B12" s="114" t="s">
        <v>114</v>
      </c>
      <c r="C12" s="109" t="e">
        <f>VLOOKUP(Table257519913140106110151155170178204303[[#This Row],[PEG]],Table1016[#All],2,FALSE)</f>
        <v>#N/A</v>
      </c>
      <c r="D12" s="128"/>
      <c r="E12" s="125" t="e">
        <f>VLOOKUP(Table257519913140106110151155170178204303[[#This Row],[PEG]],Table1016[#All],3,FALSE)</f>
        <v>#N/A</v>
      </c>
    </row>
    <row r="13" spans="1:5" x14ac:dyDescent="0.35">
      <c r="A13" s="118">
        <v>6</v>
      </c>
      <c r="B13" s="114" t="s">
        <v>115</v>
      </c>
      <c r="C13" s="109" t="e">
        <f>VLOOKUP(Table257519913140106110151155170178204303[[#This Row],[PEG]],Table1016[#All],2,FALSE)</f>
        <v>#N/A</v>
      </c>
      <c r="D13" s="128"/>
      <c r="E13" s="125" t="e">
        <f>VLOOKUP(Table257519913140106110151155170178204303[[#This Row],[PEG]],Table1016[#All],3,FALSE)</f>
        <v>#N/A</v>
      </c>
    </row>
    <row r="14" spans="1:5" x14ac:dyDescent="0.35">
      <c r="A14" s="118">
        <v>7</v>
      </c>
      <c r="B14" s="114" t="s">
        <v>114</v>
      </c>
      <c r="C14" s="109" t="e">
        <f>VLOOKUP(Table257519913140106110151155170178204303[[#This Row],[PEG]],Table1016[#All],2,FALSE)</f>
        <v>#N/A</v>
      </c>
      <c r="D14" s="128"/>
      <c r="E14" s="125" t="e">
        <f>VLOOKUP(Table257519913140106110151155170178204303[[#This Row],[PEG]],Table1016[#All],3,FALSE)</f>
        <v>#N/A</v>
      </c>
    </row>
    <row r="15" spans="1:5" x14ac:dyDescent="0.35">
      <c r="A15" s="118">
        <v>8</v>
      </c>
      <c r="B15" s="114" t="s">
        <v>115</v>
      </c>
      <c r="C15" s="109" t="e">
        <f>VLOOKUP(Table257519913140106110151155170178204303[[#This Row],[PEG]],Table1016[#All],2,FALSE)</f>
        <v>#N/A</v>
      </c>
      <c r="D15" s="116"/>
      <c r="E15" s="125" t="e">
        <f>VLOOKUP(Table257519913140106110151155170178204303[[#This Row],[PEG]],Table1016[#All],3,FALSE)</f>
        <v>#N/A</v>
      </c>
    </row>
    <row r="16" spans="1:5" x14ac:dyDescent="0.35">
      <c r="A16" s="118">
        <v>9</v>
      </c>
      <c r="B16" s="114" t="s">
        <v>12</v>
      </c>
      <c r="C16" s="109" t="e">
        <f>VLOOKUP(Table257519913140106110151155170178204303[[#This Row],[PEG]],Table1016[#All],2,FALSE)</f>
        <v>#N/A</v>
      </c>
      <c r="D16" s="116"/>
      <c r="E16" s="125" t="e">
        <f>VLOOKUP(Table257519913140106110151155170178204303[[#This Row],[PEG]],Table1016[#All],3,FALSE)</f>
        <v>#N/A</v>
      </c>
    </row>
    <row r="17" spans="1:5" x14ac:dyDescent="0.35">
      <c r="A17" s="118">
        <v>10</v>
      </c>
      <c r="B17" s="114" t="s">
        <v>12</v>
      </c>
      <c r="C17" s="109" t="e">
        <f>VLOOKUP(Table257519913140106110151155170178204303[[#This Row],[PEG]],Table1016[#All],2,FALSE)</f>
        <v>#N/A</v>
      </c>
      <c r="D17" s="117"/>
      <c r="E17" s="125" t="e">
        <f>VLOOKUP(Table257519913140106110151155170178204303[[#This Row],[PEG]],Table1016[#All],3,FALSE)</f>
        <v>#N/A</v>
      </c>
    </row>
    <row r="18" spans="1:5" x14ac:dyDescent="0.35">
      <c r="A18" s="118">
        <v>11</v>
      </c>
      <c r="B18" s="114" t="s">
        <v>115</v>
      </c>
      <c r="C18" s="109" t="e">
        <f>VLOOKUP(Table257519913140106110151155170178204303[[#This Row],[PEG]],Table1016[#All],2,FALSE)</f>
        <v>#N/A</v>
      </c>
      <c r="D18" s="117"/>
      <c r="E18" s="125" t="e">
        <f>VLOOKUP(Table257519913140106110151155170178204303[[#This Row],[PEG]],Table1016[#All],3,FALSE)</f>
        <v>#N/A</v>
      </c>
    </row>
    <row r="19" spans="1:5" x14ac:dyDescent="0.35">
      <c r="A19" s="118">
        <v>12</v>
      </c>
      <c r="B19" s="114" t="s">
        <v>115</v>
      </c>
      <c r="C19" s="109" t="e">
        <f>VLOOKUP(Table257519913140106110151155170178204303[[#This Row],[PEG]],Table1016[#All],2,FALSE)</f>
        <v>#N/A</v>
      </c>
      <c r="D19" s="117"/>
      <c r="E19" s="125" t="e">
        <f>VLOOKUP(Table257519913140106110151155170178204303[[#This Row],[PEG]],Table1016[#All],3,FALSE)</f>
        <v>#N/A</v>
      </c>
    </row>
    <row r="20" spans="1:5" x14ac:dyDescent="0.35">
      <c r="A20" s="118">
        <v>13</v>
      </c>
      <c r="B20" s="114" t="s">
        <v>114</v>
      </c>
      <c r="C20" s="109" t="e">
        <f>VLOOKUP(Table257519913140106110151155170178204303[[#This Row],[PEG]],Table1016[#All],2,FALSE)</f>
        <v>#N/A</v>
      </c>
      <c r="D20" s="117"/>
      <c r="E20" s="125" t="e">
        <f>VLOOKUP(Table257519913140106110151155170178204303[[#This Row],[PEG]],Table1016[#All],3,FALSE)</f>
        <v>#N/A</v>
      </c>
    </row>
    <row r="21" spans="1:5" x14ac:dyDescent="0.35">
      <c r="A21" s="118">
        <v>14</v>
      </c>
      <c r="B21" s="114" t="s">
        <v>12</v>
      </c>
      <c r="C21" s="109" t="e">
        <f>VLOOKUP(Table257519913140106110151155170178204303[[#This Row],[PEG]],Table1016[#All],2,FALSE)</f>
        <v>#N/A</v>
      </c>
      <c r="D21" s="117"/>
      <c r="E21" s="125" t="e">
        <f>VLOOKUP(Table257519913140106110151155170178204303[[#This Row],[PEG]],Table1016[#All],3,FALSE)</f>
        <v>#N/A</v>
      </c>
    </row>
    <row r="22" spans="1:5" x14ac:dyDescent="0.35">
      <c r="A22" s="118">
        <v>15</v>
      </c>
      <c r="B22" s="114" t="s">
        <v>12</v>
      </c>
      <c r="C22" s="109" t="e">
        <f>VLOOKUP(Table257519913140106110151155170178204303[[#This Row],[PEG]],Table1016[#All],2,FALSE)</f>
        <v>#N/A</v>
      </c>
      <c r="D22" s="117"/>
      <c r="E22" s="125" t="e">
        <f>VLOOKUP(Table257519913140106110151155170178204303[[#This Row],[PEG]],Table1016[#All],3,FALSE)</f>
        <v>#N/A</v>
      </c>
    </row>
    <row r="23" spans="1:5" x14ac:dyDescent="0.35">
      <c r="A23" s="118">
        <v>16</v>
      </c>
      <c r="B23" s="114" t="s">
        <v>115</v>
      </c>
      <c r="C23" s="109" t="e">
        <f>VLOOKUP(Table257519913140106110151155170178204303[[#This Row],[PEG]],Table1016[#All],2,FALSE)</f>
        <v>#N/A</v>
      </c>
      <c r="D23" s="117"/>
      <c r="E23" s="125" t="e">
        <f>VLOOKUP(Table257519913140106110151155170178204303[[#This Row],[PEG]],Table1016[#All],3,FALSE)</f>
        <v>#N/A</v>
      </c>
    </row>
    <row r="24" spans="1:5" x14ac:dyDescent="0.35">
      <c r="A24" s="118">
        <v>17</v>
      </c>
      <c r="B24" s="114" t="s">
        <v>114</v>
      </c>
      <c r="C24" s="109" t="e">
        <f>VLOOKUP(Table257519913140106110151155170178204303[[#This Row],[PEG]],Table1016[#All],2,FALSE)</f>
        <v>#N/A</v>
      </c>
      <c r="D24" s="117"/>
      <c r="E24" s="125" t="e">
        <f>VLOOKUP(Table257519913140106110151155170178204303[[#This Row],[PEG]],Table1016[#All],3,FALSE)</f>
        <v>#N/A</v>
      </c>
    </row>
    <row r="25" spans="1:5" x14ac:dyDescent="0.35">
      <c r="A25" s="118">
        <v>18</v>
      </c>
      <c r="B25" s="114" t="s">
        <v>12</v>
      </c>
      <c r="C25" s="109" t="e">
        <f>VLOOKUP(Table257519913140106110151155170178204303[[#This Row],[PEG]],Table1016[#All],2,FALSE)</f>
        <v>#N/A</v>
      </c>
      <c r="D25" s="117"/>
      <c r="E25" s="125" t="e">
        <f>VLOOKUP(Table257519913140106110151155170178204303[[#This Row],[PEG]],Table1016[#All],3,FALSE)</f>
        <v>#N/A</v>
      </c>
    </row>
    <row r="26" spans="1:5" x14ac:dyDescent="0.35">
      <c r="A26" s="118">
        <v>19</v>
      </c>
      <c r="B26" s="114" t="s">
        <v>12</v>
      </c>
      <c r="C26" s="109" t="e">
        <f>VLOOKUP(Table257519913140106110151155170178204303[[#This Row],[PEG]],Table1016[#All],2,FALSE)</f>
        <v>#N/A</v>
      </c>
      <c r="D26" s="117"/>
      <c r="E26" s="125" t="e">
        <f>VLOOKUP(Table257519913140106110151155170178204303[[#This Row],[PEG]],Table1016[#All],3,FALSE)</f>
        <v>#N/A</v>
      </c>
    </row>
    <row r="27" spans="1:5" x14ac:dyDescent="0.35">
      <c r="A27" s="118">
        <v>20</v>
      </c>
      <c r="B27" s="114" t="s">
        <v>115</v>
      </c>
      <c r="C27" s="109" t="e">
        <f>VLOOKUP(Table257519913140106110151155170178204303[[#This Row],[PEG]],Table1016[#All],2,FALSE)</f>
        <v>#N/A</v>
      </c>
      <c r="D27" s="117"/>
      <c r="E27" s="125" t="e">
        <f>VLOOKUP(Table257519913140106110151155170178204303[[#This Row],[PEG]],Table1016[#All],3,FALSE)</f>
        <v>#N/A</v>
      </c>
    </row>
    <row r="28" spans="1:5" x14ac:dyDescent="0.35">
      <c r="A28" s="118">
        <v>21</v>
      </c>
      <c r="B28" s="114" t="s">
        <v>114</v>
      </c>
      <c r="C28" s="109" t="e">
        <f>VLOOKUP(Table257519913140106110151155170178204303[[#This Row],[PEG]],Table1016[#All],2,FALSE)</f>
        <v>#N/A</v>
      </c>
      <c r="D28" s="117"/>
      <c r="E28" s="125" t="e">
        <f>VLOOKUP(Table257519913140106110151155170178204303[[#This Row],[PEG]],Table1016[#All],3,FALSE)</f>
        <v>#N/A</v>
      </c>
    </row>
    <row r="29" spans="1:5" x14ac:dyDescent="0.35">
      <c r="A29" s="118">
        <v>22</v>
      </c>
      <c r="B29" s="114" t="s">
        <v>12</v>
      </c>
      <c r="C29" s="109" t="e">
        <f>VLOOKUP(Table257519913140106110151155170178204303[[#This Row],[PEG]],Table1016[#All],2,FALSE)</f>
        <v>#N/A</v>
      </c>
      <c r="D29" s="117"/>
      <c r="E29" s="125" t="e">
        <f>VLOOKUP(Table257519913140106110151155170178204303[[#This Row],[PEG]],Table1016[#All],3,FALSE)</f>
        <v>#N/A</v>
      </c>
    </row>
    <row r="30" spans="1:5" x14ac:dyDescent="0.35">
      <c r="A30" s="118">
        <v>23</v>
      </c>
      <c r="B30" s="114" t="s">
        <v>12</v>
      </c>
      <c r="C30" s="109" t="e">
        <f>VLOOKUP(Table257519913140106110151155170178204303[[#This Row],[PEG]],Table1016[#All],2,FALSE)</f>
        <v>#N/A</v>
      </c>
      <c r="D30" s="117"/>
      <c r="E30" s="125" t="e">
        <f>VLOOKUP(Table257519913140106110151155170178204303[[#This Row],[PEG]],Table1016[#All],3,FALSE)</f>
        <v>#N/A</v>
      </c>
    </row>
    <row r="31" spans="1:5" x14ac:dyDescent="0.35">
      <c r="A31" s="118">
        <v>24</v>
      </c>
      <c r="B31" s="114" t="s">
        <v>115</v>
      </c>
      <c r="C31" s="109" t="e">
        <f>VLOOKUP(Table257519913140106110151155170178204303[[#This Row],[PEG]],Table1016[#All],2,FALSE)</f>
        <v>#N/A</v>
      </c>
      <c r="D31" s="117"/>
      <c r="E31" s="125" t="e">
        <f>VLOOKUP(Table257519913140106110151155170178204303[[#This Row],[PEG]],Table1016[#All],3,FALSE)</f>
        <v>#N/A</v>
      </c>
    </row>
    <row r="32" spans="1:5" x14ac:dyDescent="0.35">
      <c r="A32" s="118">
        <v>25</v>
      </c>
      <c r="B32" s="114" t="s">
        <v>115</v>
      </c>
      <c r="C32" s="109" t="e">
        <f>VLOOKUP(Table257519913140106110151155170178204303[[#This Row],[PEG]],Table1016[#All],2,FALSE)</f>
        <v>#N/A</v>
      </c>
      <c r="D32" s="117"/>
      <c r="E32" s="125" t="e">
        <f>VLOOKUP(Table257519913140106110151155170178204303[[#This Row],[PEG]],Table1016[#All],3,FALSE)</f>
        <v>#N/A</v>
      </c>
    </row>
    <row r="33" spans="1:5" x14ac:dyDescent="0.35">
      <c r="A33" s="118">
        <v>26</v>
      </c>
      <c r="B33" s="114" t="s">
        <v>124</v>
      </c>
      <c r="C33" s="109" t="e">
        <f>VLOOKUP(Table257519913140106110151155170178204303[[#This Row],[PEG]],Table1016[#All],2,FALSE)</f>
        <v>#N/A</v>
      </c>
      <c r="D33" s="117"/>
      <c r="E33" s="125" t="e">
        <f>VLOOKUP(Table257519913140106110151155170178204303[[#This Row],[PEG]],Table1016[#All],3,FALSE)</f>
        <v>#N/A</v>
      </c>
    </row>
    <row r="34" spans="1:5" x14ac:dyDescent="0.35">
      <c r="A34" s="118">
        <v>27</v>
      </c>
      <c r="B34" s="114" t="s">
        <v>115</v>
      </c>
      <c r="C34" s="109" t="e">
        <f>VLOOKUP(Table257519913140106110151155170178204303[[#This Row],[PEG]],Table1016[#All],2,FALSE)</f>
        <v>#N/A</v>
      </c>
      <c r="D34" s="117"/>
      <c r="E34" s="125" t="e">
        <f>VLOOKUP(Table257519913140106110151155170178204303[[#This Row],[PEG]],Table1016[#All],3,FALSE)</f>
        <v>#N/A</v>
      </c>
    </row>
    <row r="35" spans="1:5" x14ac:dyDescent="0.35">
      <c r="A35" s="118">
        <v>28</v>
      </c>
      <c r="B35" s="114" t="s">
        <v>124</v>
      </c>
      <c r="C35" s="109" t="e">
        <f>VLOOKUP(Table257519913140106110151155170178204303[[#This Row],[PEG]],Table1016[#All],2,FALSE)</f>
        <v>#N/A</v>
      </c>
      <c r="D35" s="117"/>
      <c r="E35" s="125" t="e">
        <f>VLOOKUP(Table257519913140106110151155170178204303[[#This Row],[PEG]],Table1016[#All],3,FALSE)</f>
        <v>#N/A</v>
      </c>
    </row>
    <row r="36" spans="1:5" x14ac:dyDescent="0.35">
      <c r="A36" s="118">
        <v>29</v>
      </c>
      <c r="B36" s="114" t="s">
        <v>115</v>
      </c>
      <c r="C36" s="109" t="e">
        <f>VLOOKUP(Table257519913140106110151155170178204303[[#This Row],[PEG]],Table1016[#All],2,FALSE)</f>
        <v>#N/A</v>
      </c>
      <c r="D36" s="117"/>
      <c r="E36" s="125" t="e">
        <f>VLOOKUP(Table257519913140106110151155170178204303[[#This Row],[PEG]],Table1016[#All],3,FALSE)</f>
        <v>#N/A</v>
      </c>
    </row>
    <row r="37" spans="1:5" x14ac:dyDescent="0.35">
      <c r="A37" s="118">
        <v>30</v>
      </c>
      <c r="B37" s="114" t="s">
        <v>12</v>
      </c>
      <c r="C37" s="109" t="e">
        <f>VLOOKUP(Table257519913140106110151155170178204303[[#This Row],[PEG]],Table1016[#All],2,FALSE)</f>
        <v>#N/A</v>
      </c>
      <c r="D37" s="117"/>
      <c r="E37" s="125" t="e">
        <f>VLOOKUP(Table257519913140106110151155170178204303[[#This Row],[PEG]],Table1016[#All],3,FALSE)</f>
        <v>#N/A</v>
      </c>
    </row>
    <row r="38" spans="1:5" x14ac:dyDescent="0.35">
      <c r="A38" s="118">
        <v>31</v>
      </c>
      <c r="B38" s="114" t="s">
        <v>12</v>
      </c>
      <c r="C38" s="109" t="e">
        <f>VLOOKUP(Table257519913140106110151155170178204303[[#This Row],[PEG]],Table1016[#All],2,FALSE)</f>
        <v>#N/A</v>
      </c>
      <c r="D38" s="117"/>
      <c r="E38" s="125" t="e">
        <f>VLOOKUP(Table257519913140106110151155170178204303[[#This Row],[PEG]],Table1016[#All],3,FALSE)</f>
        <v>#N/A</v>
      </c>
    </row>
    <row r="39" spans="1:5" x14ac:dyDescent="0.35">
      <c r="A39" s="118">
        <v>32</v>
      </c>
      <c r="B39" s="114" t="s">
        <v>12</v>
      </c>
      <c r="C39" s="109" t="e">
        <f>VLOOKUP(Table257519913140106110151155170178204303[[#This Row],[PEG]],Table1016[#All],2,FALSE)</f>
        <v>#N/A</v>
      </c>
      <c r="D39" s="117"/>
      <c r="E39" s="125" t="e">
        <f>VLOOKUP(Table257519913140106110151155170178204303[[#This Row],[PEG]],Table1016[#All],3,FALSE)</f>
        <v>#N/A</v>
      </c>
    </row>
    <row r="40" spans="1:5" x14ac:dyDescent="0.35">
      <c r="A40" s="118">
        <v>33</v>
      </c>
      <c r="B40" s="114" t="s">
        <v>12</v>
      </c>
      <c r="C40" s="109" t="e">
        <f>VLOOKUP(Table257519913140106110151155170178204303[[#This Row],[PEG]],Table1016[#All],2,FALSE)</f>
        <v>#N/A</v>
      </c>
      <c r="D40" s="117"/>
      <c r="E40" s="125" t="e">
        <f>VLOOKUP(Table257519913140106110151155170178204303[[#This Row],[PEG]],Table1016[#All],3,FALSE)</f>
        <v>#N/A</v>
      </c>
    </row>
    <row r="41" spans="1:5" x14ac:dyDescent="0.35">
      <c r="A41" s="118">
        <v>34</v>
      </c>
      <c r="B41" s="114" t="s">
        <v>115</v>
      </c>
      <c r="C41" s="109" t="e">
        <f>VLOOKUP(Table257519913140106110151155170178204303[[#This Row],[PEG]],Table1016[#All],2,FALSE)</f>
        <v>#N/A</v>
      </c>
      <c r="D41" s="117"/>
      <c r="E41" s="125" t="e">
        <f>VLOOKUP(Table257519913140106110151155170178204303[[#This Row],[PEG]],Table1016[#All],3,FALSE)</f>
        <v>#N/A</v>
      </c>
    </row>
    <row r="42" spans="1:5" x14ac:dyDescent="0.35">
      <c r="A42" s="118">
        <v>35</v>
      </c>
      <c r="B42" s="114" t="s">
        <v>12</v>
      </c>
      <c r="C42" s="109" t="e">
        <f>VLOOKUP(Table257519913140106110151155170178204303[[#This Row],[PEG]],Table1016[#All],2,FALSE)</f>
        <v>#N/A</v>
      </c>
      <c r="D42" s="115"/>
      <c r="E42" s="125" t="e">
        <f>VLOOKUP(Table257519913140106110151155170178204303[[#This Row],[PEG]],Table1016[#All],3,FALSE)</f>
        <v>#N/A</v>
      </c>
    </row>
    <row r="43" spans="1:5" x14ac:dyDescent="0.35">
      <c r="A43" s="118">
        <v>36</v>
      </c>
      <c r="B43" s="114" t="s">
        <v>115</v>
      </c>
      <c r="C43" s="109" t="e">
        <f>VLOOKUP(Table257519913140106110151155170178204303[[#This Row],[PEG]],Table1016[#All],2,FALSE)</f>
        <v>#N/A</v>
      </c>
      <c r="D43" s="115"/>
      <c r="E43" s="125" t="e">
        <f>VLOOKUP(Table257519913140106110151155170178204303[[#This Row],[PEG]],Table1016[#All],3,FALSE)</f>
        <v>#N/A</v>
      </c>
    </row>
    <row r="44" spans="1:5" x14ac:dyDescent="0.35">
      <c r="A44" s="118">
        <v>37</v>
      </c>
      <c r="B44" s="114" t="s">
        <v>13</v>
      </c>
      <c r="C44" s="18" t="s">
        <v>13</v>
      </c>
      <c r="D44" s="115"/>
      <c r="E44" s="32"/>
    </row>
  </sheetData>
  <mergeCells count="1">
    <mergeCell ref="A1:B1"/>
  </mergeCells>
  <conditionalFormatting sqref="B8:B18">
    <cfRule type="containsText" dxfId="173" priority="1" operator="containsText" text="Hear">
      <formula>NOT(ISERROR(SEARCH("Hear",B8)))</formula>
    </cfRule>
  </conditionalFormatting>
  <conditionalFormatting sqref="B30">
    <cfRule type="containsText" dxfId="172" priority="4" operator="containsText" text="Hear">
      <formula>NOT(ISERROR(SEARCH("Hear",B30)))</formula>
    </cfRule>
  </conditionalFormatting>
  <conditionalFormatting sqref="B43:B44">
    <cfRule type="containsText" dxfId="171" priority="8" operator="containsText" text="Hear">
      <formula>NOT(ISERROR(SEARCH("Hear",B43)))</formula>
    </cfRule>
  </conditionalFormatting>
  <conditionalFormatting sqref="E44">
    <cfRule type="containsText" dxfId="170" priority="6" operator="containsText" text="WEB SERVICE">
      <formula>NOT(ISERROR(SEARCH("WEB SERVICE",E44)))</formula>
    </cfRule>
    <cfRule type="containsText" dxfId="169" priority="7" operator="containsText" text="DB">
      <formula>NOT(ISERROR(SEARCH("DB",E44)))</formula>
    </cfRule>
  </conditionalFormatting>
  <conditionalFormatting sqref="C44">
    <cfRule type="expression" dxfId="168" priority="9">
      <formula>$B44="Dial"</formula>
    </cfRule>
  </conditionalFormatting>
  <conditionalFormatting sqref="C44">
    <cfRule type="expression" dxfId="167" priority="3">
      <formula>$B44="Speak"</formula>
    </cfRule>
  </conditionalFormatting>
  <conditionalFormatting sqref="B19:B29 B31:B35 B42">
    <cfRule type="containsText" dxfId="166" priority="5" operator="containsText" text="Hear">
      <formula>NOT(ISERROR(SEARCH("Hear",B19)))</formula>
    </cfRule>
  </conditionalFormatting>
  <hyperlinks>
    <hyperlink ref="A1" location="'Test Case Overview'!A1" display="Return to Test Case Overview" xr:uid="{5F00B4CF-F696-4898-A6C5-8ED86CEF05C8}"/>
  </hyperlinks>
  <pageMargins left="0.7" right="0.7" top="0.75" bottom="0.75" header="0.3" footer="0.3"/>
  <pageSetup orientation="portrait" verticalDpi="0" r:id="rId1"/>
  <tableParts count="1">
    <tablePart r:id="rId2"/>
  </tableParts>
  <extLst>
    <ext xmlns:x14="http://schemas.microsoft.com/office/spreadsheetml/2009/9/main" uri="{78C0D931-6437-407d-A8EE-F0AAD7539E65}">
      <x14:conditionalFormattings>
        <x14:conditionalFormatting xmlns:xm="http://schemas.microsoft.com/office/excel/2006/main">
          <x14:cfRule type="expression" priority="2" id="{54FF2FB0-375A-4A5F-A885-E71860626DA5}">
            <xm:f>'TC1'!$B8="HANGUP"</xm:f>
            <x14:dxf>
              <font>
                <b/>
                <i val="0"/>
              </font>
            </x14:dxf>
          </x14:cfRule>
          <xm:sqref>C8</xm:sqref>
        </x14:conditionalFormatting>
        <x14:conditionalFormatting xmlns:xm="http://schemas.microsoft.com/office/excel/2006/main">
          <x14:cfRule type="expression" priority="3434" id="{54FF2FB0-375A-4A5F-A885-E71860626DA5}">
            <xm:f>'TC1'!$B16="HANGUP"</xm:f>
            <x14:dxf>
              <font>
                <b/>
                <i val="0"/>
              </font>
            </x14:dxf>
          </x14:cfRule>
          <xm:sqref>C34:C43</xm:sqref>
        </x14:conditionalFormatting>
        <x14:conditionalFormatting xmlns:xm="http://schemas.microsoft.com/office/excel/2006/main">
          <x14:cfRule type="expression" priority="3435" id="{54FF2FB0-375A-4A5F-A885-E71860626DA5}">
            <xm:f>'TC1'!#REF!="HANGUP"</xm:f>
            <x14:dxf>
              <font>
                <b/>
                <i val="0"/>
              </font>
            </x14:dxf>
          </x14:cfRule>
          <xm:sqref>C17:C33</xm:sqref>
        </x14:conditionalFormatting>
        <x14:conditionalFormatting xmlns:xm="http://schemas.microsoft.com/office/excel/2006/main">
          <x14:cfRule type="expression" priority="6048" id="{54FF2FB0-375A-4A5F-A885-E71860626DA5}">
            <xm:f>'TC1'!$B9="HANGUP"</xm:f>
            <x14:dxf>
              <font>
                <b/>
                <i val="0"/>
              </font>
            </x14:dxf>
          </x14:cfRule>
          <xm:sqref>C12:C15</xm:sqref>
        </x14:conditionalFormatting>
        <x14:conditionalFormatting xmlns:xm="http://schemas.microsoft.com/office/excel/2006/main">
          <x14:cfRule type="expression" priority="6049" id="{54FF2FB0-375A-4A5F-A885-E71860626DA5}">
            <xm:f>'TC1'!#REF!="HANGUP"</xm:f>
            <x14:dxf>
              <font>
                <b/>
                <i val="0"/>
              </font>
            </x14:dxf>
          </x14:cfRule>
          <xm:sqref>C9:C11</xm:sqref>
        </x14:conditionalFormatting>
        <x14:conditionalFormatting xmlns:xm="http://schemas.microsoft.com/office/excel/2006/main">
          <x14:cfRule type="expression" priority="8199" id="{54FF2FB0-375A-4A5F-A885-E71860626DA5}">
            <xm:f>'TC1'!$B15="HANGUP"</xm:f>
            <x14:dxf>
              <font>
                <b/>
                <i val="0"/>
              </font>
            </x14:dxf>
          </x14:cfRule>
          <xm:sqref>C16</xm:sqref>
        </x14:conditionalFormatting>
      </x14:conditionalFormattings>
    </ext>
  </extLst>
</worksheet>
</file>

<file path=xl/worksheets/sheet1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C600-000000000000}">
  <sheetPr codeName="Sheet200"/>
  <dimension ref="A1:E44"/>
  <sheetViews>
    <sheetView zoomScaleNormal="100" workbookViewId="0">
      <selection sqref="A1:E44"/>
    </sheetView>
  </sheetViews>
  <sheetFormatPr defaultRowHeight="14.5" x14ac:dyDescent="0.35"/>
  <cols>
    <col min="1" max="1" width="14.453125" bestFit="1" customWidth="1"/>
    <col min="2" max="2" width="42.6328125" customWidth="1"/>
    <col min="3" max="3" width="106.1796875" customWidth="1"/>
    <col min="4" max="4" width="21.81640625" bestFit="1" customWidth="1"/>
    <col min="5" max="5" width="20.6328125" customWidth="1"/>
  </cols>
  <sheetData>
    <row r="1" spans="1:5" ht="18.5" x14ac:dyDescent="0.35">
      <c r="A1" s="192" t="s">
        <v>4</v>
      </c>
      <c r="B1" s="192"/>
      <c r="C1" s="105"/>
      <c r="D1" s="111"/>
      <c r="E1" s="97"/>
    </row>
    <row r="2" spans="1:5" x14ac:dyDescent="0.35">
      <c r="A2" s="106" t="s">
        <v>5</v>
      </c>
      <c r="B2" s="107" t="str">
        <f ca="1">MID(CELL("filename",A1),FIND("]",CELL("filename",A1))+1,LEN(CELL("filename",A1))-FIND("]",CELL("filename",A1)))</f>
        <v>TC198</v>
      </c>
      <c r="C2" s="98"/>
      <c r="D2" s="111"/>
      <c r="E2" s="97"/>
    </row>
    <row r="3" spans="1:5" x14ac:dyDescent="0.35">
      <c r="A3" s="104" t="s">
        <v>19</v>
      </c>
      <c r="B3" s="112" t="e">
        <f ca="1">VLOOKUP(B2,Table53[#All],2,FALSE)</f>
        <v>#N/A</v>
      </c>
      <c r="C3" s="98"/>
      <c r="D3" s="111"/>
      <c r="E3" s="97"/>
    </row>
    <row r="4" spans="1:5" ht="29" x14ac:dyDescent="0.35">
      <c r="A4" s="113" t="s">
        <v>20</v>
      </c>
      <c r="B4" s="99" t="e">
        <f ca="1">VLOOKUP(B2,Table53[#All],4,FALSE)</f>
        <v>#N/A</v>
      </c>
      <c r="C4" s="98"/>
      <c r="D4" s="111"/>
      <c r="E4" s="97"/>
    </row>
    <row r="5" spans="1:5" x14ac:dyDescent="0.35">
      <c r="A5" s="104" t="s">
        <v>6</v>
      </c>
      <c r="B5" s="77" t="e">
        <f ca="1">VLOOKUP(B2,Table53[#All],3,FALSE)</f>
        <v>#N/A</v>
      </c>
      <c r="C5" s="98"/>
      <c r="D5" s="111"/>
      <c r="E5" s="97"/>
    </row>
    <row r="6" spans="1:5" x14ac:dyDescent="0.35">
      <c r="A6" s="97"/>
      <c r="B6" s="97"/>
      <c r="C6" s="98"/>
      <c r="D6" s="111"/>
      <c r="E6" s="97"/>
    </row>
    <row r="7" spans="1:5" ht="15.5" x14ac:dyDescent="0.35">
      <c r="A7" s="100" t="s">
        <v>7</v>
      </c>
      <c r="B7" s="101" t="s">
        <v>8</v>
      </c>
      <c r="C7" s="102" t="s">
        <v>9</v>
      </c>
      <c r="D7" s="102" t="s">
        <v>14</v>
      </c>
      <c r="E7" s="103" t="s">
        <v>10</v>
      </c>
    </row>
    <row r="8" spans="1:5" x14ac:dyDescent="0.35">
      <c r="A8" s="118">
        <v>1</v>
      </c>
      <c r="B8" s="114" t="s">
        <v>114</v>
      </c>
      <c r="C8" s="109" t="s">
        <v>125</v>
      </c>
      <c r="D8" s="128"/>
      <c r="E8" s="125" t="s">
        <v>11</v>
      </c>
    </row>
    <row r="9" spans="1:5" x14ac:dyDescent="0.35">
      <c r="A9" s="118">
        <v>2</v>
      </c>
      <c r="B9" s="114" t="s">
        <v>12</v>
      </c>
      <c r="C9" s="109" t="e">
        <f>VLOOKUP(Table257519913140106110151155170178204303306[[#This Row],[PEG]],Table1016[#All],2,FALSE)</f>
        <v>#N/A</v>
      </c>
      <c r="D9" s="128"/>
      <c r="E9" s="125" t="e">
        <f>VLOOKUP(Table257519913140106110151155170178204303306[[#This Row],[PEG]],Table1016[#All],3,FALSE)</f>
        <v>#N/A</v>
      </c>
    </row>
    <row r="10" spans="1:5" x14ac:dyDescent="0.35">
      <c r="A10" s="118">
        <v>3</v>
      </c>
      <c r="B10" s="114" t="s">
        <v>115</v>
      </c>
      <c r="C10" s="109" t="e">
        <f>VLOOKUP(Table257519913140106110151155170178204303306[[#This Row],[PEG]],Table1016[#All],2,FALSE)</f>
        <v>#N/A</v>
      </c>
      <c r="D10" s="128"/>
      <c r="E10" s="125" t="e">
        <f>VLOOKUP(Table257519913140106110151155170178204303306[[#This Row],[PEG]],Table1016[#All],3,FALSE)</f>
        <v>#N/A</v>
      </c>
    </row>
    <row r="11" spans="1:5" x14ac:dyDescent="0.35">
      <c r="A11" s="118">
        <v>4</v>
      </c>
      <c r="B11" s="114" t="s">
        <v>115</v>
      </c>
      <c r="C11" s="109" t="e">
        <f>VLOOKUP(Table257519913140106110151155170178204303306[[#This Row],[PEG]],Table1016[#All],2,FALSE)</f>
        <v>#N/A</v>
      </c>
      <c r="D11" s="128"/>
      <c r="E11" s="125" t="e">
        <f>VLOOKUP(Table257519913140106110151155170178204303306[[#This Row],[PEG]],Table1016[#All],3,FALSE)</f>
        <v>#N/A</v>
      </c>
    </row>
    <row r="12" spans="1:5" x14ac:dyDescent="0.35">
      <c r="A12" s="118">
        <v>5</v>
      </c>
      <c r="B12" s="114" t="s">
        <v>114</v>
      </c>
      <c r="C12" s="109" t="e">
        <f>VLOOKUP(Table257519913140106110151155170178204303306[[#This Row],[PEG]],Table1016[#All],2,FALSE)</f>
        <v>#N/A</v>
      </c>
      <c r="D12" s="128"/>
      <c r="E12" s="125" t="e">
        <f>VLOOKUP(Table257519913140106110151155170178204303306[[#This Row],[PEG]],Table1016[#All],3,FALSE)</f>
        <v>#N/A</v>
      </c>
    </row>
    <row r="13" spans="1:5" x14ac:dyDescent="0.35">
      <c r="A13" s="118">
        <v>6</v>
      </c>
      <c r="B13" s="114" t="s">
        <v>115</v>
      </c>
      <c r="C13" s="109" t="e">
        <f>VLOOKUP(Table257519913140106110151155170178204303306[[#This Row],[PEG]],Table1016[#All],2,FALSE)</f>
        <v>#N/A</v>
      </c>
      <c r="D13" s="128"/>
      <c r="E13" s="125" t="e">
        <f>VLOOKUP(Table257519913140106110151155170178204303306[[#This Row],[PEG]],Table1016[#All],3,FALSE)</f>
        <v>#N/A</v>
      </c>
    </row>
    <row r="14" spans="1:5" x14ac:dyDescent="0.35">
      <c r="A14" s="118">
        <v>7</v>
      </c>
      <c r="B14" s="114" t="s">
        <v>114</v>
      </c>
      <c r="C14" s="109" t="e">
        <f>VLOOKUP(Table257519913140106110151155170178204303306[[#This Row],[PEG]],Table1016[#All],2,FALSE)</f>
        <v>#N/A</v>
      </c>
      <c r="D14" s="128"/>
      <c r="E14" s="125" t="e">
        <f>VLOOKUP(Table257519913140106110151155170178204303306[[#This Row],[PEG]],Table1016[#All],3,FALSE)</f>
        <v>#N/A</v>
      </c>
    </row>
    <row r="15" spans="1:5" x14ac:dyDescent="0.35">
      <c r="A15" s="118">
        <v>8</v>
      </c>
      <c r="B15" s="114" t="s">
        <v>115</v>
      </c>
      <c r="C15" s="109" t="e">
        <f>VLOOKUP(Table257519913140106110151155170178204303306[[#This Row],[PEG]],Table1016[#All],2,FALSE)</f>
        <v>#N/A</v>
      </c>
      <c r="D15" s="116"/>
      <c r="E15" s="125" t="e">
        <f>VLOOKUP(Table257519913140106110151155170178204303306[[#This Row],[PEG]],Table1016[#All],3,FALSE)</f>
        <v>#N/A</v>
      </c>
    </row>
    <row r="16" spans="1:5" x14ac:dyDescent="0.35">
      <c r="A16" s="118">
        <v>9</v>
      </c>
      <c r="B16" s="114" t="s">
        <v>12</v>
      </c>
      <c r="C16" s="109" t="e">
        <f>VLOOKUP(Table257519913140106110151155170178204303306[[#This Row],[PEG]],Table1016[#All],2,FALSE)</f>
        <v>#N/A</v>
      </c>
      <c r="D16" s="116"/>
      <c r="E16" s="125" t="e">
        <f>VLOOKUP(Table257519913140106110151155170178204303306[[#This Row],[PEG]],Table1016[#All],3,FALSE)</f>
        <v>#N/A</v>
      </c>
    </row>
    <row r="17" spans="1:5" x14ac:dyDescent="0.35">
      <c r="A17" s="118">
        <v>10</v>
      </c>
      <c r="B17" s="114" t="s">
        <v>12</v>
      </c>
      <c r="C17" s="109" t="e">
        <f>VLOOKUP(Table257519913140106110151155170178204303306[[#This Row],[PEG]],Table1016[#All],2,FALSE)</f>
        <v>#N/A</v>
      </c>
      <c r="D17" s="117"/>
      <c r="E17" s="125" t="e">
        <f>VLOOKUP(Table257519913140106110151155170178204303306[[#This Row],[PEG]],Table1016[#All],3,FALSE)</f>
        <v>#N/A</v>
      </c>
    </row>
    <row r="18" spans="1:5" x14ac:dyDescent="0.35">
      <c r="A18" s="118">
        <v>11</v>
      </c>
      <c r="B18" s="114" t="s">
        <v>115</v>
      </c>
      <c r="C18" s="109" t="e">
        <f>VLOOKUP(Table257519913140106110151155170178204303306[[#This Row],[PEG]],Table1016[#All],2,FALSE)</f>
        <v>#N/A</v>
      </c>
      <c r="D18" s="117"/>
      <c r="E18" s="125" t="e">
        <f>VLOOKUP(Table257519913140106110151155170178204303306[[#This Row],[PEG]],Table1016[#All],3,FALSE)</f>
        <v>#N/A</v>
      </c>
    </row>
    <row r="19" spans="1:5" x14ac:dyDescent="0.35">
      <c r="A19" s="118">
        <v>12</v>
      </c>
      <c r="B19" s="114" t="s">
        <v>115</v>
      </c>
      <c r="C19" s="109" t="e">
        <f>VLOOKUP(Table257519913140106110151155170178204303306[[#This Row],[PEG]],Table1016[#All],2,FALSE)</f>
        <v>#N/A</v>
      </c>
      <c r="D19" s="117"/>
      <c r="E19" s="125" t="e">
        <f>VLOOKUP(Table257519913140106110151155170178204303306[[#This Row],[PEG]],Table1016[#All],3,FALSE)</f>
        <v>#N/A</v>
      </c>
    </row>
    <row r="20" spans="1:5" x14ac:dyDescent="0.35">
      <c r="A20" s="118">
        <v>13</v>
      </c>
      <c r="B20" s="114" t="s">
        <v>114</v>
      </c>
      <c r="C20" s="109" t="e">
        <f>VLOOKUP(Table257519913140106110151155170178204303306[[#This Row],[PEG]],Table1016[#All],2,FALSE)</f>
        <v>#N/A</v>
      </c>
      <c r="D20" s="117"/>
      <c r="E20" s="125" t="e">
        <f>VLOOKUP(Table257519913140106110151155170178204303306[[#This Row],[PEG]],Table1016[#All],3,FALSE)</f>
        <v>#N/A</v>
      </c>
    </row>
    <row r="21" spans="1:5" x14ac:dyDescent="0.35">
      <c r="A21" s="118">
        <v>14</v>
      </c>
      <c r="B21" s="114" t="s">
        <v>12</v>
      </c>
      <c r="C21" s="109" t="e">
        <f>VLOOKUP(Table257519913140106110151155170178204303306[[#This Row],[PEG]],Table1016[#All],2,FALSE)</f>
        <v>#N/A</v>
      </c>
      <c r="D21" s="117"/>
      <c r="E21" s="125" t="e">
        <f>VLOOKUP(Table257519913140106110151155170178204303306[[#This Row],[PEG]],Table1016[#All],3,FALSE)</f>
        <v>#N/A</v>
      </c>
    </row>
    <row r="22" spans="1:5" x14ac:dyDescent="0.35">
      <c r="A22" s="118">
        <v>15</v>
      </c>
      <c r="B22" s="114" t="s">
        <v>12</v>
      </c>
      <c r="C22" s="109" t="e">
        <f>VLOOKUP(Table257519913140106110151155170178204303306[[#This Row],[PEG]],Table1016[#All],2,FALSE)</f>
        <v>#N/A</v>
      </c>
      <c r="D22" s="117"/>
      <c r="E22" s="125" t="e">
        <f>VLOOKUP(Table257519913140106110151155170178204303306[[#This Row],[PEG]],Table1016[#All],3,FALSE)</f>
        <v>#N/A</v>
      </c>
    </row>
    <row r="23" spans="1:5" x14ac:dyDescent="0.35">
      <c r="A23" s="118">
        <v>16</v>
      </c>
      <c r="B23" s="114" t="s">
        <v>115</v>
      </c>
      <c r="C23" s="109" t="e">
        <f>VLOOKUP(Table257519913140106110151155170178204303306[[#This Row],[PEG]],Table1016[#All],2,FALSE)</f>
        <v>#N/A</v>
      </c>
      <c r="D23" s="117"/>
      <c r="E23" s="125" t="e">
        <f>VLOOKUP(Table257519913140106110151155170178204303306[[#This Row],[PEG]],Table1016[#All],3,FALSE)</f>
        <v>#N/A</v>
      </c>
    </row>
    <row r="24" spans="1:5" x14ac:dyDescent="0.35">
      <c r="A24" s="118">
        <v>17</v>
      </c>
      <c r="B24" s="114" t="s">
        <v>114</v>
      </c>
      <c r="C24" s="109" t="e">
        <f>VLOOKUP(Table257519913140106110151155170178204303306[[#This Row],[PEG]],Table1016[#All],2,FALSE)</f>
        <v>#N/A</v>
      </c>
      <c r="D24" s="117"/>
      <c r="E24" s="125" t="e">
        <f>VLOOKUP(Table257519913140106110151155170178204303306[[#This Row],[PEG]],Table1016[#All],3,FALSE)</f>
        <v>#N/A</v>
      </c>
    </row>
    <row r="25" spans="1:5" x14ac:dyDescent="0.35">
      <c r="A25" s="118">
        <v>18</v>
      </c>
      <c r="B25" s="114" t="s">
        <v>12</v>
      </c>
      <c r="C25" s="109" t="e">
        <f>VLOOKUP(Table257519913140106110151155170178204303306[[#This Row],[PEG]],Table1016[#All],2,FALSE)</f>
        <v>#N/A</v>
      </c>
      <c r="D25" s="117"/>
      <c r="E25" s="125" t="e">
        <f>VLOOKUP(Table257519913140106110151155170178204303306[[#This Row],[PEG]],Table1016[#All],3,FALSE)</f>
        <v>#N/A</v>
      </c>
    </row>
    <row r="26" spans="1:5" x14ac:dyDescent="0.35">
      <c r="A26" s="118">
        <v>19</v>
      </c>
      <c r="B26" s="114" t="s">
        <v>12</v>
      </c>
      <c r="C26" s="109" t="e">
        <f>VLOOKUP(Table257519913140106110151155170178204303306[[#This Row],[PEG]],Table1016[#All],2,FALSE)</f>
        <v>#N/A</v>
      </c>
      <c r="D26" s="117"/>
      <c r="E26" s="125" t="e">
        <f>VLOOKUP(Table257519913140106110151155170178204303306[[#This Row],[PEG]],Table1016[#All],3,FALSE)</f>
        <v>#N/A</v>
      </c>
    </row>
    <row r="27" spans="1:5" x14ac:dyDescent="0.35">
      <c r="A27" s="118">
        <v>20</v>
      </c>
      <c r="B27" s="114" t="s">
        <v>115</v>
      </c>
      <c r="C27" s="109" t="e">
        <f>VLOOKUP(Table257519913140106110151155170178204303306[[#This Row],[PEG]],Table1016[#All],2,FALSE)</f>
        <v>#N/A</v>
      </c>
      <c r="D27" s="117"/>
      <c r="E27" s="125" t="e">
        <f>VLOOKUP(Table257519913140106110151155170178204303306[[#This Row],[PEG]],Table1016[#All],3,FALSE)</f>
        <v>#N/A</v>
      </c>
    </row>
    <row r="28" spans="1:5" x14ac:dyDescent="0.35">
      <c r="A28" s="118">
        <v>21</v>
      </c>
      <c r="B28" s="114" t="s">
        <v>114</v>
      </c>
      <c r="C28" s="109" t="e">
        <f>VLOOKUP(Table257519913140106110151155170178204303306[[#This Row],[PEG]],Table1016[#All],2,FALSE)</f>
        <v>#N/A</v>
      </c>
      <c r="D28" s="117"/>
      <c r="E28" s="125" t="e">
        <f>VLOOKUP(Table257519913140106110151155170178204303306[[#This Row],[PEG]],Table1016[#All],3,FALSE)</f>
        <v>#N/A</v>
      </c>
    </row>
    <row r="29" spans="1:5" x14ac:dyDescent="0.35">
      <c r="A29" s="118">
        <v>22</v>
      </c>
      <c r="B29" s="114" t="s">
        <v>12</v>
      </c>
      <c r="C29" s="109" t="e">
        <f>VLOOKUP(Table257519913140106110151155170178204303306[[#This Row],[PEG]],Table1016[#All],2,FALSE)</f>
        <v>#N/A</v>
      </c>
      <c r="D29" s="117"/>
      <c r="E29" s="125" t="e">
        <f>VLOOKUP(Table257519913140106110151155170178204303306[[#This Row],[PEG]],Table1016[#All],3,FALSE)</f>
        <v>#N/A</v>
      </c>
    </row>
    <row r="30" spans="1:5" x14ac:dyDescent="0.35">
      <c r="A30" s="118">
        <v>23</v>
      </c>
      <c r="B30" s="114" t="s">
        <v>12</v>
      </c>
      <c r="C30" s="109" t="e">
        <f>VLOOKUP(Table257519913140106110151155170178204303306[[#This Row],[PEG]],Table1016[#All],2,FALSE)</f>
        <v>#N/A</v>
      </c>
      <c r="D30" s="117"/>
      <c r="E30" s="125" t="e">
        <f>VLOOKUP(Table257519913140106110151155170178204303306[[#This Row],[PEG]],Table1016[#All],3,FALSE)</f>
        <v>#N/A</v>
      </c>
    </row>
    <row r="31" spans="1:5" x14ac:dyDescent="0.35">
      <c r="A31" s="118">
        <v>24</v>
      </c>
      <c r="B31" s="114" t="s">
        <v>115</v>
      </c>
      <c r="C31" s="109" t="e">
        <f>VLOOKUP(Table257519913140106110151155170178204303306[[#This Row],[PEG]],Table1016[#All],2,FALSE)</f>
        <v>#N/A</v>
      </c>
      <c r="D31" s="117"/>
      <c r="E31" s="125" t="e">
        <f>VLOOKUP(Table257519913140106110151155170178204303306[[#This Row],[PEG]],Table1016[#All],3,FALSE)</f>
        <v>#N/A</v>
      </c>
    </row>
    <row r="32" spans="1:5" x14ac:dyDescent="0.35">
      <c r="A32" s="118">
        <v>25</v>
      </c>
      <c r="B32" s="114" t="s">
        <v>115</v>
      </c>
      <c r="C32" s="109" t="e">
        <f>VLOOKUP(Table257519913140106110151155170178204303306[[#This Row],[PEG]],Table1016[#All],2,FALSE)</f>
        <v>#N/A</v>
      </c>
      <c r="D32" s="117"/>
      <c r="E32" s="125" t="e">
        <f>VLOOKUP(Table257519913140106110151155170178204303306[[#This Row],[PEG]],Table1016[#All],3,FALSE)</f>
        <v>#N/A</v>
      </c>
    </row>
    <row r="33" spans="1:5" x14ac:dyDescent="0.35">
      <c r="A33" s="118">
        <v>26</v>
      </c>
      <c r="B33" s="114" t="s">
        <v>124</v>
      </c>
      <c r="C33" s="109" t="e">
        <f>VLOOKUP(Table257519913140106110151155170178204303306[[#This Row],[PEG]],Table1016[#All],2,FALSE)</f>
        <v>#N/A</v>
      </c>
      <c r="D33" s="117"/>
      <c r="E33" s="125" t="e">
        <f>VLOOKUP(Table257519913140106110151155170178204303306[[#This Row],[PEG]],Table1016[#All],3,FALSE)</f>
        <v>#N/A</v>
      </c>
    </row>
    <row r="34" spans="1:5" x14ac:dyDescent="0.35">
      <c r="A34" s="118">
        <v>27</v>
      </c>
      <c r="B34" s="114" t="s">
        <v>115</v>
      </c>
      <c r="C34" s="109" t="e">
        <f>VLOOKUP(Table257519913140106110151155170178204303306[[#This Row],[PEG]],Table1016[#All],2,FALSE)</f>
        <v>#N/A</v>
      </c>
      <c r="D34" s="117"/>
      <c r="E34" s="125" t="e">
        <f>VLOOKUP(Table257519913140106110151155170178204303306[[#This Row],[PEG]],Table1016[#All],3,FALSE)</f>
        <v>#N/A</v>
      </c>
    </row>
    <row r="35" spans="1:5" x14ac:dyDescent="0.35">
      <c r="A35" s="118">
        <v>28</v>
      </c>
      <c r="B35" s="114" t="s">
        <v>124</v>
      </c>
      <c r="C35" s="109" t="e">
        <f>VLOOKUP(Table257519913140106110151155170178204303306[[#This Row],[PEG]],Table1016[#All],2,FALSE)</f>
        <v>#N/A</v>
      </c>
      <c r="D35" s="117"/>
      <c r="E35" s="125" t="e">
        <f>VLOOKUP(Table257519913140106110151155170178204303306[[#This Row],[PEG]],Table1016[#All],3,FALSE)</f>
        <v>#N/A</v>
      </c>
    </row>
    <row r="36" spans="1:5" x14ac:dyDescent="0.35">
      <c r="A36" s="118">
        <v>29</v>
      </c>
      <c r="B36" s="114" t="s">
        <v>115</v>
      </c>
      <c r="C36" s="109" t="e">
        <f>VLOOKUP(Table257519913140106110151155170178204303306[[#This Row],[PEG]],Table1016[#All],2,FALSE)</f>
        <v>#N/A</v>
      </c>
      <c r="D36" s="117"/>
      <c r="E36" s="125" t="e">
        <f>VLOOKUP(Table257519913140106110151155170178204303306[[#This Row],[PEG]],Table1016[#All],3,FALSE)</f>
        <v>#N/A</v>
      </c>
    </row>
    <row r="37" spans="1:5" x14ac:dyDescent="0.35">
      <c r="A37" s="118">
        <v>30</v>
      </c>
      <c r="B37" s="114" t="s">
        <v>12</v>
      </c>
      <c r="C37" s="109" t="e">
        <f>VLOOKUP(Table257519913140106110151155170178204303306[[#This Row],[PEG]],Table1016[#All],2,FALSE)</f>
        <v>#N/A</v>
      </c>
      <c r="D37" s="117"/>
      <c r="E37" s="125" t="e">
        <f>VLOOKUP(Table257519913140106110151155170178204303306[[#This Row],[PEG]],Table1016[#All],3,FALSE)</f>
        <v>#N/A</v>
      </c>
    </row>
    <row r="38" spans="1:5" x14ac:dyDescent="0.35">
      <c r="A38" s="118">
        <v>31</v>
      </c>
      <c r="B38" s="114" t="s">
        <v>12</v>
      </c>
      <c r="C38" s="109" t="e">
        <f>VLOOKUP(Table257519913140106110151155170178204303306[[#This Row],[PEG]],Table1016[#All],2,FALSE)</f>
        <v>#N/A</v>
      </c>
      <c r="D38" s="117"/>
      <c r="E38" s="125" t="e">
        <f>VLOOKUP(Table257519913140106110151155170178204303306[[#This Row],[PEG]],Table1016[#All],3,FALSE)</f>
        <v>#N/A</v>
      </c>
    </row>
    <row r="39" spans="1:5" x14ac:dyDescent="0.35">
      <c r="A39" s="118">
        <v>32</v>
      </c>
      <c r="B39" s="114" t="s">
        <v>12</v>
      </c>
      <c r="C39" s="109" t="e">
        <f>VLOOKUP(Table257519913140106110151155170178204303306[[#This Row],[PEG]],Table1016[#All],2,FALSE)</f>
        <v>#N/A</v>
      </c>
      <c r="D39" s="117"/>
      <c r="E39" s="125" t="e">
        <f>VLOOKUP(Table257519913140106110151155170178204303306[[#This Row],[PEG]],Table1016[#All],3,FALSE)</f>
        <v>#N/A</v>
      </c>
    </row>
    <row r="40" spans="1:5" x14ac:dyDescent="0.35">
      <c r="A40" s="118">
        <v>33</v>
      </c>
      <c r="B40" s="114" t="s">
        <v>12</v>
      </c>
      <c r="C40" s="109" t="e">
        <f>VLOOKUP(Table257519913140106110151155170178204303306[[#This Row],[PEG]],Table1016[#All],2,FALSE)</f>
        <v>#N/A</v>
      </c>
      <c r="D40" s="117"/>
      <c r="E40" s="125" t="e">
        <f>VLOOKUP(Table257519913140106110151155170178204303306[[#This Row],[PEG]],Table1016[#All],3,FALSE)</f>
        <v>#N/A</v>
      </c>
    </row>
    <row r="41" spans="1:5" x14ac:dyDescent="0.35">
      <c r="A41" s="118">
        <v>34</v>
      </c>
      <c r="B41" s="114" t="s">
        <v>115</v>
      </c>
      <c r="C41" s="109" t="e">
        <f>VLOOKUP(Table257519913140106110151155170178204303306[[#This Row],[PEG]],Table1016[#All],2,FALSE)</f>
        <v>#N/A</v>
      </c>
      <c r="D41" s="117"/>
      <c r="E41" s="125" t="e">
        <f>VLOOKUP(Table257519913140106110151155170178204303306[[#This Row],[PEG]],Table1016[#All],3,FALSE)</f>
        <v>#N/A</v>
      </c>
    </row>
    <row r="42" spans="1:5" x14ac:dyDescent="0.35">
      <c r="A42" s="118">
        <v>35</v>
      </c>
      <c r="B42" s="114" t="s">
        <v>12</v>
      </c>
      <c r="C42" s="109" t="e">
        <f>VLOOKUP(Table257519913140106110151155170178204303306[[#This Row],[PEG]],Table1016[#All],2,FALSE)</f>
        <v>#N/A</v>
      </c>
      <c r="D42" s="115"/>
      <c r="E42" s="125" t="e">
        <f>VLOOKUP(Table257519913140106110151155170178204303306[[#This Row],[PEG]],Table1016[#All],3,FALSE)</f>
        <v>#N/A</v>
      </c>
    </row>
    <row r="43" spans="1:5" x14ac:dyDescent="0.35">
      <c r="A43" s="118">
        <v>36</v>
      </c>
      <c r="B43" s="114" t="s">
        <v>115</v>
      </c>
      <c r="C43" s="109" t="e">
        <f>VLOOKUP(Table257519913140106110151155170178204303306[[#This Row],[PEG]],Table1016[#All],2,FALSE)</f>
        <v>#N/A</v>
      </c>
      <c r="D43" s="115"/>
      <c r="E43" s="125" t="e">
        <f>VLOOKUP(Table257519913140106110151155170178204303306[[#This Row],[PEG]],Table1016[#All],3,FALSE)</f>
        <v>#N/A</v>
      </c>
    </row>
    <row r="44" spans="1:5" x14ac:dyDescent="0.35">
      <c r="A44" s="118">
        <v>37</v>
      </c>
      <c r="B44" s="114" t="s">
        <v>13</v>
      </c>
      <c r="C44" s="18" t="s">
        <v>13</v>
      </c>
      <c r="D44" s="115"/>
      <c r="E44" s="32"/>
    </row>
  </sheetData>
  <mergeCells count="1">
    <mergeCell ref="A1:B1"/>
  </mergeCells>
  <conditionalFormatting sqref="B8:B18">
    <cfRule type="containsText" dxfId="159" priority="1" operator="containsText" text="Hear">
      <formula>NOT(ISERROR(SEARCH("Hear",B8)))</formula>
    </cfRule>
  </conditionalFormatting>
  <conditionalFormatting sqref="B30">
    <cfRule type="containsText" dxfId="158" priority="4" operator="containsText" text="Hear">
      <formula>NOT(ISERROR(SEARCH("Hear",B30)))</formula>
    </cfRule>
  </conditionalFormatting>
  <conditionalFormatting sqref="B43:B44">
    <cfRule type="containsText" dxfId="157" priority="8" operator="containsText" text="Hear">
      <formula>NOT(ISERROR(SEARCH("Hear",B43)))</formula>
    </cfRule>
  </conditionalFormatting>
  <conditionalFormatting sqref="E44">
    <cfRule type="containsText" dxfId="156" priority="6" operator="containsText" text="WEB SERVICE">
      <formula>NOT(ISERROR(SEARCH("WEB SERVICE",E44)))</formula>
    </cfRule>
    <cfRule type="containsText" dxfId="155" priority="7" operator="containsText" text="DB">
      <formula>NOT(ISERROR(SEARCH("DB",E44)))</formula>
    </cfRule>
  </conditionalFormatting>
  <conditionalFormatting sqref="C44">
    <cfRule type="expression" dxfId="154" priority="9">
      <formula>$B44="HANGUP"</formula>
    </cfRule>
    <cfRule type="expression" dxfId="153" priority="9">
      <formula>$B44="Dial"</formula>
    </cfRule>
  </conditionalFormatting>
  <conditionalFormatting sqref="C44">
    <cfRule type="expression" dxfId="152" priority="3">
      <formula>$B44="Speak"</formula>
    </cfRule>
  </conditionalFormatting>
  <conditionalFormatting sqref="B36:B38 B40:B41">
    <cfRule type="containsText" dxfId="151" priority="2" operator="containsText" text="Hear">
      <formula>NOT(ISERROR(SEARCH("Hear",B36)))</formula>
    </cfRule>
  </conditionalFormatting>
  <conditionalFormatting sqref="B19:B29 B31:B35 B42">
    <cfRule type="containsText" dxfId="150" priority="5" operator="containsText" text="Hear">
      <formula>NOT(ISERROR(SEARCH("Hear",B19)))</formula>
    </cfRule>
  </conditionalFormatting>
  <hyperlinks>
    <hyperlink ref="A1" location="'Test Case Overview'!A1" display="Return to Test Case Overview" xr:uid="{06EE2258-239B-49F5-A243-C950A3C2B760}"/>
  </hyperlinks>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expression" priority="10" id="{70FD45F4-B86E-4A08-A8C2-34FB573ABCB1}">
            <xm:f>'TC1'!$B8="HANGUP"</xm:f>
            <x14:dxf>
              <font>
                <b/>
                <i val="0"/>
              </font>
            </x14:dxf>
          </x14:cfRule>
          <x14:cfRule type="expression" priority="15" id="{57A2E71A-2082-42F8-9294-CEBFBAAAFF49}">
            <xm:f>'TC1'!$B8="Dial"</xm:f>
            <x14:dxf>
              <font>
                <b/>
                <i val="0"/>
                <color rgb="FFFF0000"/>
              </font>
            </x14:dxf>
          </x14:cfRule>
          <xm:sqref>C8</xm:sqref>
        </x14:conditionalFormatting>
        <x14:conditionalFormatting xmlns:xm="http://schemas.microsoft.com/office/excel/2006/main">
          <x14:cfRule type="expression" priority="14" id="{90BC48E9-1E6C-4E91-9B33-E9B3F99089D2}">
            <xm:f>'TC1'!$B8="Speak"</xm:f>
            <x14:dxf>
              <font>
                <b/>
                <i val="0"/>
                <color rgb="FFFF0000"/>
              </font>
            </x14:dxf>
          </x14:cfRule>
          <xm:sqref>C8</xm:sqref>
        </x14:conditionalFormatting>
        <x14:conditionalFormatting xmlns:xm="http://schemas.microsoft.com/office/excel/2006/main">
          <x14:cfRule type="containsText" priority="16" operator="containsText" text="Hear" id="{3CC6E7CB-2B29-4646-9411-437213F93AB3}">
            <xm:f>NOT(ISERROR(SEARCH("Hear",'TC3'!B34)))</xm:f>
            <x14:dxf>
              <font>
                <color theme="9" tint="-0.24994659260841701"/>
              </font>
              <fill>
                <patternFill>
                  <bgColor theme="9" tint="0.59996337778862885"/>
                </patternFill>
              </fill>
            </x14:dxf>
          </x14:cfRule>
          <xm:sqref>B41</xm:sqref>
        </x14:conditionalFormatting>
        <x14:conditionalFormatting xmlns:xm="http://schemas.microsoft.com/office/excel/2006/main">
          <x14:cfRule type="expression" priority="3439" id="{70FD45F4-B86E-4A08-A8C2-34FB573ABCB1}">
            <xm:f>'TC1'!$B16="HANGUP"</xm:f>
            <x14:dxf>
              <font>
                <b/>
                <i val="0"/>
              </font>
            </x14:dxf>
          </x14:cfRule>
          <x14:cfRule type="expression" priority="3440" id="{57A2E71A-2082-42F8-9294-CEBFBAAAFF49}">
            <xm:f>'TC1'!$B16="Dial"</xm:f>
            <x14:dxf>
              <font>
                <b/>
                <i val="0"/>
                <color rgb="FFFF0000"/>
              </font>
            </x14:dxf>
          </x14:cfRule>
          <xm:sqref>C34:C43</xm:sqref>
        </x14:conditionalFormatting>
        <x14:conditionalFormatting xmlns:xm="http://schemas.microsoft.com/office/excel/2006/main">
          <x14:cfRule type="expression" priority="3441" id="{70FD45F4-B86E-4A08-A8C2-34FB573ABCB1}">
            <xm:f>'TC1'!#REF!="HANGUP"</xm:f>
            <x14:dxf>
              <font>
                <b/>
                <i val="0"/>
              </font>
            </x14:dxf>
          </x14:cfRule>
          <x14:cfRule type="expression" priority="3442" id="{57A2E71A-2082-42F8-9294-CEBFBAAAFF49}">
            <xm:f>'TC1'!#REF!="Dial"</xm:f>
            <x14:dxf>
              <font>
                <b/>
                <i val="0"/>
                <color rgb="FFFF0000"/>
              </font>
            </x14:dxf>
          </x14:cfRule>
          <xm:sqref>C17:C33</xm:sqref>
        </x14:conditionalFormatting>
        <x14:conditionalFormatting xmlns:xm="http://schemas.microsoft.com/office/excel/2006/main">
          <x14:cfRule type="expression" priority="3446" id="{90BC48E9-1E6C-4E91-9B33-E9B3F99089D2}">
            <xm:f>'TC1'!$B16="Speak"</xm:f>
            <x14:dxf>
              <font>
                <b/>
                <i val="0"/>
                <color rgb="FFFF0000"/>
              </font>
            </x14:dxf>
          </x14:cfRule>
          <xm:sqref>C34:C43</xm:sqref>
        </x14:conditionalFormatting>
        <x14:conditionalFormatting xmlns:xm="http://schemas.microsoft.com/office/excel/2006/main">
          <x14:cfRule type="expression" priority="3447" id="{90BC48E9-1E6C-4E91-9B33-E9B3F99089D2}">
            <xm:f>'TC1'!#REF!="Speak"</xm:f>
            <x14:dxf>
              <font>
                <b/>
                <i val="0"/>
                <color rgb="FFFF0000"/>
              </font>
            </x14:dxf>
          </x14:cfRule>
          <xm:sqref>C17:C33</xm:sqref>
        </x14:conditionalFormatting>
        <x14:conditionalFormatting xmlns:xm="http://schemas.microsoft.com/office/excel/2006/main">
          <x14:cfRule type="containsText" priority="3451" operator="containsText" text="DB" id="{4CEEC640-7A21-40AE-A6EB-3842416E8C81}">
            <xm:f>NOT(ISERROR(SEARCH("DB",'TC1'!E16)))</xm:f>
            <x14:dxf>
              <font>
                <color rgb="FF006100"/>
              </font>
              <fill>
                <patternFill>
                  <bgColor rgb="FFC6EFCE"/>
                </patternFill>
              </fill>
            </x14:dxf>
          </x14:cfRule>
          <x14:cfRule type="containsText" priority="3452" operator="containsText" text="WEB SERVICE" id="{8E88EEEB-64CA-4432-A616-767A2DDD8149}">
            <xm:f>NOT(ISERROR(SEARCH("WEB SERVICE",'TC1'!E16)))</xm:f>
            <x14:dxf>
              <font>
                <color rgb="FF9C0006"/>
              </font>
              <fill>
                <patternFill>
                  <bgColor rgb="FFFFC7CE"/>
                </patternFill>
              </fill>
            </x14:dxf>
          </x14:cfRule>
          <xm:sqref>E34:E43</xm:sqref>
        </x14:conditionalFormatting>
        <x14:conditionalFormatting xmlns:xm="http://schemas.microsoft.com/office/excel/2006/main">
          <x14:cfRule type="containsText" priority="3453" operator="containsText" text="DB" id="{4CEEC640-7A21-40AE-A6EB-3842416E8C81}">
            <xm:f>NOT(ISERROR(SEARCH("DB",'TC1'!#REF!)))</xm:f>
            <x14:dxf>
              <font>
                <color rgb="FF006100"/>
              </font>
              <fill>
                <patternFill>
                  <bgColor rgb="FFC6EFCE"/>
                </patternFill>
              </fill>
            </x14:dxf>
          </x14:cfRule>
          <x14:cfRule type="containsText" priority="3454" operator="containsText" text="WEB SERVICE" id="{8E88EEEB-64CA-4432-A616-767A2DDD8149}">
            <xm:f>NOT(ISERROR(SEARCH("WEB SERVICE",'TC1'!#REF!)))</xm:f>
            <x14:dxf>
              <font>
                <color rgb="FF9C0006"/>
              </font>
              <fill>
                <patternFill>
                  <bgColor rgb="FFFFC7CE"/>
                </patternFill>
              </fill>
            </x14:dxf>
          </x14:cfRule>
          <xm:sqref>E17:E33</xm:sqref>
        </x14:conditionalFormatting>
        <x14:conditionalFormatting xmlns:xm="http://schemas.microsoft.com/office/excel/2006/main">
          <x14:cfRule type="expression" priority="6053" id="{70FD45F4-B86E-4A08-A8C2-34FB573ABCB1}">
            <xm:f>'TC1'!$B9="HANGUP"</xm:f>
            <x14:dxf>
              <font>
                <b/>
                <i val="0"/>
              </font>
            </x14:dxf>
          </x14:cfRule>
          <x14:cfRule type="expression" priority="6054" id="{57A2E71A-2082-42F8-9294-CEBFBAAAFF49}">
            <xm:f>'TC1'!$B9="Dial"</xm:f>
            <x14:dxf>
              <font>
                <b/>
                <i val="0"/>
                <color rgb="FFFF0000"/>
              </font>
            </x14:dxf>
          </x14:cfRule>
          <xm:sqref>C12:C15</xm:sqref>
        </x14:conditionalFormatting>
        <x14:conditionalFormatting xmlns:xm="http://schemas.microsoft.com/office/excel/2006/main">
          <x14:cfRule type="expression" priority="6055" id="{70FD45F4-B86E-4A08-A8C2-34FB573ABCB1}">
            <xm:f>'TC1'!#REF!="HANGUP"</xm:f>
            <x14:dxf>
              <font>
                <b/>
                <i val="0"/>
              </font>
            </x14:dxf>
          </x14:cfRule>
          <x14:cfRule type="expression" priority="6056" id="{57A2E71A-2082-42F8-9294-CEBFBAAAFF49}">
            <xm:f>'TC1'!#REF!="Dial"</xm:f>
            <x14:dxf>
              <font>
                <b/>
                <i val="0"/>
                <color rgb="FFFF0000"/>
              </font>
            </x14:dxf>
          </x14:cfRule>
          <xm:sqref>C9:C11</xm:sqref>
        </x14:conditionalFormatting>
        <x14:conditionalFormatting xmlns:xm="http://schemas.microsoft.com/office/excel/2006/main">
          <x14:cfRule type="expression" priority="6060" id="{90BC48E9-1E6C-4E91-9B33-E9B3F99089D2}">
            <xm:f>'TC1'!$B9="Speak"</xm:f>
            <x14:dxf>
              <font>
                <b/>
                <i val="0"/>
                <color rgb="FFFF0000"/>
              </font>
            </x14:dxf>
          </x14:cfRule>
          <xm:sqref>C12:C15</xm:sqref>
        </x14:conditionalFormatting>
        <x14:conditionalFormatting xmlns:xm="http://schemas.microsoft.com/office/excel/2006/main">
          <x14:cfRule type="expression" priority="6061" id="{90BC48E9-1E6C-4E91-9B33-E9B3F99089D2}">
            <xm:f>'TC1'!#REF!="Speak"</xm:f>
            <x14:dxf>
              <font>
                <b/>
                <i val="0"/>
                <color rgb="FFFF0000"/>
              </font>
            </x14:dxf>
          </x14:cfRule>
          <xm:sqref>C9:C11</xm:sqref>
        </x14:conditionalFormatting>
        <x14:conditionalFormatting xmlns:xm="http://schemas.microsoft.com/office/excel/2006/main">
          <x14:cfRule type="containsText" priority="6063" operator="containsText" text="DB" id="{4CEEC640-7A21-40AE-A6EB-3842416E8C81}">
            <xm:f>NOT(ISERROR(SEARCH("DB",'TC1'!#REF!)))</xm:f>
            <x14:dxf>
              <font>
                <color rgb="FF006100"/>
              </font>
              <fill>
                <patternFill>
                  <bgColor rgb="FFC6EFCE"/>
                </patternFill>
              </fill>
            </x14:dxf>
          </x14:cfRule>
          <x14:cfRule type="containsText" priority="6064" operator="containsText" text="WEB SERVICE" id="{8E88EEEB-64CA-4432-A616-767A2DDD8149}">
            <xm:f>NOT(ISERROR(SEARCH("WEB SERVICE",'TC1'!#REF!)))</xm:f>
            <x14:dxf>
              <font>
                <color rgb="FF9C0006"/>
              </font>
              <fill>
                <patternFill>
                  <bgColor rgb="FFFFC7CE"/>
                </patternFill>
              </fill>
            </x14:dxf>
          </x14:cfRule>
          <xm:sqref>E9:E11</xm:sqref>
        </x14:conditionalFormatting>
        <x14:conditionalFormatting xmlns:xm="http://schemas.microsoft.com/office/excel/2006/main">
          <x14:cfRule type="containsText" priority="6065" operator="containsText" text="DB" id="{4CEEC640-7A21-40AE-A6EB-3842416E8C81}">
            <xm:f>NOT(ISERROR(SEARCH("DB",'TC1'!E9)))</xm:f>
            <x14:dxf>
              <font>
                <color rgb="FF006100"/>
              </font>
              <fill>
                <patternFill>
                  <bgColor rgb="FFC6EFCE"/>
                </patternFill>
              </fill>
            </x14:dxf>
          </x14:cfRule>
          <x14:cfRule type="containsText" priority="6066" operator="containsText" text="WEB SERVICE" id="{8E88EEEB-64CA-4432-A616-767A2DDD8149}">
            <xm:f>NOT(ISERROR(SEARCH("WEB SERVICE",'TC1'!E9)))</xm:f>
            <x14:dxf>
              <font>
                <color rgb="FF9C0006"/>
              </font>
              <fill>
                <patternFill>
                  <bgColor rgb="FFFFC7CE"/>
                </patternFill>
              </fill>
            </x14:dxf>
          </x14:cfRule>
          <xm:sqref>E12:E15</xm:sqref>
        </x14:conditionalFormatting>
        <x14:conditionalFormatting xmlns:xm="http://schemas.microsoft.com/office/excel/2006/main">
          <x14:cfRule type="expression" priority="8207" id="{70FD45F4-B86E-4A08-A8C2-34FB573ABCB1}">
            <xm:f>'TC1'!$B15="HANGUP"</xm:f>
            <x14:dxf>
              <font>
                <b/>
                <i val="0"/>
              </font>
            </x14:dxf>
          </x14:cfRule>
          <x14:cfRule type="expression" priority="8208" id="{57A2E71A-2082-42F8-9294-CEBFBAAAFF49}">
            <xm:f>'TC1'!$B15="Dial"</xm:f>
            <x14:dxf>
              <font>
                <b/>
                <i val="0"/>
                <color rgb="FFFF0000"/>
              </font>
            </x14:dxf>
          </x14:cfRule>
          <xm:sqref>C16</xm:sqref>
        </x14:conditionalFormatting>
        <x14:conditionalFormatting xmlns:xm="http://schemas.microsoft.com/office/excel/2006/main">
          <x14:cfRule type="expression" priority="8210" id="{90BC48E9-1E6C-4E91-9B33-E9B3F99089D2}">
            <xm:f>'TC1'!$B15="Speak"</xm:f>
            <x14:dxf>
              <font>
                <b/>
                <i val="0"/>
                <color rgb="FFFF0000"/>
              </font>
            </x14:dxf>
          </x14:cfRule>
          <xm:sqref>C16</xm:sqref>
        </x14:conditionalFormatting>
        <x14:conditionalFormatting xmlns:xm="http://schemas.microsoft.com/office/excel/2006/main">
          <x14:cfRule type="containsText" priority="8213" operator="containsText" text="DB" id="{4CEEC640-7A21-40AE-A6EB-3842416E8C81}">
            <xm:f>NOT(ISERROR(SEARCH("DB",'TC1'!E15)))</xm:f>
            <x14:dxf>
              <font>
                <color rgb="FF006100"/>
              </font>
              <fill>
                <patternFill>
                  <bgColor rgb="FFC6EFCE"/>
                </patternFill>
              </fill>
            </x14:dxf>
          </x14:cfRule>
          <x14:cfRule type="containsText" priority="8214" operator="containsText" text="WEB SERVICE" id="{8E88EEEB-64CA-4432-A616-767A2DDD8149}">
            <xm:f>NOT(ISERROR(SEARCH("WEB SERVICE",'TC1'!E15)))</xm:f>
            <x14:dxf>
              <font>
                <color rgb="FF9C0006"/>
              </font>
              <fill>
                <patternFill>
                  <bgColor rgb="FFFFC7CE"/>
                </patternFill>
              </fill>
            </x14:dxf>
          </x14:cfRule>
          <xm:sqref>E16</xm:sqref>
        </x14:conditionalFormatting>
        <x14:conditionalFormatting xmlns:xm="http://schemas.microsoft.com/office/excel/2006/main">
          <x14:cfRule type="containsText" priority="11010" operator="containsText" text="Hear" id="{EF572BAF-42DC-4982-B0B3-C6A7A4A735D5}">
            <xm:f>NOT(ISERROR(SEARCH("Hear",'TC26'!#REF!)))</xm:f>
            <x14:dxf>
              <font>
                <color theme="9" tint="-0.24994659260841701"/>
              </font>
              <fill>
                <patternFill>
                  <bgColor theme="9" tint="0.59996337778862885"/>
                </patternFill>
              </fill>
            </x14:dxf>
          </x14:cfRule>
          <xm:sqref>B39</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E33"/>
  <sheetViews>
    <sheetView zoomScaleNormal="100" workbookViewId="0">
      <selection activeCell="B9" sqref="B9:B15"/>
    </sheetView>
  </sheetViews>
  <sheetFormatPr defaultRowHeight="14.5" x14ac:dyDescent="0.35"/>
  <cols>
    <col min="1" max="1" width="14.453125" style="82" bestFit="1" customWidth="1"/>
    <col min="2" max="2" width="42.6328125" style="82" customWidth="1"/>
    <col min="3" max="3" width="106.1796875" style="83" customWidth="1"/>
    <col min="4" max="4" width="21.81640625" style="94" bestFit="1" customWidth="1"/>
    <col min="5" max="5" width="20.6328125" style="82" customWidth="1"/>
  </cols>
  <sheetData>
    <row r="1" spans="1:5" ht="18.5" x14ac:dyDescent="0.35">
      <c r="A1" s="192" t="s">
        <v>4</v>
      </c>
      <c r="B1" s="192"/>
      <c r="C1" s="90"/>
    </row>
    <row r="2" spans="1:5" x14ac:dyDescent="0.35">
      <c r="A2" s="91" t="s">
        <v>5</v>
      </c>
      <c r="B2" s="92" t="str">
        <f ca="1">MID(CELL("filename",A1),FIND("]",CELL("filename",A1))+1,LEN(CELL("filename",A1))-FIND("]",CELL("filename",A1)))</f>
        <v>TC1</v>
      </c>
    </row>
    <row r="3" spans="1:5" x14ac:dyDescent="0.35">
      <c r="A3" s="89" t="s">
        <v>19</v>
      </c>
      <c r="B3" s="95" t="str">
        <f ca="1">VLOOKUP(B2,Table1[#All],2,FALSE)</f>
        <v># from from data request</v>
      </c>
    </row>
    <row r="4" spans="1:5" ht="29" x14ac:dyDescent="0.35">
      <c r="A4" s="96" t="s">
        <v>20</v>
      </c>
      <c r="B4" s="84" t="str">
        <f ca="1">VLOOKUP(B2,Table1[#All],4,FALSE)</f>
        <v>Terminated Status</v>
      </c>
    </row>
    <row r="5" spans="1:5" x14ac:dyDescent="0.35">
      <c r="A5" s="89" t="s">
        <v>6</v>
      </c>
      <c r="B5" s="93" t="str">
        <f ca="1">VLOOKUP(B2,Table1[#All],3,FALSE)</f>
        <v>Account Number Found</v>
      </c>
    </row>
    <row r="7" spans="1:5" ht="15.5" x14ac:dyDescent="0.35">
      <c r="A7" s="85" t="s">
        <v>7</v>
      </c>
      <c r="B7" s="86" t="s">
        <v>8</v>
      </c>
      <c r="C7" s="87" t="s">
        <v>9</v>
      </c>
      <c r="D7" s="87" t="s">
        <v>14</v>
      </c>
      <c r="E7" s="88" t="s">
        <v>10</v>
      </c>
    </row>
    <row r="8" spans="1:5" x14ac:dyDescent="0.35">
      <c r="A8" s="118">
        <v>1</v>
      </c>
      <c r="B8" s="114" t="s">
        <v>114</v>
      </c>
      <c r="C8" s="127" t="s">
        <v>240</v>
      </c>
      <c r="D8" s="128"/>
      <c r="E8" s="125" t="s">
        <v>11</v>
      </c>
    </row>
    <row r="9" spans="1:5" s="97" customFormat="1" x14ac:dyDescent="0.35">
      <c r="A9" s="118">
        <v>2</v>
      </c>
      <c r="B9" s="114" t="s">
        <v>115</v>
      </c>
      <c r="C9" s="109" t="str">
        <f>VLOOKUP(Table257552526[[#This Row],[PEG]],Table1016[],2,FALSE)</f>
        <v>To get started, tell me your Account Number</v>
      </c>
      <c r="D9" s="129" t="s">
        <v>245</v>
      </c>
      <c r="E9" s="125" t="str">
        <f>VLOOKUP(Table257552526[[#This Row],[PEG]],Table1016[#All],3,FALSE)</f>
        <v>Prompt</v>
      </c>
    </row>
    <row r="10" spans="1:5" s="97" customFormat="1" x14ac:dyDescent="0.35">
      <c r="A10" s="118">
        <v>3</v>
      </c>
      <c r="B10" s="114" t="s">
        <v>124</v>
      </c>
      <c r="C10" s="109"/>
      <c r="D10" s="129"/>
      <c r="E10" s="125" t="e">
        <f>VLOOKUP(Table257552526[[#This Row],[PEG]],Table1016[#All],3,FALSE)</f>
        <v>#N/A</v>
      </c>
    </row>
    <row r="11" spans="1:5" s="97" customFormat="1" ht="174" x14ac:dyDescent="0.35">
      <c r="A11" s="118">
        <v>4</v>
      </c>
      <c r="B11" s="114" t="s">
        <v>12</v>
      </c>
      <c r="C11" s="109" t="str">
        <f>VLOOKUP(Table257552526[[#This Row],[PEG]],Table1016[],2,FALSE)</f>
        <v>SAP HANA – SAP01_GetMember
inputs:
idnumber = iIdnumber	T
idtype 	= iIdtype
outputs:
~ Billing Reference
~ Enrollment Details
~ Billing Details
~ Last Payment
~ Recurring Payment Method
~ Stored Payment Method</v>
      </c>
      <c r="D11" s="129" t="s">
        <v>371</v>
      </c>
      <c r="E11" s="125" t="str">
        <f>VLOOKUP(Table257552526[[#This Row],[PEG]],Table1016[#All],3,FALSE)</f>
        <v>DB</v>
      </c>
    </row>
    <row r="12" spans="1:5" s="97" customFormat="1" x14ac:dyDescent="0.35">
      <c r="A12" s="118">
        <v>5</v>
      </c>
      <c r="B12" s="114" t="s">
        <v>115</v>
      </c>
      <c r="C12" s="109" t="str">
        <f>VLOOKUP(Table257552526[[#This Row],[PEG]],Table1016[],2,FALSE)</f>
        <v>Thanks, I found your account!</v>
      </c>
      <c r="D12" s="129" t="s">
        <v>248</v>
      </c>
      <c r="E12" s="125" t="str">
        <f>VLOOKUP(Table257552526[[#This Row],[PEG]],Table1016[#All],3,FALSE)</f>
        <v>Prompt</v>
      </c>
    </row>
    <row r="13" spans="1:5" s="97" customFormat="1" x14ac:dyDescent="0.35">
      <c r="A13" s="118">
        <v>6</v>
      </c>
      <c r="B13" s="114" t="s">
        <v>115</v>
      </c>
      <c r="C13" s="109" t="str">
        <f>VLOOKUP(Table257552526[[#This Row],[PEG]],Table1016[],2,FALSE)</f>
        <v>Your plan is currently not active.</v>
      </c>
      <c r="D13" s="129" t="s">
        <v>255</v>
      </c>
      <c r="E13" s="125"/>
    </row>
    <row r="14" spans="1:5" s="97" customFormat="1" x14ac:dyDescent="0.35">
      <c r="A14" s="118"/>
      <c r="B14" s="114" t="s">
        <v>115</v>
      </c>
      <c r="C14" s="109" t="str">
        <f>VLOOKUP(Table257552526[[#This Row],[PEG]],Table1016[],2,FALSE)</f>
        <v>One moment while I get someone to help you.</v>
      </c>
      <c r="D14" s="129" t="s">
        <v>360</v>
      </c>
      <c r="E14" s="125"/>
    </row>
    <row r="15" spans="1:5" x14ac:dyDescent="0.35">
      <c r="A15" s="118">
        <v>7</v>
      </c>
      <c r="B15" s="114" t="s">
        <v>13</v>
      </c>
      <c r="C15" s="109" t="s">
        <v>13</v>
      </c>
      <c r="D15" s="129"/>
      <c r="E15" s="32" t="e">
        <f>VLOOKUP(Table257552526[[#This Row],[PEG]],Table1016[#All],3,FALSE)</f>
        <v>#N/A</v>
      </c>
    </row>
    <row r="16" spans="1:5" x14ac:dyDescent="0.35">
      <c r="C16" s="26"/>
      <c r="D16" s="94" t="s">
        <v>0</v>
      </c>
    </row>
    <row r="17" spans="3:3" x14ac:dyDescent="0.35">
      <c r="C17" s="26"/>
    </row>
    <row r="18" spans="3:3" x14ac:dyDescent="0.35">
      <c r="C18" s="26"/>
    </row>
    <row r="19" spans="3:3" x14ac:dyDescent="0.35">
      <c r="C19" s="26"/>
    </row>
    <row r="20" spans="3:3" x14ac:dyDescent="0.35">
      <c r="C20" s="26"/>
    </row>
    <row r="21" spans="3:3" x14ac:dyDescent="0.35">
      <c r="C21" s="26"/>
    </row>
    <row r="22" spans="3:3" x14ac:dyDescent="0.35">
      <c r="C22" s="26"/>
    </row>
    <row r="23" spans="3:3" x14ac:dyDescent="0.35">
      <c r="C23" s="26"/>
    </row>
    <row r="24" spans="3:3" x14ac:dyDescent="0.35">
      <c r="C24" s="26"/>
    </row>
    <row r="25" spans="3:3" x14ac:dyDescent="0.35">
      <c r="C25" s="26"/>
    </row>
    <row r="26" spans="3:3" x14ac:dyDescent="0.35">
      <c r="C26" s="26"/>
    </row>
    <row r="27" spans="3:3" x14ac:dyDescent="0.35">
      <c r="C27" s="26"/>
    </row>
    <row r="28" spans="3:3" x14ac:dyDescent="0.35">
      <c r="C28" s="26"/>
    </row>
    <row r="29" spans="3:3" x14ac:dyDescent="0.35">
      <c r="C29" s="26"/>
    </row>
    <row r="30" spans="3:3" x14ac:dyDescent="0.35">
      <c r="C30" s="26"/>
    </row>
    <row r="31" spans="3:3" x14ac:dyDescent="0.35">
      <c r="C31" s="27"/>
    </row>
    <row r="32" spans="3:3" x14ac:dyDescent="0.35">
      <c r="C32" s="27"/>
    </row>
    <row r="33" spans="3:3" x14ac:dyDescent="0.35">
      <c r="C33" s="27"/>
    </row>
  </sheetData>
  <mergeCells count="1">
    <mergeCell ref="A1:B1"/>
  </mergeCells>
  <conditionalFormatting sqref="B8:B15">
    <cfRule type="containsText" dxfId="5963" priority="7" operator="containsText" text="Hear">
      <formula>NOT(ISERROR(SEARCH("Hear",B8)))</formula>
    </cfRule>
  </conditionalFormatting>
  <conditionalFormatting sqref="E9:E15">
    <cfRule type="containsText" dxfId="5962" priority="10" operator="containsText" text="WEB SERVICE">
      <formula>NOT(ISERROR(SEARCH("WEB SERVICE",E9)))</formula>
    </cfRule>
    <cfRule type="containsText" dxfId="5961" priority="11" operator="containsText" text="DB">
      <formula>NOT(ISERROR(SEARCH("DB",E9)))</formula>
    </cfRule>
  </conditionalFormatting>
  <conditionalFormatting sqref="C9:C9972">
    <cfRule type="expression" dxfId="5960" priority="13">
      <formula>$B9="Dial"</formula>
    </cfRule>
    <cfRule type="expression" dxfId="5959" priority="15">
      <formula>$B9="HANGUP"</formula>
    </cfRule>
  </conditionalFormatting>
  <conditionalFormatting sqref="C9:C15">
    <cfRule type="expression" dxfId="5958" priority="14">
      <formula>$B9="Speak"</formula>
    </cfRule>
  </conditionalFormatting>
  <conditionalFormatting sqref="C8">
    <cfRule type="expression" dxfId="5957" priority="3">
      <formula>$B8="Dial"</formula>
    </cfRule>
    <cfRule type="expression" dxfId="5956" priority="4">
      <formula>$B8="HANGUP"</formula>
    </cfRule>
  </conditionalFormatting>
  <hyperlinks>
    <hyperlink ref="A1" location="'Test Case Overview'!A1" display="Return to Test Case Overview" xr:uid="{00000000-0004-0000-0100-000000000000}"/>
  </hyperlinks>
  <pageMargins left="0.7" right="0.7" top="0.75" bottom="0.75" header="0.3" footer="0.3"/>
  <pageSetup orientation="portrait" r:id="rId1"/>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1"/>
  <dimension ref="A1:E59"/>
  <sheetViews>
    <sheetView topLeftCell="A36" zoomScaleNormal="100" workbookViewId="0">
      <selection activeCell="D38" sqref="D38"/>
    </sheetView>
  </sheetViews>
  <sheetFormatPr defaultRowHeight="14.5" x14ac:dyDescent="0.35"/>
  <cols>
    <col min="1" max="1" width="14.453125" style="97" bestFit="1" customWidth="1"/>
    <col min="2" max="2" width="42.6328125" style="97" customWidth="1"/>
    <col min="3" max="3" width="106.1796875" style="98" customWidth="1"/>
    <col min="4" max="4" width="21.81640625" style="111" bestFit="1" customWidth="1"/>
    <col min="5" max="5" width="20.6328125" style="97" customWidth="1"/>
  </cols>
  <sheetData>
    <row r="1" spans="1:5" ht="18.5" x14ac:dyDescent="0.35">
      <c r="A1" s="192" t="s">
        <v>4</v>
      </c>
      <c r="B1" s="192"/>
      <c r="C1" s="105"/>
    </row>
    <row r="2" spans="1:5" x14ac:dyDescent="0.35">
      <c r="A2" s="106" t="s">
        <v>5</v>
      </c>
      <c r="B2" s="107" t="str">
        <f ca="1">MID(CELL("filename",A1),FIND("]",CELL("filename",A1))+1,LEN(CELL("filename",A1))-FIND("]",CELL("filename",A1)))</f>
        <v>TC19</v>
      </c>
    </row>
    <row r="3" spans="1:5" x14ac:dyDescent="0.35">
      <c r="A3" s="104" t="s">
        <v>19</v>
      </c>
      <c r="B3" s="112">
        <f ca="1">VLOOKUP(B2,Table1[#All],2,FALSE)</f>
        <v>0</v>
      </c>
    </row>
    <row r="4" spans="1:5" ht="29" x14ac:dyDescent="0.35">
      <c r="A4" s="113" t="s">
        <v>20</v>
      </c>
      <c r="B4" s="99" t="str">
        <f ca="1">VLOOKUP(B2,Table1[#All],4,FALSE)</f>
        <v>Past Due Partial Payment, GetCC, SMS No</v>
      </c>
    </row>
    <row r="5" spans="1:5" x14ac:dyDescent="0.35">
      <c r="A5" s="104" t="s">
        <v>6</v>
      </c>
      <c r="B5" s="93" t="str">
        <f ca="1">VLOOKUP(B2,Table1[#All],3,FALSE)</f>
        <v>Remaining Balance - NO</v>
      </c>
    </row>
    <row r="7" spans="1:5" ht="15.5" x14ac:dyDescent="0.35">
      <c r="A7" s="100" t="s">
        <v>7</v>
      </c>
      <c r="B7" s="101" t="s">
        <v>8</v>
      </c>
      <c r="C7" s="102" t="s">
        <v>9</v>
      </c>
      <c r="D7" s="102" t="s">
        <v>14</v>
      </c>
      <c r="E7" s="103" t="s">
        <v>10</v>
      </c>
    </row>
    <row r="8" spans="1:5" x14ac:dyDescent="0.35">
      <c r="A8" s="118">
        <v>1</v>
      </c>
      <c r="B8" s="114" t="s">
        <v>114</v>
      </c>
      <c r="C8" s="127" t="s">
        <v>125</v>
      </c>
      <c r="D8" s="128"/>
      <c r="E8" s="125" t="s">
        <v>11</v>
      </c>
    </row>
    <row r="9" spans="1:5" x14ac:dyDescent="0.35">
      <c r="A9" s="118">
        <v>2</v>
      </c>
      <c r="B9" s="114" t="s">
        <v>115</v>
      </c>
      <c r="C9" s="109" t="str">
        <f>VLOOKUP(Table2575525269101343444647[[#This Row],[PEG]],Table1016[#All],2,FALSE)</f>
        <v>To get started, tell me your Account Number</v>
      </c>
      <c r="D9" s="141" t="s">
        <v>245</v>
      </c>
      <c r="E9" s="125" t="str">
        <f>VLOOKUP(Table2575525269101343444647[[#This Row],[PEG]],Table1016[#All],3,FALSE)</f>
        <v>Prompt</v>
      </c>
    </row>
    <row r="10" spans="1:5" x14ac:dyDescent="0.35">
      <c r="A10" s="118">
        <v>3</v>
      </c>
      <c r="B10" s="114" t="s">
        <v>124</v>
      </c>
      <c r="C10" s="109"/>
      <c r="D10" s="128"/>
      <c r="E10" s="125" t="e">
        <f>VLOOKUP(Table2575525269101343444647[[#This Row],[PEG]],Table1016[#All],3,FALSE)</f>
        <v>#N/A</v>
      </c>
    </row>
    <row r="11" spans="1:5" ht="174" x14ac:dyDescent="0.35">
      <c r="A11" s="118">
        <v>4</v>
      </c>
      <c r="B11" s="114" t="s">
        <v>12</v>
      </c>
      <c r="C11" s="109" t="str">
        <f>VLOOKUP(Table2575525269101343444647[[#This Row],[PEG]],Table1016[#All],2,FALSE)</f>
        <v>SAP HANA – SAP01_GetMember
inputs:
idnumber = iIdnumber	T
idtype 	= iIdtype
outputs:
~ Billing Reference
~ Enrollment Details
~ Billing Details
~ Last Payment
~ Recurring Payment Method
~ Stored Payment Method</v>
      </c>
      <c r="D11" s="141" t="s">
        <v>371</v>
      </c>
      <c r="E11" s="125" t="str">
        <f>VLOOKUP(Table2575525269101343444647[[#This Row],[PEG]],Table1016[#All],3,FALSE)</f>
        <v>DB</v>
      </c>
    </row>
    <row r="12" spans="1:5" x14ac:dyDescent="0.35">
      <c r="A12" s="118">
        <v>5</v>
      </c>
      <c r="B12" s="114" t="s">
        <v>115</v>
      </c>
      <c r="C12" s="109" t="str">
        <f>VLOOKUP(Table2575525269101343444647[[#This Row],[PEG]],Table1016[#All],2,FALSE)</f>
        <v>Thanks, I found your account!</v>
      </c>
      <c r="D12" s="142" t="s">
        <v>248</v>
      </c>
      <c r="E12" s="125" t="str">
        <f>VLOOKUP(Table2575525269101343444647[[#This Row],[PEG]],Table1016[#All],3,FALSE)</f>
        <v>Prompt</v>
      </c>
    </row>
    <row r="13" spans="1:5" x14ac:dyDescent="0.35">
      <c r="A13" s="118">
        <v>6</v>
      </c>
      <c r="B13" s="114" t="s">
        <v>115</v>
      </c>
      <c r="C13" s="109" t="str">
        <f>VLOOKUP(Table2575525269101343444647[[#This Row],[PEG]],Table1016[#All],2,FALSE)</f>
        <v>Your last payment of &lt;SAP01_ivrLastPaymentAmount&gt; was received on &lt;SAP01_ivrLastPaymentDate&gt;</v>
      </c>
      <c r="D13" s="142" t="s">
        <v>257</v>
      </c>
      <c r="E13" s="125" t="str">
        <f>VLOOKUP(Table2575525269101343444647[[#This Row],[PEG]],Table1016[#All],3,FALSE)</f>
        <v>Prompt</v>
      </c>
    </row>
    <row r="14" spans="1:5" x14ac:dyDescent="0.35">
      <c r="A14" s="118">
        <v>7</v>
      </c>
      <c r="B14" s="114" t="s">
        <v>115</v>
      </c>
      <c r="C14" s="130" t="str">
        <f>VLOOKUP(Table2575525269101343444647[[#This Row],[PEG]],Table1016[#All],2,FALSE)</f>
        <v>A current balance of &lt;SAP01_CurrentDue&gt; is due by &lt;SAP01_Duedate&gt;.</v>
      </c>
      <c r="D14" s="143" t="s">
        <v>258</v>
      </c>
      <c r="E14" s="125" t="str">
        <f>VLOOKUP(Table2575525269101343444647[[#This Row],[PEG]],Table1016[#All],3,FALSE)</f>
        <v>Prompt</v>
      </c>
    </row>
    <row r="15" spans="1:5" s="97" customFormat="1" x14ac:dyDescent="0.35">
      <c r="A15" s="118">
        <v>8</v>
      </c>
      <c r="B15" s="114" t="s">
        <v>115</v>
      </c>
      <c r="C15" s="130" t="str">
        <f>VLOOKUP(Table2575525269101343444647[[#This Row],[PEG]],Table1016[#All],2,FALSE)</f>
        <v>This includes a past due amount of &lt;SAP01_PastDue&gt;.</v>
      </c>
      <c r="D15" s="143" t="s">
        <v>259</v>
      </c>
      <c r="E15" s="125"/>
    </row>
    <row r="16" spans="1:5" x14ac:dyDescent="0.35">
      <c r="A16" s="118">
        <v>9</v>
      </c>
      <c r="B16" s="114" t="s">
        <v>115</v>
      </c>
      <c r="C16" s="109" t="str">
        <f>VLOOKUP(Table2575525269101343444647[[#This Row],[PEG]],Table1016[#All],2,FALSE)</f>
        <v>Would you like to pay this in full today?</v>
      </c>
      <c r="D16" s="143" t="s">
        <v>260</v>
      </c>
      <c r="E16" s="125" t="str">
        <f>VLOOKUP(Table2575525269101343444647[[#This Row],[PEG]],Table1016[#All],3,FALSE)</f>
        <v>Prompt</v>
      </c>
    </row>
    <row r="17" spans="1:5" x14ac:dyDescent="0.35">
      <c r="A17" s="118">
        <v>10</v>
      </c>
      <c r="B17" s="114" t="s">
        <v>124</v>
      </c>
      <c r="C17" s="127" t="s">
        <v>411</v>
      </c>
      <c r="D17" s="143"/>
      <c r="E17" s="125" t="e">
        <f>VLOOKUP(Table2575525269101343444647[[#This Row],[PEG]],Table1016[#All],3,FALSE)</f>
        <v>#N/A</v>
      </c>
    </row>
    <row r="18" spans="1:5" x14ac:dyDescent="0.35">
      <c r="A18" s="118">
        <v>11</v>
      </c>
      <c r="B18" s="114" t="s">
        <v>115</v>
      </c>
      <c r="C18" s="109" t="str">
        <f>VLOOKUP(Table2575525269101343444647[[#This Row],[PEG]],Table1016[#All],2,FALSE)</f>
        <v>Ok, what amount do you want to pay?</v>
      </c>
      <c r="D18" s="143" t="s">
        <v>263</v>
      </c>
      <c r="E18" s="125" t="str">
        <f>VLOOKUP(Table2575525269101343444647[[#This Row],[PEG]],Table1016[#All],3,FALSE)</f>
        <v>Prompt</v>
      </c>
    </row>
    <row r="19" spans="1:5" x14ac:dyDescent="0.35">
      <c r="A19" s="118">
        <v>12</v>
      </c>
      <c r="B19" s="114" t="s">
        <v>124</v>
      </c>
      <c r="C19" s="109" t="s">
        <v>434</v>
      </c>
      <c r="D19" s="143"/>
      <c r="E19" s="125" t="e">
        <f>VLOOKUP(Table2575525269101343444647[[#This Row],[PEG]],Table1016[#All],3,FALSE)</f>
        <v>#N/A</v>
      </c>
    </row>
    <row r="20" spans="1:5" x14ac:dyDescent="0.35">
      <c r="A20" s="118">
        <v>13</v>
      </c>
      <c r="B20" s="114" t="s">
        <v>115</v>
      </c>
      <c r="C20" s="109" t="str">
        <f>VLOOKUP(Table2575525269101343444647[[#This Row],[PEG]],Table1016[#All],2,FALSE)</f>
        <v>Ok, are you using Credit, Debit, Checking or Savings?</v>
      </c>
      <c r="D20" s="143" t="s">
        <v>286</v>
      </c>
      <c r="E20" s="125" t="str">
        <f>VLOOKUP(Table2575525269101343444647[[#This Row],[PEG]],Table1016[#All],3,FALSE)</f>
        <v>Prompt</v>
      </c>
    </row>
    <row r="21" spans="1:5" x14ac:dyDescent="0.35">
      <c r="A21" s="118">
        <v>14</v>
      </c>
      <c r="B21" s="114" t="s">
        <v>124</v>
      </c>
      <c r="C21" s="109" t="s">
        <v>397</v>
      </c>
      <c r="D21" s="143"/>
      <c r="E21" s="125" t="e">
        <f>VLOOKUP(Table2575525269101343444647[[#This Row],[PEG]],Table1016[#All],3,FALSE)</f>
        <v>#N/A</v>
      </c>
    </row>
    <row r="22" spans="1:5" x14ac:dyDescent="0.35">
      <c r="A22" s="118">
        <v>15</v>
      </c>
      <c r="B22" s="114" t="s">
        <v>115</v>
      </c>
      <c r="C22" s="109" t="str">
        <f>VLOOKUP(Table2575525269101343444647[[#This Row],[PEG]],Table1016[#All],2,FALSE)</f>
        <v>Tell me the card number you wish to use.</v>
      </c>
      <c r="D22" s="143" t="s">
        <v>318</v>
      </c>
      <c r="E22" s="125" t="str">
        <f>VLOOKUP(Table2575525269101343444647[[#This Row],[PEG]],Table1016[#All],3,FALSE)</f>
        <v>Prompt</v>
      </c>
    </row>
    <row r="23" spans="1:5" x14ac:dyDescent="0.35">
      <c r="A23" s="118">
        <v>16</v>
      </c>
      <c r="B23" s="114" t="s">
        <v>124</v>
      </c>
      <c r="C23" s="109" t="s">
        <v>398</v>
      </c>
      <c r="D23" s="143"/>
      <c r="E23" s="125" t="e">
        <f>VLOOKUP(Table2575525269101343444647[[#This Row],[PEG]],Table1016[#All],3,FALSE)</f>
        <v>#N/A</v>
      </c>
    </row>
    <row r="24" spans="1:5" x14ac:dyDescent="0.35">
      <c r="A24" s="118">
        <v>17</v>
      </c>
      <c r="B24" s="114" t="s">
        <v>115</v>
      </c>
      <c r="C24" s="109" t="str">
        <f>VLOOKUP(Table2575525269101343444647[[#This Row],[PEG]],Table1016[#All],2,FALSE)</f>
        <v>Is &lt;ivrCardNbr&gt; the right number?</v>
      </c>
      <c r="D24" s="143" t="s">
        <v>320</v>
      </c>
      <c r="E24" s="125">
        <f>VLOOKUP(Table2575525269101343444647[[#This Row],[PEG]],Table1016[#All],3,FALSE)</f>
        <v>0</v>
      </c>
    </row>
    <row r="25" spans="1:5" s="97" customFormat="1" x14ac:dyDescent="0.35">
      <c r="A25" s="118">
        <v>18</v>
      </c>
      <c r="B25" s="114" t="s">
        <v>124</v>
      </c>
      <c r="C25" s="109" t="s">
        <v>388</v>
      </c>
      <c r="D25" s="143"/>
      <c r="E25" s="125" t="e">
        <f>VLOOKUP(Table2575525269101343444647[[#This Row],[PEG]],Table1016[#All],3,FALSE)</f>
        <v>#N/A</v>
      </c>
    </row>
    <row r="26" spans="1:5" s="97" customFormat="1" ht="29" x14ac:dyDescent="0.35">
      <c r="A26" s="118">
        <v>19</v>
      </c>
      <c r="B26" s="114" t="s">
        <v>115</v>
      </c>
      <c r="C26" s="109" t="str">
        <f>VLOOKUP(Table2575525269101343444647[[#This Row],[PEG]],Table1016[#All],2,FALSE)</f>
        <v>Now, what is the expiration date?  Just say it like this, March &lt;Current Year +3&gt; 
Now go ahead.</v>
      </c>
      <c r="D26" s="143" t="s">
        <v>323</v>
      </c>
      <c r="E26" s="125"/>
    </row>
    <row r="27" spans="1:5" s="97" customFormat="1" x14ac:dyDescent="0.35">
      <c r="A27" s="118">
        <v>20</v>
      </c>
      <c r="B27" s="114" t="s">
        <v>124</v>
      </c>
      <c r="C27" s="109" t="s">
        <v>399</v>
      </c>
      <c r="D27" s="143"/>
      <c r="E27" s="125"/>
    </row>
    <row r="28" spans="1:5" s="97" customFormat="1" ht="29" x14ac:dyDescent="0.35">
      <c r="A28" s="118">
        <v>21</v>
      </c>
      <c r="B28" s="114" t="s">
        <v>115</v>
      </c>
      <c r="C28" s="109" t="str">
        <f>VLOOKUP(Table2575525269101343444647[[#This Row],[PEG]],Table1016[#All],2,FALSE)</f>
        <v>To confirm, you want to pay &lt;ivrPmtAmt&gt; with a card ending in &lt;last 4 digits of ivrCardNbr&gt;.
Is that right?</v>
      </c>
      <c r="D28" s="143" t="s">
        <v>326</v>
      </c>
      <c r="E28" s="125"/>
    </row>
    <row r="29" spans="1:5" s="97" customFormat="1" x14ac:dyDescent="0.35">
      <c r="A29" s="118">
        <v>22</v>
      </c>
      <c r="B29" s="114" t="s">
        <v>124</v>
      </c>
      <c r="C29" s="109" t="s">
        <v>388</v>
      </c>
      <c r="D29" s="143"/>
      <c r="E29" s="125"/>
    </row>
    <row r="30" spans="1:5" s="97" customFormat="1" ht="333.5" x14ac:dyDescent="0.35">
      <c r="A30" s="118">
        <v>23</v>
      </c>
      <c r="B30" s="114" t="s">
        <v>12</v>
      </c>
      <c r="C30" s="109" t="str">
        <f>VLOOKUP(Table2575525269101343444647[[#This Row],[PEG]],Table1016[#All],2,FALSE)</f>
        <v xml:space="preserve">CyberSource – CYB02_AuthCard
Input a card_tokenId or a card_number.
inputs:
clientReference_code = IVR.sessionid+"-" +paymentCount
card_tokenId = ivrStoredCardTokenId	
card_number = ivrCardNbr
card_expirationMonth	= ivrCardExpMM		
card_expirationYear = ivrCardExpYYYY			
totalAmount = ivrPmtAmt		
first_name =
last_name =
actionTokenizeFlag = true		
outputs:
CYB02_submitTimeUtc	
CYB02_id	
CYB02_status	
CYB02_approvalCode					
CYB02_responseCode	
CYB02_errorReason
CYB02_errorMesssage
CYB02_cardTokenId	</v>
      </c>
      <c r="D30" s="143" t="s">
        <v>382</v>
      </c>
      <c r="E30" s="125"/>
    </row>
    <row r="31" spans="1:5" s="97" customFormat="1" ht="232" x14ac:dyDescent="0.35">
      <c r="A31" s="118">
        <v>24</v>
      </c>
      <c r="B31" s="114" t="s">
        <v>12</v>
      </c>
      <c r="C31" s="109" t="str">
        <f>VLOOKUP(Table2575525269101343444647[[#This Row],[PEG]],Table1016[#All],2,FALSE)</f>
        <v>SAP HANA - SAP03_CardPaymentNotification
inputs:
Businesspartner   = SAP01_Partner
Insobject                 = SAP01_Insobject
subscriberID	    = CYB02_cardTokenId
Type		    = ivrCardType	             
Name                        = ivrFirstName + ' ' + ivrLastName				
Expiration	    = ivrExpiration 
Recurring	    = ivrRecurring  
Stored		    = ivrPmtMethodStored  
Last4Digits	    = ivrLast4Digits 
Paymentamount  = ivrPmtAmt 
ReferenceNumber= CYB02_approvalCode
outputs:
SAP03_ConfirmationNum  Payment Confirmation Number</v>
      </c>
      <c r="D31" s="143" t="s">
        <v>374</v>
      </c>
      <c r="E31" s="125"/>
    </row>
    <row r="32" spans="1:5" s="97" customFormat="1" ht="29" x14ac:dyDescent="0.35">
      <c r="A32" s="118">
        <v>25</v>
      </c>
      <c r="B32" s="114" t="s">
        <v>115</v>
      </c>
      <c r="C32" s="109" t="str">
        <f>VLOOKUP(Table2575525269101343444647[[#This Row],[PEG]],Table1016[#All],2,FALSE)</f>
        <v>Today's payment in the amount of &lt;ivrPmtAmt&gt;, has been processed.  Your confirmation number is &lt;ivrConfirmationNum&gt;. Again, that confirmation number is &lt;ivrConfirmationNum&gt;.</v>
      </c>
      <c r="D32" s="143" t="s">
        <v>340</v>
      </c>
      <c r="E32" s="125"/>
    </row>
    <row r="33" spans="1:5" s="97" customFormat="1" x14ac:dyDescent="0.35">
      <c r="A33" s="118">
        <v>26</v>
      </c>
      <c r="B33" s="114" t="s">
        <v>115</v>
      </c>
      <c r="C33" s="109" t="str">
        <f>VLOOKUP(Table2575525269101343444647[[#This Row],[PEG]],Table1016[#All],2,FALSE)</f>
        <v>Would you like me to text the confirmation number?</v>
      </c>
      <c r="D33" s="143" t="s">
        <v>341</v>
      </c>
      <c r="E33" s="125"/>
    </row>
    <row r="34" spans="1:5" s="97" customFormat="1" x14ac:dyDescent="0.35">
      <c r="A34" s="118">
        <v>27</v>
      </c>
      <c r="B34" s="114" t="s">
        <v>124</v>
      </c>
      <c r="C34" s="109" t="s">
        <v>415</v>
      </c>
      <c r="D34" s="143"/>
      <c r="E34" s="125"/>
    </row>
    <row r="35" spans="1:5" s="97" customFormat="1" ht="333.5" x14ac:dyDescent="0.35">
      <c r="A35" s="118">
        <v>28</v>
      </c>
      <c r="B35" s="114" t="s">
        <v>12</v>
      </c>
      <c r="C35" s="130" t="str">
        <f>VLOOKUP(Table2575525269101343444647[[#This Row],[PEG]],Table1016[#All],2,FALSE)</f>
        <v xml:space="preserve">CyberSource – CYB02_AuthCard
Input a card_tokenId or a card_number.
inputs:
clientReference_code = IVR.sessionid+"-" +paymentCount
card_tokenId = ivrStoredCardTokenId	
card_number = ivrCardNbr
card_expirationMonth	= ivrCardExpMM		
card_expirationYear = ivrCardExpYYYY			
totalAmount = ivrPmtAmt		
first_name =
last_name =
actionTokenizeFlag = true		
outputs:
CYB02_submitTimeUtc	
CYB02_id	
CYB02_status	
CYB02_approvalCode					
CYB02_responseCode	
CYB02_errorReason
CYB02_errorMesssage
CYB02_cardTokenId	</v>
      </c>
      <c r="D35" s="143" t="s">
        <v>382</v>
      </c>
      <c r="E35" s="125" t="str">
        <f>VLOOKUP(Table2575525269101343444647[[#This Row],[PEG]],Table1016[#All],3,FALSE)</f>
        <v>DB</v>
      </c>
    </row>
    <row r="36" spans="1:5" ht="232" x14ac:dyDescent="0.35">
      <c r="A36" s="118">
        <v>29</v>
      </c>
      <c r="B36" s="114" t="s">
        <v>12</v>
      </c>
      <c r="C36" s="130" t="str">
        <f>VLOOKUP(Table2575525269101343444647[[#This Row],[PEG]],Table1016[#All],2,FALSE)</f>
        <v>SAP HANA - SAP03_CardPaymentNotification
inputs:
Businesspartner   = SAP01_Partner
Insobject                 = SAP01_Insobject
subscriberID	    = CYB02_cardTokenId
Type		    = ivrCardType	             
Name                        = ivrFirstName + ' ' + ivrLastName				
Expiration	    = ivrExpiration 
Recurring	    = ivrRecurring  
Stored		    = ivrPmtMethodStored  
Last4Digits	    = ivrLast4Digits 
Paymentamount  = ivrPmtAmt 
ReferenceNumber= CYB02_approvalCode
outputs:
SAP03_ConfirmationNum  Payment Confirmation Number</v>
      </c>
      <c r="D36" s="143" t="s">
        <v>374</v>
      </c>
      <c r="E36" s="125" t="str">
        <f>VLOOKUP(Table2575525269101343444647[[#This Row],[PEG]],Table1016[#All],3,FALSE)</f>
        <v>DB</v>
      </c>
    </row>
    <row r="37" spans="1:5" ht="29" x14ac:dyDescent="0.35">
      <c r="A37" s="118">
        <v>30</v>
      </c>
      <c r="B37" s="114" t="s">
        <v>115</v>
      </c>
      <c r="C37" s="109" t="str">
        <f>VLOOKUP(Table2575525269101343444647[[#This Row],[PEG]],Table1016[#All],2,FALSE)</f>
        <v>Today's payment in the amount of &lt;ivrPmtAmt&gt;, has been processed.  Your confirmation number is &lt;ivrConfirmationNum&gt;. Again, that confirmation number is &lt;ivrConfirmationNum&gt;.</v>
      </c>
      <c r="D37" s="143" t="s">
        <v>340</v>
      </c>
      <c r="E37" s="125" t="str">
        <f>VLOOKUP(Table2575525269101343444647[[#This Row],[PEG]],Table1016[#All],3,FALSE)</f>
        <v>Prompt</v>
      </c>
    </row>
    <row r="38" spans="1:5" x14ac:dyDescent="0.35">
      <c r="A38" s="118">
        <v>31</v>
      </c>
      <c r="B38" s="114" t="s">
        <v>115</v>
      </c>
      <c r="C38" s="109" t="str">
        <f>VLOOKUP(Table2575525269101343444647[[#This Row],[PEG]],Table1016[#All],2,FALSE)</f>
        <v>Would you like me to text the confirmation number?</v>
      </c>
      <c r="D38" s="143" t="s">
        <v>341</v>
      </c>
      <c r="E38" s="125" t="str">
        <f>VLOOKUP(Table2575525269101343444647[[#This Row],[PEG]],Table1016[#All],3,FALSE)</f>
        <v>Prompt</v>
      </c>
    </row>
    <row r="39" spans="1:5" x14ac:dyDescent="0.35">
      <c r="A39" s="118">
        <v>32</v>
      </c>
      <c r="B39" s="114" t="s">
        <v>124</v>
      </c>
      <c r="C39" s="109" t="s">
        <v>415</v>
      </c>
      <c r="D39" s="143"/>
      <c r="E39" s="125" t="e">
        <f>VLOOKUP(Table2575525269101343444647[[#This Row],[PEG]],Table1016[#All],3,FALSE)</f>
        <v>#N/A</v>
      </c>
    </row>
    <row r="40" spans="1:5" ht="29" x14ac:dyDescent="0.35">
      <c r="A40" s="118">
        <v>33</v>
      </c>
      <c r="B40" s="114" t="s">
        <v>115</v>
      </c>
      <c r="C40" s="109" t="str">
        <f>VLOOKUP(Table2575525269101343444647[[#This Row],[PEG]],Table1016[#All],2,FALSE)</f>
        <v>Would you like to use a different account to pay the remaining balance?  Your account will be suspended if payment is not received within 60 days.</v>
      </c>
      <c r="D40" s="143" t="s">
        <v>357</v>
      </c>
      <c r="E40" s="125" t="str">
        <f>VLOOKUP(Table2575525269101343444647[[#This Row],[PEG]],Table1016[#All],3,FALSE)</f>
        <v>Prompt</v>
      </c>
    </row>
    <row r="41" spans="1:5" x14ac:dyDescent="0.35">
      <c r="A41" s="118">
        <v>34</v>
      </c>
      <c r="B41" s="114" t="s">
        <v>124</v>
      </c>
      <c r="C41" s="109" t="s">
        <v>415</v>
      </c>
      <c r="D41" s="143"/>
      <c r="E41" s="32"/>
    </row>
    <row r="42" spans="1:5" ht="29" x14ac:dyDescent="0.35">
      <c r="A42" s="118">
        <v>35</v>
      </c>
      <c r="B42" s="114" t="s">
        <v>115</v>
      </c>
      <c r="C42" s="109" t="str">
        <f>VLOOKUP(Table2575525269101343444647[[#This Row],[PEG]],Table1016[#All],2,FALSE)</f>
        <v>Thank you for your payment today.  For future transactions, you can access your plan details or manage your account anytime online at members.lacare.com.</v>
      </c>
      <c r="D42" s="143" t="s">
        <v>364</v>
      </c>
      <c r="E42" s="32"/>
    </row>
    <row r="43" spans="1:5" x14ac:dyDescent="0.35">
      <c r="A43" s="118">
        <v>36</v>
      </c>
      <c r="B43" s="114" t="s">
        <v>13</v>
      </c>
      <c r="C43" s="109" t="s">
        <v>13</v>
      </c>
      <c r="D43" s="143"/>
      <c r="E43" s="32"/>
    </row>
    <row r="44" spans="1:5" x14ac:dyDescent="0.35">
      <c r="C44" s="26"/>
    </row>
    <row r="45" spans="1:5" x14ac:dyDescent="0.35">
      <c r="C45" s="26"/>
    </row>
    <row r="46" spans="1:5" x14ac:dyDescent="0.35">
      <c r="C46" s="26"/>
    </row>
    <row r="47" spans="1:5" x14ac:dyDescent="0.35">
      <c r="C47" s="26"/>
    </row>
    <row r="48" spans="1:5" x14ac:dyDescent="0.35">
      <c r="C48" s="26"/>
    </row>
    <row r="49" spans="3:3" x14ac:dyDescent="0.35">
      <c r="C49" s="26"/>
    </row>
    <row r="50" spans="3:3" x14ac:dyDescent="0.35">
      <c r="C50" s="26"/>
    </row>
    <row r="51" spans="3:3" x14ac:dyDescent="0.35">
      <c r="C51" s="26"/>
    </row>
    <row r="52" spans="3:3" x14ac:dyDescent="0.35">
      <c r="C52" s="26"/>
    </row>
    <row r="53" spans="3:3" x14ac:dyDescent="0.35">
      <c r="C53" s="26"/>
    </row>
    <row r="54" spans="3:3" x14ac:dyDescent="0.35">
      <c r="C54" s="26"/>
    </row>
    <row r="55" spans="3:3" x14ac:dyDescent="0.35">
      <c r="C55" s="26"/>
    </row>
    <row r="56" spans="3:3" x14ac:dyDescent="0.35">
      <c r="C56" s="26"/>
    </row>
    <row r="57" spans="3:3" x14ac:dyDescent="0.35">
      <c r="C57" s="27"/>
    </row>
    <row r="58" spans="3:3" x14ac:dyDescent="0.35">
      <c r="C58" s="27"/>
    </row>
    <row r="59" spans="3:3" x14ac:dyDescent="0.35">
      <c r="C59" s="27"/>
    </row>
  </sheetData>
  <mergeCells count="1">
    <mergeCell ref="A1:B1"/>
  </mergeCells>
  <conditionalFormatting sqref="E41:E43">
    <cfRule type="containsText" dxfId="5564" priority="24" operator="containsText" text="WEB SERVICE">
      <formula>NOT(ISERROR(SEARCH("WEB SERVICE",E41)))</formula>
    </cfRule>
    <cfRule type="containsText" dxfId="5563" priority="25" operator="containsText" text="DB">
      <formula>NOT(ISERROR(SEARCH("DB",E41)))</formula>
    </cfRule>
  </conditionalFormatting>
  <conditionalFormatting sqref="C42:C9998 C18:C34 C9:C13">
    <cfRule type="expression" dxfId="5562" priority="27">
      <formula>$B9="Dial"</formula>
    </cfRule>
    <cfRule type="expression" dxfId="5561" priority="29">
      <formula>$B9="HANGUP"</formula>
    </cfRule>
  </conditionalFormatting>
  <conditionalFormatting sqref="B8:B41">
    <cfRule type="containsText" dxfId="5560" priority="11" operator="containsText" text="Hear">
      <formula>NOT(ISERROR(SEARCH("Hear",B8)))</formula>
    </cfRule>
  </conditionalFormatting>
  <conditionalFormatting sqref="C16 C37:C41">
    <cfRule type="expression" dxfId="5559" priority="12">
      <formula>$B16="Dial"</formula>
    </cfRule>
    <cfRule type="expression" dxfId="5558" priority="14">
      <formula>$B16="HANGUP"</formula>
    </cfRule>
  </conditionalFormatting>
  <conditionalFormatting sqref="C16 C37:C43 C18:C34 C9:C13">
    <cfRule type="expression" dxfId="5557" priority="13">
      <formula>$B9="Speak"</formula>
    </cfRule>
  </conditionalFormatting>
  <conditionalFormatting sqref="C35 C14:C15">
    <cfRule type="expression" dxfId="5556" priority="9">
      <formula>$B14="Dial"</formula>
    </cfRule>
    <cfRule type="expression" dxfId="5555" priority="10">
      <formula>$B14="HANGUP"</formula>
    </cfRule>
  </conditionalFormatting>
  <conditionalFormatting sqref="C8 C17">
    <cfRule type="expression" dxfId="5554" priority="7">
      <formula>$B8="Dial"</formula>
    </cfRule>
    <cfRule type="expression" dxfId="5553" priority="8">
      <formula>$B8="HANGUP"</formula>
    </cfRule>
  </conditionalFormatting>
  <conditionalFormatting sqref="B42:B43">
    <cfRule type="containsText" dxfId="5552" priority="3" operator="containsText" text="Hear">
      <formula>NOT(ISERROR(SEARCH("Hear",B42)))</formula>
    </cfRule>
  </conditionalFormatting>
  <conditionalFormatting sqref="C36">
    <cfRule type="expression" dxfId="5551" priority="1">
      <formula>$B36="Dial"</formula>
    </cfRule>
    <cfRule type="expression" dxfId="5550" priority="2">
      <formula>$B36="HANGUP"</formula>
    </cfRule>
  </conditionalFormatting>
  <hyperlinks>
    <hyperlink ref="A1" location="'Test Case Overview'!A1" display="Return to Test Case Overview" xr:uid="{00000000-0004-0000-1300-000000000000}"/>
  </hyperlinks>
  <pageMargins left="0.7" right="0.7" top="0.75" bottom="0.75" header="0.3" footer="0.3"/>
  <pageSetup orientation="portrait" r:id="rId1"/>
  <tableParts count="1">
    <tablePart r:id="rId2"/>
  </tableParts>
  <extLst>
    <ext xmlns:x14="http://schemas.microsoft.com/office/spreadsheetml/2009/9/main" uri="{78C0D931-6437-407d-A8EE-F0AAD7539E65}">
      <x14:conditionalFormattings>
        <x14:conditionalFormatting xmlns:xm="http://schemas.microsoft.com/office/excel/2006/main">
          <x14:cfRule type="containsText" priority="772" operator="containsText" text="WEB SERVICE" id="{F4A490C0-A4E8-4B15-8A5A-BAFFDDCCE630}">
            <xm:f>NOT(ISERROR(SEARCH("WEB SERVICE",'TC1'!#REF!)))</xm:f>
            <x14:dxf>
              <font>
                <color rgb="FF9C0006"/>
              </font>
              <fill>
                <patternFill>
                  <bgColor rgb="FFFFC7CE"/>
                </patternFill>
              </fill>
            </x14:dxf>
          </x14:cfRule>
          <x14:cfRule type="containsText" priority="773" operator="containsText" text="DB" id="{79551DF9-D5CA-4A68-A1CF-9F024705FE71}">
            <xm:f>NOT(ISERROR(SEARCH("DB",'TC1'!#REF!)))</xm:f>
            <x14:dxf>
              <font>
                <color rgb="FF006100"/>
              </font>
              <fill>
                <patternFill>
                  <bgColor rgb="FFC6EFCE"/>
                </patternFill>
              </fill>
            </x14:dxf>
          </x14:cfRule>
          <xm:sqref>E14:E40</xm:sqref>
        </x14:conditionalFormatting>
        <x14:conditionalFormatting xmlns:xm="http://schemas.microsoft.com/office/excel/2006/main">
          <x14:cfRule type="containsText" priority="3627" operator="containsText" text="WEB SERVICE" id="{F4A490C0-A4E8-4B15-8A5A-BAFFDDCCE630}">
            <xm:f>NOT(ISERROR(SEARCH("WEB SERVICE",'TC1'!E9)))</xm:f>
            <x14:dxf>
              <font>
                <color rgb="FF9C0006"/>
              </font>
              <fill>
                <patternFill>
                  <bgColor rgb="FFFFC7CE"/>
                </patternFill>
              </fill>
            </x14:dxf>
          </x14:cfRule>
          <x14:cfRule type="containsText" priority="3628" operator="containsText" text="DB" id="{79551DF9-D5CA-4A68-A1CF-9F024705FE71}">
            <xm:f>NOT(ISERROR(SEARCH("DB",'TC1'!E9)))</xm:f>
            <x14:dxf>
              <font>
                <color rgb="FF006100"/>
              </font>
              <fill>
                <patternFill>
                  <bgColor rgb="FFC6EFCE"/>
                </patternFill>
              </fill>
            </x14:dxf>
          </x14:cfRule>
          <xm:sqref>E9:E12</xm:sqref>
        </x14:conditionalFormatting>
        <x14:conditionalFormatting xmlns:xm="http://schemas.microsoft.com/office/excel/2006/main">
          <x14:cfRule type="containsText" priority="6197" operator="containsText" text="WEB SERVICE" id="{F4A490C0-A4E8-4B15-8A5A-BAFFDDCCE630}">
            <xm:f>NOT(ISERROR(SEARCH("WEB SERVICE",'TC1'!E15)))</xm:f>
            <x14:dxf>
              <font>
                <color rgb="FF9C0006"/>
              </font>
              <fill>
                <patternFill>
                  <bgColor rgb="FFFFC7CE"/>
                </patternFill>
              </fill>
            </x14:dxf>
          </x14:cfRule>
          <x14:cfRule type="containsText" priority="6198" operator="containsText" text="DB" id="{79551DF9-D5CA-4A68-A1CF-9F024705FE71}">
            <xm:f>NOT(ISERROR(SEARCH("DB",'TC1'!E15)))</xm:f>
            <x14:dxf>
              <font>
                <color rgb="FF006100"/>
              </font>
              <fill>
                <patternFill>
                  <bgColor rgb="FFC6EFCE"/>
                </patternFill>
              </fill>
            </x14:dxf>
          </x14:cfRule>
          <xm:sqref>E13</xm:sqref>
        </x14:conditionalFormatting>
      </x14:conditionalFormattings>
    </ext>
  </extLst>
</worksheet>
</file>

<file path=xl/worksheets/sheet2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C700-000000000000}">
  <sheetPr codeName="Sheet201"/>
  <dimension ref="A1:E44"/>
  <sheetViews>
    <sheetView zoomScaleNormal="100" workbookViewId="0">
      <selection sqref="A1:E44"/>
    </sheetView>
  </sheetViews>
  <sheetFormatPr defaultRowHeight="14.5" x14ac:dyDescent="0.35"/>
  <cols>
    <col min="1" max="1" width="14.453125" bestFit="1" customWidth="1"/>
    <col min="2" max="2" width="42.6328125" customWidth="1"/>
    <col min="3" max="3" width="106.1796875" customWidth="1"/>
    <col min="4" max="4" width="21.81640625" bestFit="1" customWidth="1"/>
    <col min="5" max="5" width="20.6328125" customWidth="1"/>
  </cols>
  <sheetData>
    <row r="1" spans="1:5" ht="18.5" x14ac:dyDescent="0.35">
      <c r="A1" s="192" t="s">
        <v>4</v>
      </c>
      <c r="B1" s="192"/>
      <c r="C1" s="105"/>
      <c r="D1" s="111"/>
      <c r="E1" s="97"/>
    </row>
    <row r="2" spans="1:5" x14ac:dyDescent="0.35">
      <c r="A2" s="106" t="s">
        <v>5</v>
      </c>
      <c r="B2" s="107" t="str">
        <f ca="1">MID(CELL("filename",A1),FIND("]",CELL("filename",A1))+1,LEN(CELL("filename",A1))-FIND("]",CELL("filename",A1)))</f>
        <v>TC199</v>
      </c>
      <c r="C2" s="98"/>
      <c r="D2" s="111"/>
      <c r="E2" s="97"/>
    </row>
    <row r="3" spans="1:5" x14ac:dyDescent="0.35">
      <c r="A3" s="104" t="s">
        <v>19</v>
      </c>
      <c r="B3" s="112" t="e">
        <f ca="1">VLOOKUP(B2,Table53[#All],2,FALSE)</f>
        <v>#N/A</v>
      </c>
      <c r="C3" s="98"/>
      <c r="D3" s="111"/>
      <c r="E3" s="97"/>
    </row>
    <row r="4" spans="1:5" ht="29" x14ac:dyDescent="0.35">
      <c r="A4" s="113" t="s">
        <v>20</v>
      </c>
      <c r="B4" s="99" t="e">
        <f ca="1">VLOOKUP(B2,Table53[#All],4,FALSE)</f>
        <v>#N/A</v>
      </c>
      <c r="C4" s="98"/>
      <c r="D4" s="111"/>
      <c r="E4" s="97"/>
    </row>
    <row r="5" spans="1:5" x14ac:dyDescent="0.35">
      <c r="A5" s="104" t="s">
        <v>6</v>
      </c>
      <c r="B5" s="77" t="e">
        <f ca="1">VLOOKUP(B2,Table53[#All],3,FALSE)</f>
        <v>#N/A</v>
      </c>
      <c r="C5" s="98"/>
      <c r="D5" s="111"/>
      <c r="E5" s="97"/>
    </row>
    <row r="6" spans="1:5" x14ac:dyDescent="0.35">
      <c r="A6" s="97"/>
      <c r="B6" s="97"/>
      <c r="C6" s="98"/>
      <c r="D6" s="111"/>
      <c r="E6" s="97"/>
    </row>
    <row r="7" spans="1:5" ht="15.5" x14ac:dyDescent="0.35">
      <c r="A7" s="100" t="s">
        <v>7</v>
      </c>
      <c r="B7" s="101" t="s">
        <v>8</v>
      </c>
      <c r="C7" s="102" t="s">
        <v>9</v>
      </c>
      <c r="D7" s="102" t="s">
        <v>14</v>
      </c>
      <c r="E7" s="103" t="s">
        <v>10</v>
      </c>
    </row>
    <row r="8" spans="1:5" x14ac:dyDescent="0.35">
      <c r="A8" s="118">
        <v>1</v>
      </c>
      <c r="B8" s="114" t="s">
        <v>114</v>
      </c>
      <c r="C8" s="109" t="s">
        <v>125</v>
      </c>
      <c r="D8" s="128"/>
      <c r="E8" s="125" t="s">
        <v>11</v>
      </c>
    </row>
    <row r="9" spans="1:5" x14ac:dyDescent="0.35">
      <c r="A9" s="118">
        <v>2</v>
      </c>
      <c r="B9" s="114" t="s">
        <v>12</v>
      </c>
      <c r="C9" s="109" t="e">
        <f>VLOOKUP(Table257519913140106110151155170178204303308[[#This Row],[PEG]],Table1016[#All],2,FALSE)</f>
        <v>#N/A</v>
      </c>
      <c r="D9" s="128"/>
      <c r="E9" s="125" t="e">
        <f>VLOOKUP(Table257519913140106110151155170178204303308[[#This Row],[PEG]],Table1016[#All],3,FALSE)</f>
        <v>#N/A</v>
      </c>
    </row>
    <row r="10" spans="1:5" x14ac:dyDescent="0.35">
      <c r="A10" s="118">
        <v>3</v>
      </c>
      <c r="B10" s="114" t="s">
        <v>115</v>
      </c>
      <c r="C10" s="109" t="e">
        <f>VLOOKUP(Table257519913140106110151155170178204303308[[#This Row],[PEG]],Table1016[#All],2,FALSE)</f>
        <v>#N/A</v>
      </c>
      <c r="D10" s="128"/>
      <c r="E10" s="125" t="e">
        <f>VLOOKUP(Table257519913140106110151155170178204303308[[#This Row],[PEG]],Table1016[#All],3,FALSE)</f>
        <v>#N/A</v>
      </c>
    </row>
    <row r="11" spans="1:5" x14ac:dyDescent="0.35">
      <c r="A11" s="118">
        <v>4</v>
      </c>
      <c r="B11" s="114" t="s">
        <v>115</v>
      </c>
      <c r="C11" s="109" t="e">
        <f>VLOOKUP(Table257519913140106110151155170178204303308[[#This Row],[PEG]],Table1016[#All],2,FALSE)</f>
        <v>#N/A</v>
      </c>
      <c r="D11" s="128"/>
      <c r="E11" s="125" t="e">
        <f>VLOOKUP(Table257519913140106110151155170178204303308[[#This Row],[PEG]],Table1016[#All],3,FALSE)</f>
        <v>#N/A</v>
      </c>
    </row>
    <row r="12" spans="1:5" x14ac:dyDescent="0.35">
      <c r="A12" s="118">
        <v>5</v>
      </c>
      <c r="B12" s="114" t="s">
        <v>114</v>
      </c>
      <c r="C12" s="109" t="e">
        <f>VLOOKUP(Table257519913140106110151155170178204303308[[#This Row],[PEG]],Table1016[#All],2,FALSE)</f>
        <v>#N/A</v>
      </c>
      <c r="D12" s="128"/>
      <c r="E12" s="125" t="e">
        <f>VLOOKUP(Table257519913140106110151155170178204303308[[#This Row],[PEG]],Table1016[#All],3,FALSE)</f>
        <v>#N/A</v>
      </c>
    </row>
    <row r="13" spans="1:5" x14ac:dyDescent="0.35">
      <c r="A13" s="118">
        <v>6</v>
      </c>
      <c r="B13" s="114" t="s">
        <v>115</v>
      </c>
      <c r="C13" s="109" t="e">
        <f>VLOOKUP(Table257519913140106110151155170178204303308[[#This Row],[PEG]],Table1016[#All],2,FALSE)</f>
        <v>#N/A</v>
      </c>
      <c r="D13" s="128"/>
      <c r="E13" s="125" t="e">
        <f>VLOOKUP(Table257519913140106110151155170178204303308[[#This Row],[PEG]],Table1016[#All],3,FALSE)</f>
        <v>#N/A</v>
      </c>
    </row>
    <row r="14" spans="1:5" x14ac:dyDescent="0.35">
      <c r="A14" s="118">
        <v>7</v>
      </c>
      <c r="B14" s="114" t="s">
        <v>114</v>
      </c>
      <c r="C14" s="109" t="e">
        <f>VLOOKUP(Table257519913140106110151155170178204303308[[#This Row],[PEG]],Table1016[#All],2,FALSE)</f>
        <v>#N/A</v>
      </c>
      <c r="D14" s="128"/>
      <c r="E14" s="125" t="e">
        <f>VLOOKUP(Table257519913140106110151155170178204303308[[#This Row],[PEG]],Table1016[#All],3,FALSE)</f>
        <v>#N/A</v>
      </c>
    </row>
    <row r="15" spans="1:5" x14ac:dyDescent="0.35">
      <c r="A15" s="118">
        <v>8</v>
      </c>
      <c r="B15" s="114" t="s">
        <v>115</v>
      </c>
      <c r="C15" s="109" t="e">
        <f>VLOOKUP(Table257519913140106110151155170178204303308[[#This Row],[PEG]],Table1016[#All],2,FALSE)</f>
        <v>#N/A</v>
      </c>
      <c r="D15" s="116"/>
      <c r="E15" s="125" t="e">
        <f>VLOOKUP(Table257519913140106110151155170178204303308[[#This Row],[PEG]],Table1016[#All],3,FALSE)</f>
        <v>#N/A</v>
      </c>
    </row>
    <row r="16" spans="1:5" x14ac:dyDescent="0.35">
      <c r="A16" s="118">
        <v>9</v>
      </c>
      <c r="B16" s="114" t="s">
        <v>12</v>
      </c>
      <c r="C16" s="109" t="e">
        <f>VLOOKUP(Table257519913140106110151155170178204303308[[#This Row],[PEG]],Table1016[#All],2,FALSE)</f>
        <v>#N/A</v>
      </c>
      <c r="D16" s="116"/>
      <c r="E16" s="125" t="e">
        <f>VLOOKUP(Table257519913140106110151155170178204303308[[#This Row],[PEG]],Table1016[#All],3,FALSE)</f>
        <v>#N/A</v>
      </c>
    </row>
    <row r="17" spans="1:5" x14ac:dyDescent="0.35">
      <c r="A17" s="118">
        <v>10</v>
      </c>
      <c r="B17" s="114" t="s">
        <v>12</v>
      </c>
      <c r="C17" s="109" t="e">
        <f>VLOOKUP(Table257519913140106110151155170178204303308[[#This Row],[PEG]],Table1016[#All],2,FALSE)</f>
        <v>#N/A</v>
      </c>
      <c r="D17" s="117"/>
      <c r="E17" s="125" t="e">
        <f>VLOOKUP(Table257519913140106110151155170178204303308[[#This Row],[PEG]],Table1016[#All],3,FALSE)</f>
        <v>#N/A</v>
      </c>
    </row>
    <row r="18" spans="1:5" x14ac:dyDescent="0.35">
      <c r="A18" s="118">
        <v>11</v>
      </c>
      <c r="B18" s="114" t="s">
        <v>115</v>
      </c>
      <c r="C18" s="109" t="e">
        <f>VLOOKUP(Table257519913140106110151155170178204303308[[#This Row],[PEG]],Table1016[#All],2,FALSE)</f>
        <v>#N/A</v>
      </c>
      <c r="D18" s="117"/>
      <c r="E18" s="125" t="e">
        <f>VLOOKUP(Table257519913140106110151155170178204303308[[#This Row],[PEG]],Table1016[#All],3,FALSE)</f>
        <v>#N/A</v>
      </c>
    </row>
    <row r="19" spans="1:5" x14ac:dyDescent="0.35">
      <c r="A19" s="118">
        <v>12</v>
      </c>
      <c r="B19" s="114" t="s">
        <v>115</v>
      </c>
      <c r="C19" s="109" t="e">
        <f>VLOOKUP(Table257519913140106110151155170178204303308[[#This Row],[PEG]],Table1016[#All],2,FALSE)</f>
        <v>#N/A</v>
      </c>
      <c r="D19" s="117"/>
      <c r="E19" s="125" t="e">
        <f>VLOOKUP(Table257519913140106110151155170178204303308[[#This Row],[PEG]],Table1016[#All],3,FALSE)</f>
        <v>#N/A</v>
      </c>
    </row>
    <row r="20" spans="1:5" x14ac:dyDescent="0.35">
      <c r="A20" s="118">
        <v>13</v>
      </c>
      <c r="B20" s="114" t="s">
        <v>114</v>
      </c>
      <c r="C20" s="109" t="e">
        <f>VLOOKUP(Table257519913140106110151155170178204303308[[#This Row],[PEG]],Table1016[#All],2,FALSE)</f>
        <v>#N/A</v>
      </c>
      <c r="D20" s="117"/>
      <c r="E20" s="125" t="e">
        <f>VLOOKUP(Table257519913140106110151155170178204303308[[#This Row],[PEG]],Table1016[#All],3,FALSE)</f>
        <v>#N/A</v>
      </c>
    </row>
    <row r="21" spans="1:5" x14ac:dyDescent="0.35">
      <c r="A21" s="118">
        <v>14</v>
      </c>
      <c r="B21" s="114" t="s">
        <v>12</v>
      </c>
      <c r="C21" s="109" t="e">
        <f>VLOOKUP(Table257519913140106110151155170178204303308[[#This Row],[PEG]],Table1016[#All],2,FALSE)</f>
        <v>#N/A</v>
      </c>
      <c r="D21" s="117"/>
      <c r="E21" s="125" t="e">
        <f>VLOOKUP(Table257519913140106110151155170178204303308[[#This Row],[PEG]],Table1016[#All],3,FALSE)</f>
        <v>#N/A</v>
      </c>
    </row>
    <row r="22" spans="1:5" x14ac:dyDescent="0.35">
      <c r="A22" s="118">
        <v>15</v>
      </c>
      <c r="B22" s="114" t="s">
        <v>12</v>
      </c>
      <c r="C22" s="109" t="e">
        <f>VLOOKUP(Table257519913140106110151155170178204303308[[#This Row],[PEG]],Table1016[#All],2,FALSE)</f>
        <v>#N/A</v>
      </c>
      <c r="D22" s="117"/>
      <c r="E22" s="125" t="e">
        <f>VLOOKUP(Table257519913140106110151155170178204303308[[#This Row],[PEG]],Table1016[#All],3,FALSE)</f>
        <v>#N/A</v>
      </c>
    </row>
    <row r="23" spans="1:5" x14ac:dyDescent="0.35">
      <c r="A23" s="118">
        <v>16</v>
      </c>
      <c r="B23" s="114" t="s">
        <v>115</v>
      </c>
      <c r="C23" s="109" t="e">
        <f>VLOOKUP(Table257519913140106110151155170178204303308[[#This Row],[PEG]],Table1016[#All],2,FALSE)</f>
        <v>#N/A</v>
      </c>
      <c r="D23" s="117"/>
      <c r="E23" s="125" t="e">
        <f>VLOOKUP(Table257519913140106110151155170178204303308[[#This Row],[PEG]],Table1016[#All],3,FALSE)</f>
        <v>#N/A</v>
      </c>
    </row>
    <row r="24" spans="1:5" x14ac:dyDescent="0.35">
      <c r="A24" s="118">
        <v>17</v>
      </c>
      <c r="B24" s="114" t="s">
        <v>114</v>
      </c>
      <c r="C24" s="109" t="e">
        <f>VLOOKUP(Table257519913140106110151155170178204303308[[#This Row],[PEG]],Table1016[#All],2,FALSE)</f>
        <v>#N/A</v>
      </c>
      <c r="D24" s="117"/>
      <c r="E24" s="125" t="e">
        <f>VLOOKUP(Table257519913140106110151155170178204303308[[#This Row],[PEG]],Table1016[#All],3,FALSE)</f>
        <v>#N/A</v>
      </c>
    </row>
    <row r="25" spans="1:5" x14ac:dyDescent="0.35">
      <c r="A25" s="118">
        <v>18</v>
      </c>
      <c r="B25" s="114" t="s">
        <v>12</v>
      </c>
      <c r="C25" s="109" t="e">
        <f>VLOOKUP(Table257519913140106110151155170178204303308[[#This Row],[PEG]],Table1016[#All],2,FALSE)</f>
        <v>#N/A</v>
      </c>
      <c r="D25" s="117"/>
      <c r="E25" s="125" t="e">
        <f>VLOOKUP(Table257519913140106110151155170178204303308[[#This Row],[PEG]],Table1016[#All],3,FALSE)</f>
        <v>#N/A</v>
      </c>
    </row>
    <row r="26" spans="1:5" x14ac:dyDescent="0.35">
      <c r="A26" s="118">
        <v>19</v>
      </c>
      <c r="B26" s="114" t="s">
        <v>12</v>
      </c>
      <c r="C26" s="109" t="e">
        <f>VLOOKUP(Table257519913140106110151155170178204303308[[#This Row],[PEG]],Table1016[#All],2,FALSE)</f>
        <v>#N/A</v>
      </c>
      <c r="D26" s="117"/>
      <c r="E26" s="125" t="e">
        <f>VLOOKUP(Table257519913140106110151155170178204303308[[#This Row],[PEG]],Table1016[#All],3,FALSE)</f>
        <v>#N/A</v>
      </c>
    </row>
    <row r="27" spans="1:5" x14ac:dyDescent="0.35">
      <c r="A27" s="118">
        <v>20</v>
      </c>
      <c r="B27" s="114" t="s">
        <v>115</v>
      </c>
      <c r="C27" s="109" t="e">
        <f>VLOOKUP(Table257519913140106110151155170178204303308[[#This Row],[PEG]],Table1016[#All],2,FALSE)</f>
        <v>#N/A</v>
      </c>
      <c r="D27" s="117"/>
      <c r="E27" s="125" t="e">
        <f>VLOOKUP(Table257519913140106110151155170178204303308[[#This Row],[PEG]],Table1016[#All],3,FALSE)</f>
        <v>#N/A</v>
      </c>
    </row>
    <row r="28" spans="1:5" x14ac:dyDescent="0.35">
      <c r="A28" s="118">
        <v>21</v>
      </c>
      <c r="B28" s="114" t="s">
        <v>114</v>
      </c>
      <c r="C28" s="109" t="e">
        <f>VLOOKUP(Table257519913140106110151155170178204303308[[#This Row],[PEG]],Table1016[#All],2,FALSE)</f>
        <v>#N/A</v>
      </c>
      <c r="D28" s="117"/>
      <c r="E28" s="125" t="e">
        <f>VLOOKUP(Table257519913140106110151155170178204303308[[#This Row],[PEG]],Table1016[#All],3,FALSE)</f>
        <v>#N/A</v>
      </c>
    </row>
    <row r="29" spans="1:5" x14ac:dyDescent="0.35">
      <c r="A29" s="118">
        <v>22</v>
      </c>
      <c r="B29" s="114" t="s">
        <v>12</v>
      </c>
      <c r="C29" s="109" t="e">
        <f>VLOOKUP(Table257519913140106110151155170178204303308[[#This Row],[PEG]],Table1016[#All],2,FALSE)</f>
        <v>#N/A</v>
      </c>
      <c r="D29" s="117"/>
      <c r="E29" s="125" t="e">
        <f>VLOOKUP(Table257519913140106110151155170178204303308[[#This Row],[PEG]],Table1016[#All],3,FALSE)</f>
        <v>#N/A</v>
      </c>
    </row>
    <row r="30" spans="1:5" x14ac:dyDescent="0.35">
      <c r="A30" s="118">
        <v>23</v>
      </c>
      <c r="B30" s="114" t="s">
        <v>12</v>
      </c>
      <c r="C30" s="109" t="e">
        <f>VLOOKUP(Table257519913140106110151155170178204303308[[#This Row],[PEG]],Table1016[#All],2,FALSE)</f>
        <v>#N/A</v>
      </c>
      <c r="D30" s="117"/>
      <c r="E30" s="125" t="e">
        <f>VLOOKUP(Table257519913140106110151155170178204303308[[#This Row],[PEG]],Table1016[#All],3,FALSE)</f>
        <v>#N/A</v>
      </c>
    </row>
    <row r="31" spans="1:5" x14ac:dyDescent="0.35">
      <c r="A31" s="118">
        <v>24</v>
      </c>
      <c r="B31" s="114" t="s">
        <v>115</v>
      </c>
      <c r="C31" s="109" t="e">
        <f>VLOOKUP(Table257519913140106110151155170178204303308[[#This Row],[PEG]],Table1016[#All],2,FALSE)</f>
        <v>#N/A</v>
      </c>
      <c r="D31" s="117"/>
      <c r="E31" s="125" t="e">
        <f>VLOOKUP(Table257519913140106110151155170178204303308[[#This Row],[PEG]],Table1016[#All],3,FALSE)</f>
        <v>#N/A</v>
      </c>
    </row>
    <row r="32" spans="1:5" x14ac:dyDescent="0.35">
      <c r="A32" s="118">
        <v>25</v>
      </c>
      <c r="B32" s="114" t="s">
        <v>115</v>
      </c>
      <c r="C32" s="109" t="e">
        <f>VLOOKUP(Table257519913140106110151155170178204303308[[#This Row],[PEG]],Table1016[#All],2,FALSE)</f>
        <v>#N/A</v>
      </c>
      <c r="D32" s="117"/>
      <c r="E32" s="125" t="e">
        <f>VLOOKUP(Table257519913140106110151155170178204303308[[#This Row],[PEG]],Table1016[#All],3,FALSE)</f>
        <v>#N/A</v>
      </c>
    </row>
    <row r="33" spans="1:5" x14ac:dyDescent="0.35">
      <c r="A33" s="118">
        <v>26</v>
      </c>
      <c r="B33" s="114" t="s">
        <v>124</v>
      </c>
      <c r="C33" s="109" t="e">
        <f>VLOOKUP(Table257519913140106110151155170178204303308[[#This Row],[PEG]],Table1016[#All],2,FALSE)</f>
        <v>#N/A</v>
      </c>
      <c r="D33" s="117"/>
      <c r="E33" s="125" t="e">
        <f>VLOOKUP(Table257519913140106110151155170178204303308[[#This Row],[PEG]],Table1016[#All],3,FALSE)</f>
        <v>#N/A</v>
      </c>
    </row>
    <row r="34" spans="1:5" x14ac:dyDescent="0.35">
      <c r="A34" s="118">
        <v>27</v>
      </c>
      <c r="B34" s="114" t="s">
        <v>115</v>
      </c>
      <c r="C34" s="109" t="e">
        <f>VLOOKUP(Table257519913140106110151155170178204303308[[#This Row],[PEG]],Table1016[#All],2,FALSE)</f>
        <v>#N/A</v>
      </c>
      <c r="D34" s="117"/>
      <c r="E34" s="125" t="e">
        <f>VLOOKUP(Table257519913140106110151155170178204303308[[#This Row],[PEG]],Table1016[#All],3,FALSE)</f>
        <v>#N/A</v>
      </c>
    </row>
    <row r="35" spans="1:5" x14ac:dyDescent="0.35">
      <c r="A35" s="118">
        <v>28</v>
      </c>
      <c r="B35" s="114" t="s">
        <v>124</v>
      </c>
      <c r="C35" s="109" t="e">
        <f>VLOOKUP(Table257519913140106110151155170178204303308[[#This Row],[PEG]],Table1016[#All],2,FALSE)</f>
        <v>#N/A</v>
      </c>
      <c r="D35" s="117"/>
      <c r="E35" s="125" t="e">
        <f>VLOOKUP(Table257519913140106110151155170178204303308[[#This Row],[PEG]],Table1016[#All],3,FALSE)</f>
        <v>#N/A</v>
      </c>
    </row>
    <row r="36" spans="1:5" x14ac:dyDescent="0.35">
      <c r="A36" s="118">
        <v>29</v>
      </c>
      <c r="B36" s="114" t="s">
        <v>115</v>
      </c>
      <c r="C36" s="109" t="e">
        <f>VLOOKUP(Table257519913140106110151155170178204303308[[#This Row],[PEG]],Table1016[#All],2,FALSE)</f>
        <v>#N/A</v>
      </c>
      <c r="D36" s="117"/>
      <c r="E36" s="125" t="e">
        <f>VLOOKUP(Table257519913140106110151155170178204303308[[#This Row],[PEG]],Table1016[#All],3,FALSE)</f>
        <v>#N/A</v>
      </c>
    </row>
    <row r="37" spans="1:5" x14ac:dyDescent="0.35">
      <c r="A37" s="118">
        <v>30</v>
      </c>
      <c r="B37" s="114" t="s">
        <v>12</v>
      </c>
      <c r="C37" s="109" t="e">
        <f>VLOOKUP(Table257519913140106110151155170178204303308[[#This Row],[PEG]],Table1016[#All],2,FALSE)</f>
        <v>#N/A</v>
      </c>
      <c r="D37" s="117"/>
      <c r="E37" s="125" t="e">
        <f>VLOOKUP(Table257519913140106110151155170178204303308[[#This Row],[PEG]],Table1016[#All],3,FALSE)</f>
        <v>#N/A</v>
      </c>
    </row>
    <row r="38" spans="1:5" x14ac:dyDescent="0.35">
      <c r="A38" s="118">
        <v>31</v>
      </c>
      <c r="B38" s="114" t="s">
        <v>12</v>
      </c>
      <c r="C38" s="109" t="e">
        <f>VLOOKUP(Table257519913140106110151155170178204303308[[#This Row],[PEG]],Table1016[#All],2,FALSE)</f>
        <v>#N/A</v>
      </c>
      <c r="D38" s="117"/>
      <c r="E38" s="125" t="e">
        <f>VLOOKUP(Table257519913140106110151155170178204303308[[#This Row],[PEG]],Table1016[#All],3,FALSE)</f>
        <v>#N/A</v>
      </c>
    </row>
    <row r="39" spans="1:5" x14ac:dyDescent="0.35">
      <c r="A39" s="118">
        <v>32</v>
      </c>
      <c r="B39" s="114" t="s">
        <v>12</v>
      </c>
      <c r="C39" s="109" t="e">
        <f>VLOOKUP(Table257519913140106110151155170178204303308[[#This Row],[PEG]],Table1016[#All],2,FALSE)</f>
        <v>#N/A</v>
      </c>
      <c r="D39" s="117"/>
      <c r="E39" s="125" t="e">
        <f>VLOOKUP(Table257519913140106110151155170178204303308[[#This Row],[PEG]],Table1016[#All],3,FALSE)</f>
        <v>#N/A</v>
      </c>
    </row>
    <row r="40" spans="1:5" x14ac:dyDescent="0.35">
      <c r="A40" s="118">
        <v>33</v>
      </c>
      <c r="B40" s="114" t="s">
        <v>12</v>
      </c>
      <c r="C40" s="109" t="e">
        <f>VLOOKUP(Table257519913140106110151155170178204303308[[#This Row],[PEG]],Table1016[#All],2,FALSE)</f>
        <v>#N/A</v>
      </c>
      <c r="D40" s="117"/>
      <c r="E40" s="125" t="e">
        <f>VLOOKUP(Table257519913140106110151155170178204303308[[#This Row],[PEG]],Table1016[#All],3,FALSE)</f>
        <v>#N/A</v>
      </c>
    </row>
    <row r="41" spans="1:5" x14ac:dyDescent="0.35">
      <c r="A41" s="118">
        <v>34</v>
      </c>
      <c r="B41" s="114" t="s">
        <v>115</v>
      </c>
      <c r="C41" s="109" t="e">
        <f>VLOOKUP(Table257519913140106110151155170178204303308[[#This Row],[PEG]],Table1016[#All],2,FALSE)</f>
        <v>#N/A</v>
      </c>
      <c r="D41" s="117"/>
      <c r="E41" s="125" t="e">
        <f>VLOOKUP(Table257519913140106110151155170178204303308[[#This Row],[PEG]],Table1016[#All],3,FALSE)</f>
        <v>#N/A</v>
      </c>
    </row>
    <row r="42" spans="1:5" x14ac:dyDescent="0.35">
      <c r="A42" s="118">
        <v>35</v>
      </c>
      <c r="B42" s="114" t="s">
        <v>12</v>
      </c>
      <c r="C42" s="109" t="e">
        <f>VLOOKUP(Table257519913140106110151155170178204303308[[#This Row],[PEG]],Table1016[#All],2,FALSE)</f>
        <v>#N/A</v>
      </c>
      <c r="D42" s="115"/>
      <c r="E42" s="125" t="e">
        <f>VLOOKUP(Table257519913140106110151155170178204303308[[#This Row],[PEG]],Table1016[#All],3,FALSE)</f>
        <v>#N/A</v>
      </c>
    </row>
    <row r="43" spans="1:5" x14ac:dyDescent="0.35">
      <c r="A43" s="118">
        <v>36</v>
      </c>
      <c r="B43" s="114" t="s">
        <v>115</v>
      </c>
      <c r="C43" s="109" t="e">
        <f>VLOOKUP(Table257519913140106110151155170178204303308[[#This Row],[PEG]],Table1016[#All],2,FALSE)</f>
        <v>#N/A</v>
      </c>
      <c r="D43" s="115"/>
      <c r="E43" s="125" t="e">
        <f>VLOOKUP(Table257519913140106110151155170178204303308[[#This Row],[PEG]],Table1016[#All],3,FALSE)</f>
        <v>#N/A</v>
      </c>
    </row>
    <row r="44" spans="1:5" x14ac:dyDescent="0.35">
      <c r="A44" s="118">
        <v>37</v>
      </c>
      <c r="B44" s="114" t="s">
        <v>13</v>
      </c>
      <c r="C44" s="18" t="s">
        <v>13</v>
      </c>
      <c r="D44" s="115"/>
      <c r="E44" s="32"/>
    </row>
  </sheetData>
  <mergeCells count="1">
    <mergeCell ref="A1:B1"/>
  </mergeCells>
  <conditionalFormatting sqref="B8:B18">
    <cfRule type="containsText" dxfId="119" priority="1" operator="containsText" text="Hear">
      <formula>NOT(ISERROR(SEARCH("Hear",B8)))</formula>
    </cfRule>
  </conditionalFormatting>
  <conditionalFormatting sqref="B30">
    <cfRule type="containsText" dxfId="118" priority="4" operator="containsText" text="Hear">
      <formula>NOT(ISERROR(SEARCH("Hear",B30)))</formula>
    </cfRule>
  </conditionalFormatting>
  <conditionalFormatting sqref="B43:B44">
    <cfRule type="containsText" dxfId="117" priority="8" operator="containsText" text="Hear">
      <formula>NOT(ISERROR(SEARCH("Hear",B43)))</formula>
    </cfRule>
  </conditionalFormatting>
  <conditionalFormatting sqref="E44">
    <cfRule type="containsText" dxfId="116" priority="6" operator="containsText" text="WEB SERVICE">
      <formula>NOT(ISERROR(SEARCH("WEB SERVICE",E44)))</formula>
    </cfRule>
    <cfRule type="containsText" dxfId="115" priority="7" operator="containsText" text="DB">
      <formula>NOT(ISERROR(SEARCH("DB",E44)))</formula>
    </cfRule>
  </conditionalFormatting>
  <conditionalFormatting sqref="C44">
    <cfRule type="expression" dxfId="114" priority="9">
      <formula>$B44="HANGUP"</formula>
    </cfRule>
    <cfRule type="expression" dxfId="113" priority="9">
      <formula>$B44="Dial"</formula>
    </cfRule>
  </conditionalFormatting>
  <conditionalFormatting sqref="C44">
    <cfRule type="expression" dxfId="112" priority="3">
      <formula>$B44="Speak"</formula>
    </cfRule>
  </conditionalFormatting>
  <conditionalFormatting sqref="B36:B38 B40:B41">
    <cfRule type="containsText" dxfId="111" priority="2" operator="containsText" text="Hear">
      <formula>NOT(ISERROR(SEARCH("Hear",B36)))</formula>
    </cfRule>
  </conditionalFormatting>
  <conditionalFormatting sqref="B19:B29 B31:B35 B42">
    <cfRule type="containsText" dxfId="110" priority="5" operator="containsText" text="Hear">
      <formula>NOT(ISERROR(SEARCH("Hear",B19)))</formula>
    </cfRule>
  </conditionalFormatting>
  <hyperlinks>
    <hyperlink ref="A1" location="'Test Case Overview'!A1" display="Return to Test Case Overview" xr:uid="{044C7866-9C04-4CDC-B2D8-1ED7A577D77E}"/>
  </hyperlinks>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expression" priority="10" id="{8E80CA1D-0F13-4458-9876-6EE6067EB396}">
            <xm:f>'TC1'!$B8="HANGUP"</xm:f>
            <x14:dxf>
              <font>
                <b/>
                <i val="0"/>
              </font>
            </x14:dxf>
          </x14:cfRule>
          <x14:cfRule type="expression" priority="15" id="{71CD262C-C744-400C-89B2-CE9DA006EB2F}">
            <xm:f>'TC1'!$B8="Dial"</xm:f>
            <x14:dxf>
              <font>
                <b/>
                <i val="0"/>
                <color rgb="FFFF0000"/>
              </font>
            </x14:dxf>
          </x14:cfRule>
          <xm:sqref>C8</xm:sqref>
        </x14:conditionalFormatting>
        <x14:conditionalFormatting xmlns:xm="http://schemas.microsoft.com/office/excel/2006/main">
          <x14:cfRule type="expression" priority="14" id="{50CD8504-F168-4B9F-AC47-F0AE5DB2FFDA}">
            <xm:f>'TC1'!$B8="Speak"</xm:f>
            <x14:dxf>
              <font>
                <b/>
                <i val="0"/>
                <color rgb="FFFF0000"/>
              </font>
            </x14:dxf>
          </x14:cfRule>
          <xm:sqref>C8</xm:sqref>
        </x14:conditionalFormatting>
        <x14:conditionalFormatting xmlns:xm="http://schemas.microsoft.com/office/excel/2006/main">
          <x14:cfRule type="containsText" priority="16" operator="containsText" text="Hear" id="{7100F689-37AF-4ED7-954A-B047A30EB012}">
            <xm:f>NOT(ISERROR(SEARCH("Hear",'TC3'!B34)))</xm:f>
            <x14:dxf>
              <font>
                <color theme="9" tint="-0.24994659260841701"/>
              </font>
              <fill>
                <patternFill>
                  <bgColor theme="9" tint="0.59996337778862885"/>
                </patternFill>
              </fill>
            </x14:dxf>
          </x14:cfRule>
          <xm:sqref>B41</xm:sqref>
        </x14:conditionalFormatting>
        <x14:conditionalFormatting xmlns:xm="http://schemas.microsoft.com/office/excel/2006/main">
          <x14:cfRule type="expression" priority="3459" id="{8E80CA1D-0F13-4458-9876-6EE6067EB396}">
            <xm:f>'TC1'!$B16="HANGUP"</xm:f>
            <x14:dxf>
              <font>
                <b/>
                <i val="0"/>
              </font>
            </x14:dxf>
          </x14:cfRule>
          <x14:cfRule type="expression" priority="3460" id="{71CD262C-C744-400C-89B2-CE9DA006EB2F}">
            <xm:f>'TC1'!$B16="Dial"</xm:f>
            <x14:dxf>
              <font>
                <b/>
                <i val="0"/>
                <color rgb="FFFF0000"/>
              </font>
            </x14:dxf>
          </x14:cfRule>
          <xm:sqref>C34:C43</xm:sqref>
        </x14:conditionalFormatting>
        <x14:conditionalFormatting xmlns:xm="http://schemas.microsoft.com/office/excel/2006/main">
          <x14:cfRule type="expression" priority="3461" id="{8E80CA1D-0F13-4458-9876-6EE6067EB396}">
            <xm:f>'TC1'!#REF!="HANGUP"</xm:f>
            <x14:dxf>
              <font>
                <b/>
                <i val="0"/>
              </font>
            </x14:dxf>
          </x14:cfRule>
          <x14:cfRule type="expression" priority="3462" id="{71CD262C-C744-400C-89B2-CE9DA006EB2F}">
            <xm:f>'TC1'!#REF!="Dial"</xm:f>
            <x14:dxf>
              <font>
                <b/>
                <i val="0"/>
                <color rgb="FFFF0000"/>
              </font>
            </x14:dxf>
          </x14:cfRule>
          <xm:sqref>C17:C33</xm:sqref>
        </x14:conditionalFormatting>
        <x14:conditionalFormatting xmlns:xm="http://schemas.microsoft.com/office/excel/2006/main">
          <x14:cfRule type="expression" priority="3466" id="{50CD8504-F168-4B9F-AC47-F0AE5DB2FFDA}">
            <xm:f>'TC1'!$B16="Speak"</xm:f>
            <x14:dxf>
              <font>
                <b/>
                <i val="0"/>
                <color rgb="FFFF0000"/>
              </font>
            </x14:dxf>
          </x14:cfRule>
          <xm:sqref>C34:C43</xm:sqref>
        </x14:conditionalFormatting>
        <x14:conditionalFormatting xmlns:xm="http://schemas.microsoft.com/office/excel/2006/main">
          <x14:cfRule type="expression" priority="3467" id="{50CD8504-F168-4B9F-AC47-F0AE5DB2FFDA}">
            <xm:f>'TC1'!#REF!="Speak"</xm:f>
            <x14:dxf>
              <font>
                <b/>
                <i val="0"/>
                <color rgb="FFFF0000"/>
              </font>
            </x14:dxf>
          </x14:cfRule>
          <xm:sqref>C17:C33</xm:sqref>
        </x14:conditionalFormatting>
        <x14:conditionalFormatting xmlns:xm="http://schemas.microsoft.com/office/excel/2006/main">
          <x14:cfRule type="containsText" priority="3471" operator="containsText" text="DB" id="{56C2D040-7582-48E4-B187-956D59827473}">
            <xm:f>NOT(ISERROR(SEARCH("DB",'TC1'!E16)))</xm:f>
            <x14:dxf>
              <font>
                <color rgb="FF006100"/>
              </font>
              <fill>
                <patternFill>
                  <bgColor rgb="FFC6EFCE"/>
                </patternFill>
              </fill>
            </x14:dxf>
          </x14:cfRule>
          <x14:cfRule type="containsText" priority="3472" operator="containsText" text="WEB SERVICE" id="{B6C67197-A099-4E09-9245-DC69B4344775}">
            <xm:f>NOT(ISERROR(SEARCH("WEB SERVICE",'TC1'!E16)))</xm:f>
            <x14:dxf>
              <font>
                <color rgb="FF9C0006"/>
              </font>
              <fill>
                <patternFill>
                  <bgColor rgb="FFFFC7CE"/>
                </patternFill>
              </fill>
            </x14:dxf>
          </x14:cfRule>
          <xm:sqref>E34:E43</xm:sqref>
        </x14:conditionalFormatting>
        <x14:conditionalFormatting xmlns:xm="http://schemas.microsoft.com/office/excel/2006/main">
          <x14:cfRule type="containsText" priority="3473" operator="containsText" text="DB" id="{56C2D040-7582-48E4-B187-956D59827473}">
            <xm:f>NOT(ISERROR(SEARCH("DB",'TC1'!#REF!)))</xm:f>
            <x14:dxf>
              <font>
                <color rgb="FF006100"/>
              </font>
              <fill>
                <patternFill>
                  <bgColor rgb="FFC6EFCE"/>
                </patternFill>
              </fill>
            </x14:dxf>
          </x14:cfRule>
          <x14:cfRule type="containsText" priority="3474" operator="containsText" text="WEB SERVICE" id="{B6C67197-A099-4E09-9245-DC69B4344775}">
            <xm:f>NOT(ISERROR(SEARCH("WEB SERVICE",'TC1'!#REF!)))</xm:f>
            <x14:dxf>
              <font>
                <color rgb="FF9C0006"/>
              </font>
              <fill>
                <patternFill>
                  <bgColor rgb="FFFFC7CE"/>
                </patternFill>
              </fill>
            </x14:dxf>
          </x14:cfRule>
          <xm:sqref>E17:E33</xm:sqref>
        </x14:conditionalFormatting>
        <x14:conditionalFormatting xmlns:xm="http://schemas.microsoft.com/office/excel/2006/main">
          <x14:cfRule type="expression" priority="6071" id="{8E80CA1D-0F13-4458-9876-6EE6067EB396}">
            <xm:f>'TC1'!$B9="HANGUP"</xm:f>
            <x14:dxf>
              <font>
                <b/>
                <i val="0"/>
              </font>
            </x14:dxf>
          </x14:cfRule>
          <x14:cfRule type="expression" priority="6072" id="{71CD262C-C744-400C-89B2-CE9DA006EB2F}">
            <xm:f>'TC1'!$B9="Dial"</xm:f>
            <x14:dxf>
              <font>
                <b/>
                <i val="0"/>
                <color rgb="FFFF0000"/>
              </font>
            </x14:dxf>
          </x14:cfRule>
          <xm:sqref>C12:C15</xm:sqref>
        </x14:conditionalFormatting>
        <x14:conditionalFormatting xmlns:xm="http://schemas.microsoft.com/office/excel/2006/main">
          <x14:cfRule type="expression" priority="6073" id="{8E80CA1D-0F13-4458-9876-6EE6067EB396}">
            <xm:f>'TC1'!#REF!="HANGUP"</xm:f>
            <x14:dxf>
              <font>
                <b/>
                <i val="0"/>
              </font>
            </x14:dxf>
          </x14:cfRule>
          <x14:cfRule type="expression" priority="6074" id="{71CD262C-C744-400C-89B2-CE9DA006EB2F}">
            <xm:f>'TC1'!#REF!="Dial"</xm:f>
            <x14:dxf>
              <font>
                <b/>
                <i val="0"/>
                <color rgb="FFFF0000"/>
              </font>
            </x14:dxf>
          </x14:cfRule>
          <xm:sqref>C9:C11</xm:sqref>
        </x14:conditionalFormatting>
        <x14:conditionalFormatting xmlns:xm="http://schemas.microsoft.com/office/excel/2006/main">
          <x14:cfRule type="expression" priority="6078" id="{50CD8504-F168-4B9F-AC47-F0AE5DB2FFDA}">
            <xm:f>'TC1'!$B9="Speak"</xm:f>
            <x14:dxf>
              <font>
                <b/>
                <i val="0"/>
                <color rgb="FFFF0000"/>
              </font>
            </x14:dxf>
          </x14:cfRule>
          <xm:sqref>C12:C15</xm:sqref>
        </x14:conditionalFormatting>
        <x14:conditionalFormatting xmlns:xm="http://schemas.microsoft.com/office/excel/2006/main">
          <x14:cfRule type="expression" priority="6079" id="{50CD8504-F168-4B9F-AC47-F0AE5DB2FFDA}">
            <xm:f>'TC1'!#REF!="Speak"</xm:f>
            <x14:dxf>
              <font>
                <b/>
                <i val="0"/>
                <color rgb="FFFF0000"/>
              </font>
            </x14:dxf>
          </x14:cfRule>
          <xm:sqref>C9:C11</xm:sqref>
        </x14:conditionalFormatting>
        <x14:conditionalFormatting xmlns:xm="http://schemas.microsoft.com/office/excel/2006/main">
          <x14:cfRule type="containsText" priority="6081" operator="containsText" text="DB" id="{56C2D040-7582-48E4-B187-956D59827473}">
            <xm:f>NOT(ISERROR(SEARCH("DB",'TC1'!#REF!)))</xm:f>
            <x14:dxf>
              <font>
                <color rgb="FF006100"/>
              </font>
              <fill>
                <patternFill>
                  <bgColor rgb="FFC6EFCE"/>
                </patternFill>
              </fill>
            </x14:dxf>
          </x14:cfRule>
          <x14:cfRule type="containsText" priority="6082" operator="containsText" text="WEB SERVICE" id="{B6C67197-A099-4E09-9245-DC69B4344775}">
            <xm:f>NOT(ISERROR(SEARCH("WEB SERVICE",'TC1'!#REF!)))</xm:f>
            <x14:dxf>
              <font>
                <color rgb="FF9C0006"/>
              </font>
              <fill>
                <patternFill>
                  <bgColor rgb="FFFFC7CE"/>
                </patternFill>
              </fill>
            </x14:dxf>
          </x14:cfRule>
          <xm:sqref>E9:E11</xm:sqref>
        </x14:conditionalFormatting>
        <x14:conditionalFormatting xmlns:xm="http://schemas.microsoft.com/office/excel/2006/main">
          <x14:cfRule type="containsText" priority="6083" operator="containsText" text="DB" id="{56C2D040-7582-48E4-B187-956D59827473}">
            <xm:f>NOT(ISERROR(SEARCH("DB",'TC1'!E9)))</xm:f>
            <x14:dxf>
              <font>
                <color rgb="FF006100"/>
              </font>
              <fill>
                <patternFill>
                  <bgColor rgb="FFC6EFCE"/>
                </patternFill>
              </fill>
            </x14:dxf>
          </x14:cfRule>
          <x14:cfRule type="containsText" priority="6084" operator="containsText" text="WEB SERVICE" id="{B6C67197-A099-4E09-9245-DC69B4344775}">
            <xm:f>NOT(ISERROR(SEARCH("WEB SERVICE",'TC1'!E9)))</xm:f>
            <x14:dxf>
              <font>
                <color rgb="FF9C0006"/>
              </font>
              <fill>
                <patternFill>
                  <bgColor rgb="FFFFC7CE"/>
                </patternFill>
              </fill>
            </x14:dxf>
          </x14:cfRule>
          <xm:sqref>E12:E15</xm:sqref>
        </x14:conditionalFormatting>
        <x14:conditionalFormatting xmlns:xm="http://schemas.microsoft.com/office/excel/2006/main">
          <x14:cfRule type="expression" priority="8222" id="{8E80CA1D-0F13-4458-9876-6EE6067EB396}">
            <xm:f>'TC1'!$B15="HANGUP"</xm:f>
            <x14:dxf>
              <font>
                <b/>
                <i val="0"/>
              </font>
            </x14:dxf>
          </x14:cfRule>
          <x14:cfRule type="expression" priority="8223" id="{71CD262C-C744-400C-89B2-CE9DA006EB2F}">
            <xm:f>'TC1'!$B15="Dial"</xm:f>
            <x14:dxf>
              <font>
                <b/>
                <i val="0"/>
                <color rgb="FFFF0000"/>
              </font>
            </x14:dxf>
          </x14:cfRule>
          <xm:sqref>C16</xm:sqref>
        </x14:conditionalFormatting>
        <x14:conditionalFormatting xmlns:xm="http://schemas.microsoft.com/office/excel/2006/main">
          <x14:cfRule type="expression" priority="8225" id="{50CD8504-F168-4B9F-AC47-F0AE5DB2FFDA}">
            <xm:f>'TC1'!$B15="Speak"</xm:f>
            <x14:dxf>
              <font>
                <b/>
                <i val="0"/>
                <color rgb="FFFF0000"/>
              </font>
            </x14:dxf>
          </x14:cfRule>
          <xm:sqref>C16</xm:sqref>
        </x14:conditionalFormatting>
        <x14:conditionalFormatting xmlns:xm="http://schemas.microsoft.com/office/excel/2006/main">
          <x14:cfRule type="containsText" priority="8228" operator="containsText" text="DB" id="{56C2D040-7582-48E4-B187-956D59827473}">
            <xm:f>NOT(ISERROR(SEARCH("DB",'TC1'!E15)))</xm:f>
            <x14:dxf>
              <font>
                <color rgb="FF006100"/>
              </font>
              <fill>
                <patternFill>
                  <bgColor rgb="FFC6EFCE"/>
                </patternFill>
              </fill>
            </x14:dxf>
          </x14:cfRule>
          <x14:cfRule type="containsText" priority="8229" operator="containsText" text="WEB SERVICE" id="{B6C67197-A099-4E09-9245-DC69B4344775}">
            <xm:f>NOT(ISERROR(SEARCH("WEB SERVICE",'TC1'!E15)))</xm:f>
            <x14:dxf>
              <font>
                <color rgb="FF9C0006"/>
              </font>
              <fill>
                <patternFill>
                  <bgColor rgb="FFFFC7CE"/>
                </patternFill>
              </fill>
            </x14:dxf>
          </x14:cfRule>
          <xm:sqref>E16</xm:sqref>
        </x14:conditionalFormatting>
        <x14:conditionalFormatting xmlns:xm="http://schemas.microsoft.com/office/excel/2006/main">
          <x14:cfRule type="containsText" priority="11030" operator="containsText" text="Hear" id="{0CEE8641-A46B-4D8F-BA35-6E647BC8D6CF}">
            <xm:f>NOT(ISERROR(SEARCH("Hear",'TC26'!#REF!)))</xm:f>
            <x14:dxf>
              <font>
                <color theme="9" tint="-0.24994659260841701"/>
              </font>
              <fill>
                <patternFill>
                  <bgColor theme="9" tint="0.59996337778862885"/>
                </patternFill>
              </fill>
            </x14:dxf>
          </x14:cfRule>
          <xm:sqref>B39</xm:sqref>
        </x14:conditionalFormatting>
      </x14:conditionalFormattings>
    </ext>
  </extLst>
</worksheet>
</file>

<file path=xl/worksheets/sheet2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C800-000000000000}">
  <sheetPr codeName="Sheet202"/>
  <dimension ref="A1:E44"/>
  <sheetViews>
    <sheetView zoomScaleNormal="100" workbookViewId="0">
      <selection sqref="A1:E44"/>
    </sheetView>
  </sheetViews>
  <sheetFormatPr defaultRowHeight="14.5" x14ac:dyDescent="0.35"/>
  <cols>
    <col min="1" max="1" width="14.453125" bestFit="1" customWidth="1"/>
    <col min="2" max="2" width="42.6328125" customWidth="1"/>
    <col min="3" max="3" width="106.1796875" customWidth="1"/>
    <col min="4" max="4" width="21.81640625" bestFit="1" customWidth="1"/>
    <col min="5" max="5" width="20.6328125" customWidth="1"/>
  </cols>
  <sheetData>
    <row r="1" spans="1:5" ht="18.5" x14ac:dyDescent="0.35">
      <c r="A1" s="192" t="s">
        <v>4</v>
      </c>
      <c r="B1" s="192"/>
      <c r="C1" s="105"/>
      <c r="D1" s="111"/>
      <c r="E1" s="97"/>
    </row>
    <row r="2" spans="1:5" x14ac:dyDescent="0.35">
      <c r="A2" s="106" t="s">
        <v>5</v>
      </c>
      <c r="B2" s="107" t="str">
        <f ca="1">MID(CELL("filename",A1),FIND("]",CELL("filename",A1))+1,LEN(CELL("filename",A1))-FIND("]",CELL("filename",A1)))</f>
        <v>TC200</v>
      </c>
      <c r="C2" s="98"/>
      <c r="D2" s="111"/>
      <c r="E2" s="97"/>
    </row>
    <row r="3" spans="1:5" x14ac:dyDescent="0.35">
      <c r="A3" s="104" t="s">
        <v>19</v>
      </c>
      <c r="B3" s="112" t="e">
        <f ca="1">VLOOKUP(B2,Table53[#All],2,FALSE)</f>
        <v>#N/A</v>
      </c>
      <c r="C3" s="98"/>
      <c r="D3" s="111"/>
      <c r="E3" s="97"/>
    </row>
    <row r="4" spans="1:5" ht="29" x14ac:dyDescent="0.35">
      <c r="A4" s="113" t="s">
        <v>20</v>
      </c>
      <c r="B4" s="99" t="e">
        <f ca="1">VLOOKUP(B2,Table53[#All],4,FALSE)</f>
        <v>#N/A</v>
      </c>
      <c r="C4" s="98"/>
      <c r="D4" s="111"/>
      <c r="E4" s="97"/>
    </row>
    <row r="5" spans="1:5" x14ac:dyDescent="0.35">
      <c r="A5" s="104" t="s">
        <v>6</v>
      </c>
      <c r="B5" s="77" t="e">
        <f ca="1">VLOOKUP(B2,Table53[#All],3,FALSE)</f>
        <v>#N/A</v>
      </c>
      <c r="C5" s="98"/>
      <c r="D5" s="111"/>
      <c r="E5" s="97"/>
    </row>
    <row r="6" spans="1:5" x14ac:dyDescent="0.35">
      <c r="A6" s="97"/>
      <c r="B6" s="97"/>
      <c r="C6" s="98"/>
      <c r="D6" s="111"/>
      <c r="E6" s="97"/>
    </row>
    <row r="7" spans="1:5" ht="15.5" x14ac:dyDescent="0.35">
      <c r="A7" s="100" t="s">
        <v>7</v>
      </c>
      <c r="B7" s="101" t="s">
        <v>8</v>
      </c>
      <c r="C7" s="102" t="s">
        <v>9</v>
      </c>
      <c r="D7" s="102" t="s">
        <v>14</v>
      </c>
      <c r="E7" s="103" t="s">
        <v>10</v>
      </c>
    </row>
    <row r="8" spans="1:5" x14ac:dyDescent="0.35">
      <c r="A8" s="118">
        <v>1</v>
      </c>
      <c r="B8" s="114" t="s">
        <v>114</v>
      </c>
      <c r="C8" s="109" t="s">
        <v>125</v>
      </c>
      <c r="D8" s="128"/>
      <c r="E8" s="125" t="s">
        <v>11</v>
      </c>
    </row>
    <row r="9" spans="1:5" x14ac:dyDescent="0.35">
      <c r="A9" s="118">
        <v>2</v>
      </c>
      <c r="B9" s="114" t="s">
        <v>12</v>
      </c>
      <c r="C9" s="109" t="e">
        <f>VLOOKUP(Table257519913140106110151155170178204303310[[#This Row],[PEG]],Table1016[#All],2,FALSE)</f>
        <v>#N/A</v>
      </c>
      <c r="D9" s="128"/>
      <c r="E9" s="125" t="e">
        <f>VLOOKUP(Table257519913140106110151155170178204303310[[#This Row],[PEG]],Table1016[#All],3,FALSE)</f>
        <v>#N/A</v>
      </c>
    </row>
    <row r="10" spans="1:5" x14ac:dyDescent="0.35">
      <c r="A10" s="118">
        <v>3</v>
      </c>
      <c r="B10" s="114" t="s">
        <v>115</v>
      </c>
      <c r="C10" s="109" t="e">
        <f>VLOOKUP(Table257519913140106110151155170178204303310[[#This Row],[PEG]],Table1016[#All],2,FALSE)</f>
        <v>#N/A</v>
      </c>
      <c r="D10" s="128"/>
      <c r="E10" s="125" t="e">
        <f>VLOOKUP(Table257519913140106110151155170178204303310[[#This Row],[PEG]],Table1016[#All],3,FALSE)</f>
        <v>#N/A</v>
      </c>
    </row>
    <row r="11" spans="1:5" x14ac:dyDescent="0.35">
      <c r="A11" s="118">
        <v>4</v>
      </c>
      <c r="B11" s="114" t="s">
        <v>115</v>
      </c>
      <c r="C11" s="109" t="e">
        <f>VLOOKUP(Table257519913140106110151155170178204303310[[#This Row],[PEG]],Table1016[#All],2,FALSE)</f>
        <v>#N/A</v>
      </c>
      <c r="D11" s="128"/>
      <c r="E11" s="125" t="e">
        <f>VLOOKUP(Table257519913140106110151155170178204303310[[#This Row],[PEG]],Table1016[#All],3,FALSE)</f>
        <v>#N/A</v>
      </c>
    </row>
    <row r="12" spans="1:5" x14ac:dyDescent="0.35">
      <c r="A12" s="118">
        <v>5</v>
      </c>
      <c r="B12" s="114" t="s">
        <v>114</v>
      </c>
      <c r="C12" s="109" t="e">
        <f>VLOOKUP(Table257519913140106110151155170178204303310[[#This Row],[PEG]],Table1016[#All],2,FALSE)</f>
        <v>#N/A</v>
      </c>
      <c r="D12" s="128"/>
      <c r="E12" s="125" t="e">
        <f>VLOOKUP(Table257519913140106110151155170178204303310[[#This Row],[PEG]],Table1016[#All],3,FALSE)</f>
        <v>#N/A</v>
      </c>
    </row>
    <row r="13" spans="1:5" x14ac:dyDescent="0.35">
      <c r="A13" s="118">
        <v>6</v>
      </c>
      <c r="B13" s="114" t="s">
        <v>115</v>
      </c>
      <c r="C13" s="109" t="e">
        <f>VLOOKUP(Table257519913140106110151155170178204303310[[#This Row],[PEG]],Table1016[#All],2,FALSE)</f>
        <v>#N/A</v>
      </c>
      <c r="D13" s="128"/>
      <c r="E13" s="125" t="e">
        <f>VLOOKUP(Table257519913140106110151155170178204303310[[#This Row],[PEG]],Table1016[#All],3,FALSE)</f>
        <v>#N/A</v>
      </c>
    </row>
    <row r="14" spans="1:5" x14ac:dyDescent="0.35">
      <c r="A14" s="118">
        <v>7</v>
      </c>
      <c r="B14" s="114" t="s">
        <v>114</v>
      </c>
      <c r="C14" s="109" t="e">
        <f>VLOOKUP(Table257519913140106110151155170178204303310[[#This Row],[PEG]],Table1016[#All],2,FALSE)</f>
        <v>#N/A</v>
      </c>
      <c r="D14" s="128"/>
      <c r="E14" s="125" t="e">
        <f>VLOOKUP(Table257519913140106110151155170178204303310[[#This Row],[PEG]],Table1016[#All],3,FALSE)</f>
        <v>#N/A</v>
      </c>
    </row>
    <row r="15" spans="1:5" x14ac:dyDescent="0.35">
      <c r="A15" s="118">
        <v>8</v>
      </c>
      <c r="B15" s="114" t="s">
        <v>115</v>
      </c>
      <c r="C15" s="109" t="e">
        <f>VLOOKUP(Table257519913140106110151155170178204303310[[#This Row],[PEG]],Table1016[#All],2,FALSE)</f>
        <v>#N/A</v>
      </c>
      <c r="D15" s="116"/>
      <c r="E15" s="125" t="e">
        <f>VLOOKUP(Table257519913140106110151155170178204303310[[#This Row],[PEG]],Table1016[#All],3,FALSE)</f>
        <v>#N/A</v>
      </c>
    </row>
    <row r="16" spans="1:5" x14ac:dyDescent="0.35">
      <c r="A16" s="118">
        <v>9</v>
      </c>
      <c r="B16" s="114" t="s">
        <v>12</v>
      </c>
      <c r="C16" s="109" t="e">
        <f>VLOOKUP(Table257519913140106110151155170178204303310[[#This Row],[PEG]],Table1016[#All],2,FALSE)</f>
        <v>#N/A</v>
      </c>
      <c r="D16" s="116"/>
      <c r="E16" s="125" t="e">
        <f>VLOOKUP(Table257519913140106110151155170178204303310[[#This Row],[PEG]],Table1016[#All],3,FALSE)</f>
        <v>#N/A</v>
      </c>
    </row>
    <row r="17" spans="1:5" x14ac:dyDescent="0.35">
      <c r="A17" s="118">
        <v>10</v>
      </c>
      <c r="B17" s="114" t="s">
        <v>12</v>
      </c>
      <c r="C17" s="109" t="e">
        <f>VLOOKUP(Table257519913140106110151155170178204303310[[#This Row],[PEG]],Table1016[#All],2,FALSE)</f>
        <v>#N/A</v>
      </c>
      <c r="D17" s="117"/>
      <c r="E17" s="125" t="e">
        <f>VLOOKUP(Table257519913140106110151155170178204303310[[#This Row],[PEG]],Table1016[#All],3,FALSE)</f>
        <v>#N/A</v>
      </c>
    </row>
    <row r="18" spans="1:5" x14ac:dyDescent="0.35">
      <c r="A18" s="118">
        <v>11</v>
      </c>
      <c r="B18" s="114" t="s">
        <v>115</v>
      </c>
      <c r="C18" s="109" t="e">
        <f>VLOOKUP(Table257519913140106110151155170178204303310[[#This Row],[PEG]],Table1016[#All],2,FALSE)</f>
        <v>#N/A</v>
      </c>
      <c r="D18" s="117"/>
      <c r="E18" s="125" t="e">
        <f>VLOOKUP(Table257519913140106110151155170178204303310[[#This Row],[PEG]],Table1016[#All],3,FALSE)</f>
        <v>#N/A</v>
      </c>
    </row>
    <row r="19" spans="1:5" x14ac:dyDescent="0.35">
      <c r="A19" s="118">
        <v>12</v>
      </c>
      <c r="B19" s="114" t="s">
        <v>115</v>
      </c>
      <c r="C19" s="109" t="e">
        <f>VLOOKUP(Table257519913140106110151155170178204303310[[#This Row],[PEG]],Table1016[#All],2,FALSE)</f>
        <v>#N/A</v>
      </c>
      <c r="D19" s="117"/>
      <c r="E19" s="125" t="e">
        <f>VLOOKUP(Table257519913140106110151155170178204303310[[#This Row],[PEG]],Table1016[#All],3,FALSE)</f>
        <v>#N/A</v>
      </c>
    </row>
    <row r="20" spans="1:5" x14ac:dyDescent="0.35">
      <c r="A20" s="118">
        <v>13</v>
      </c>
      <c r="B20" s="114" t="s">
        <v>114</v>
      </c>
      <c r="C20" s="109" t="e">
        <f>VLOOKUP(Table257519913140106110151155170178204303310[[#This Row],[PEG]],Table1016[#All],2,FALSE)</f>
        <v>#N/A</v>
      </c>
      <c r="D20" s="117"/>
      <c r="E20" s="125" t="e">
        <f>VLOOKUP(Table257519913140106110151155170178204303310[[#This Row],[PEG]],Table1016[#All],3,FALSE)</f>
        <v>#N/A</v>
      </c>
    </row>
    <row r="21" spans="1:5" x14ac:dyDescent="0.35">
      <c r="A21" s="118">
        <v>14</v>
      </c>
      <c r="B21" s="114" t="s">
        <v>12</v>
      </c>
      <c r="C21" s="109" t="e">
        <f>VLOOKUP(Table257519913140106110151155170178204303310[[#This Row],[PEG]],Table1016[#All],2,FALSE)</f>
        <v>#N/A</v>
      </c>
      <c r="D21" s="117"/>
      <c r="E21" s="125" t="e">
        <f>VLOOKUP(Table257519913140106110151155170178204303310[[#This Row],[PEG]],Table1016[#All],3,FALSE)</f>
        <v>#N/A</v>
      </c>
    </row>
    <row r="22" spans="1:5" x14ac:dyDescent="0.35">
      <c r="A22" s="118">
        <v>15</v>
      </c>
      <c r="B22" s="114" t="s">
        <v>12</v>
      </c>
      <c r="C22" s="109" t="e">
        <f>VLOOKUP(Table257519913140106110151155170178204303310[[#This Row],[PEG]],Table1016[#All],2,FALSE)</f>
        <v>#N/A</v>
      </c>
      <c r="D22" s="117"/>
      <c r="E22" s="125" t="e">
        <f>VLOOKUP(Table257519913140106110151155170178204303310[[#This Row],[PEG]],Table1016[#All],3,FALSE)</f>
        <v>#N/A</v>
      </c>
    </row>
    <row r="23" spans="1:5" x14ac:dyDescent="0.35">
      <c r="A23" s="118">
        <v>16</v>
      </c>
      <c r="B23" s="114" t="s">
        <v>115</v>
      </c>
      <c r="C23" s="109" t="e">
        <f>VLOOKUP(Table257519913140106110151155170178204303310[[#This Row],[PEG]],Table1016[#All],2,FALSE)</f>
        <v>#N/A</v>
      </c>
      <c r="D23" s="117"/>
      <c r="E23" s="125" t="e">
        <f>VLOOKUP(Table257519913140106110151155170178204303310[[#This Row],[PEG]],Table1016[#All],3,FALSE)</f>
        <v>#N/A</v>
      </c>
    </row>
    <row r="24" spans="1:5" x14ac:dyDescent="0.35">
      <c r="A24" s="118">
        <v>17</v>
      </c>
      <c r="B24" s="114" t="s">
        <v>114</v>
      </c>
      <c r="C24" s="109" t="e">
        <f>VLOOKUP(Table257519913140106110151155170178204303310[[#This Row],[PEG]],Table1016[#All],2,FALSE)</f>
        <v>#N/A</v>
      </c>
      <c r="D24" s="117"/>
      <c r="E24" s="125" t="e">
        <f>VLOOKUP(Table257519913140106110151155170178204303310[[#This Row],[PEG]],Table1016[#All],3,FALSE)</f>
        <v>#N/A</v>
      </c>
    </row>
    <row r="25" spans="1:5" x14ac:dyDescent="0.35">
      <c r="A25" s="118">
        <v>18</v>
      </c>
      <c r="B25" s="114" t="s">
        <v>12</v>
      </c>
      <c r="C25" s="109" t="e">
        <f>VLOOKUP(Table257519913140106110151155170178204303310[[#This Row],[PEG]],Table1016[#All],2,FALSE)</f>
        <v>#N/A</v>
      </c>
      <c r="D25" s="117"/>
      <c r="E25" s="125" t="e">
        <f>VLOOKUP(Table257519913140106110151155170178204303310[[#This Row],[PEG]],Table1016[#All],3,FALSE)</f>
        <v>#N/A</v>
      </c>
    </row>
    <row r="26" spans="1:5" x14ac:dyDescent="0.35">
      <c r="A26" s="118">
        <v>19</v>
      </c>
      <c r="B26" s="114" t="s">
        <v>12</v>
      </c>
      <c r="C26" s="109" t="e">
        <f>VLOOKUP(Table257519913140106110151155170178204303310[[#This Row],[PEG]],Table1016[#All],2,FALSE)</f>
        <v>#N/A</v>
      </c>
      <c r="D26" s="117"/>
      <c r="E26" s="125" t="e">
        <f>VLOOKUP(Table257519913140106110151155170178204303310[[#This Row],[PEG]],Table1016[#All],3,FALSE)</f>
        <v>#N/A</v>
      </c>
    </row>
    <row r="27" spans="1:5" x14ac:dyDescent="0.35">
      <c r="A27" s="118">
        <v>20</v>
      </c>
      <c r="B27" s="114" t="s">
        <v>115</v>
      </c>
      <c r="C27" s="109" t="e">
        <f>VLOOKUP(Table257519913140106110151155170178204303310[[#This Row],[PEG]],Table1016[#All],2,FALSE)</f>
        <v>#N/A</v>
      </c>
      <c r="D27" s="117"/>
      <c r="E27" s="125" t="e">
        <f>VLOOKUP(Table257519913140106110151155170178204303310[[#This Row],[PEG]],Table1016[#All],3,FALSE)</f>
        <v>#N/A</v>
      </c>
    </row>
    <row r="28" spans="1:5" x14ac:dyDescent="0.35">
      <c r="A28" s="118">
        <v>21</v>
      </c>
      <c r="B28" s="114" t="s">
        <v>114</v>
      </c>
      <c r="C28" s="109" t="e">
        <f>VLOOKUP(Table257519913140106110151155170178204303310[[#This Row],[PEG]],Table1016[#All],2,FALSE)</f>
        <v>#N/A</v>
      </c>
      <c r="D28" s="117"/>
      <c r="E28" s="125" t="e">
        <f>VLOOKUP(Table257519913140106110151155170178204303310[[#This Row],[PEG]],Table1016[#All],3,FALSE)</f>
        <v>#N/A</v>
      </c>
    </row>
    <row r="29" spans="1:5" x14ac:dyDescent="0.35">
      <c r="A29" s="118">
        <v>22</v>
      </c>
      <c r="B29" s="114" t="s">
        <v>12</v>
      </c>
      <c r="C29" s="109" t="e">
        <f>VLOOKUP(Table257519913140106110151155170178204303310[[#This Row],[PEG]],Table1016[#All],2,FALSE)</f>
        <v>#N/A</v>
      </c>
      <c r="D29" s="117"/>
      <c r="E29" s="125" t="e">
        <f>VLOOKUP(Table257519913140106110151155170178204303310[[#This Row],[PEG]],Table1016[#All],3,FALSE)</f>
        <v>#N/A</v>
      </c>
    </row>
    <row r="30" spans="1:5" x14ac:dyDescent="0.35">
      <c r="A30" s="118">
        <v>23</v>
      </c>
      <c r="B30" s="114" t="s">
        <v>12</v>
      </c>
      <c r="C30" s="109" t="e">
        <f>VLOOKUP(Table257519913140106110151155170178204303310[[#This Row],[PEG]],Table1016[#All],2,FALSE)</f>
        <v>#N/A</v>
      </c>
      <c r="D30" s="117"/>
      <c r="E30" s="125" t="e">
        <f>VLOOKUP(Table257519913140106110151155170178204303310[[#This Row],[PEG]],Table1016[#All],3,FALSE)</f>
        <v>#N/A</v>
      </c>
    </row>
    <row r="31" spans="1:5" x14ac:dyDescent="0.35">
      <c r="A31" s="118">
        <v>24</v>
      </c>
      <c r="B31" s="114" t="s">
        <v>115</v>
      </c>
      <c r="C31" s="109" t="e">
        <f>VLOOKUP(Table257519913140106110151155170178204303310[[#This Row],[PEG]],Table1016[#All],2,FALSE)</f>
        <v>#N/A</v>
      </c>
      <c r="D31" s="117"/>
      <c r="E31" s="125" t="e">
        <f>VLOOKUP(Table257519913140106110151155170178204303310[[#This Row],[PEG]],Table1016[#All],3,FALSE)</f>
        <v>#N/A</v>
      </c>
    </row>
    <row r="32" spans="1:5" x14ac:dyDescent="0.35">
      <c r="A32" s="118">
        <v>25</v>
      </c>
      <c r="B32" s="114" t="s">
        <v>115</v>
      </c>
      <c r="C32" s="109" t="e">
        <f>VLOOKUP(Table257519913140106110151155170178204303310[[#This Row],[PEG]],Table1016[#All],2,FALSE)</f>
        <v>#N/A</v>
      </c>
      <c r="D32" s="117"/>
      <c r="E32" s="125" t="e">
        <f>VLOOKUP(Table257519913140106110151155170178204303310[[#This Row],[PEG]],Table1016[#All],3,FALSE)</f>
        <v>#N/A</v>
      </c>
    </row>
    <row r="33" spans="1:5" x14ac:dyDescent="0.35">
      <c r="A33" s="118">
        <v>26</v>
      </c>
      <c r="B33" s="114" t="s">
        <v>124</v>
      </c>
      <c r="C33" s="109" t="e">
        <f>VLOOKUP(Table257519913140106110151155170178204303310[[#This Row],[PEG]],Table1016[#All],2,FALSE)</f>
        <v>#N/A</v>
      </c>
      <c r="D33" s="117"/>
      <c r="E33" s="125" t="e">
        <f>VLOOKUP(Table257519913140106110151155170178204303310[[#This Row],[PEG]],Table1016[#All],3,FALSE)</f>
        <v>#N/A</v>
      </c>
    </row>
    <row r="34" spans="1:5" x14ac:dyDescent="0.35">
      <c r="A34" s="118">
        <v>27</v>
      </c>
      <c r="B34" s="114" t="s">
        <v>115</v>
      </c>
      <c r="C34" s="109" t="e">
        <f>VLOOKUP(Table257519913140106110151155170178204303310[[#This Row],[PEG]],Table1016[#All],2,FALSE)</f>
        <v>#N/A</v>
      </c>
      <c r="D34" s="117"/>
      <c r="E34" s="125" t="e">
        <f>VLOOKUP(Table257519913140106110151155170178204303310[[#This Row],[PEG]],Table1016[#All],3,FALSE)</f>
        <v>#N/A</v>
      </c>
    </row>
    <row r="35" spans="1:5" x14ac:dyDescent="0.35">
      <c r="A35" s="118">
        <v>28</v>
      </c>
      <c r="B35" s="114" t="s">
        <v>124</v>
      </c>
      <c r="C35" s="109" t="e">
        <f>VLOOKUP(Table257519913140106110151155170178204303310[[#This Row],[PEG]],Table1016[#All],2,FALSE)</f>
        <v>#N/A</v>
      </c>
      <c r="D35" s="117"/>
      <c r="E35" s="125" t="e">
        <f>VLOOKUP(Table257519913140106110151155170178204303310[[#This Row],[PEG]],Table1016[#All],3,FALSE)</f>
        <v>#N/A</v>
      </c>
    </row>
    <row r="36" spans="1:5" x14ac:dyDescent="0.35">
      <c r="A36" s="118">
        <v>29</v>
      </c>
      <c r="B36" s="114" t="s">
        <v>115</v>
      </c>
      <c r="C36" s="109" t="e">
        <f>VLOOKUP(Table257519913140106110151155170178204303310[[#This Row],[PEG]],Table1016[#All],2,FALSE)</f>
        <v>#N/A</v>
      </c>
      <c r="D36" s="117"/>
      <c r="E36" s="125" t="e">
        <f>VLOOKUP(Table257519913140106110151155170178204303310[[#This Row],[PEG]],Table1016[#All],3,FALSE)</f>
        <v>#N/A</v>
      </c>
    </row>
    <row r="37" spans="1:5" x14ac:dyDescent="0.35">
      <c r="A37" s="118">
        <v>30</v>
      </c>
      <c r="B37" s="114" t="s">
        <v>12</v>
      </c>
      <c r="C37" s="109" t="e">
        <f>VLOOKUP(Table257519913140106110151155170178204303310[[#This Row],[PEG]],Table1016[#All],2,FALSE)</f>
        <v>#N/A</v>
      </c>
      <c r="D37" s="117"/>
      <c r="E37" s="125" t="e">
        <f>VLOOKUP(Table257519913140106110151155170178204303310[[#This Row],[PEG]],Table1016[#All],3,FALSE)</f>
        <v>#N/A</v>
      </c>
    </row>
    <row r="38" spans="1:5" x14ac:dyDescent="0.35">
      <c r="A38" s="118">
        <v>31</v>
      </c>
      <c r="B38" s="114" t="s">
        <v>12</v>
      </c>
      <c r="C38" s="109" t="e">
        <f>VLOOKUP(Table257519913140106110151155170178204303310[[#This Row],[PEG]],Table1016[#All],2,FALSE)</f>
        <v>#N/A</v>
      </c>
      <c r="D38" s="117"/>
      <c r="E38" s="125" t="e">
        <f>VLOOKUP(Table257519913140106110151155170178204303310[[#This Row],[PEG]],Table1016[#All],3,FALSE)</f>
        <v>#N/A</v>
      </c>
    </row>
    <row r="39" spans="1:5" x14ac:dyDescent="0.35">
      <c r="A39" s="118">
        <v>32</v>
      </c>
      <c r="B39" s="114" t="s">
        <v>12</v>
      </c>
      <c r="C39" s="109" t="e">
        <f>VLOOKUP(Table257519913140106110151155170178204303310[[#This Row],[PEG]],Table1016[#All],2,FALSE)</f>
        <v>#N/A</v>
      </c>
      <c r="D39" s="117"/>
      <c r="E39" s="125" t="e">
        <f>VLOOKUP(Table257519913140106110151155170178204303310[[#This Row],[PEG]],Table1016[#All],3,FALSE)</f>
        <v>#N/A</v>
      </c>
    </row>
    <row r="40" spans="1:5" x14ac:dyDescent="0.35">
      <c r="A40" s="118">
        <v>33</v>
      </c>
      <c r="B40" s="114" t="s">
        <v>12</v>
      </c>
      <c r="C40" s="109" t="e">
        <f>VLOOKUP(Table257519913140106110151155170178204303310[[#This Row],[PEG]],Table1016[#All],2,FALSE)</f>
        <v>#N/A</v>
      </c>
      <c r="D40" s="117"/>
      <c r="E40" s="125" t="e">
        <f>VLOOKUP(Table257519913140106110151155170178204303310[[#This Row],[PEG]],Table1016[#All],3,FALSE)</f>
        <v>#N/A</v>
      </c>
    </row>
    <row r="41" spans="1:5" x14ac:dyDescent="0.35">
      <c r="A41" s="118">
        <v>34</v>
      </c>
      <c r="B41" s="114" t="s">
        <v>115</v>
      </c>
      <c r="C41" s="109" t="e">
        <f>VLOOKUP(Table257519913140106110151155170178204303310[[#This Row],[PEG]],Table1016[#All],2,FALSE)</f>
        <v>#N/A</v>
      </c>
      <c r="D41" s="117"/>
      <c r="E41" s="125" t="e">
        <f>VLOOKUP(Table257519913140106110151155170178204303310[[#This Row],[PEG]],Table1016[#All],3,FALSE)</f>
        <v>#N/A</v>
      </c>
    </row>
    <row r="42" spans="1:5" x14ac:dyDescent="0.35">
      <c r="A42" s="118">
        <v>35</v>
      </c>
      <c r="B42" s="114" t="s">
        <v>12</v>
      </c>
      <c r="C42" s="109" t="e">
        <f>VLOOKUP(Table257519913140106110151155170178204303310[[#This Row],[PEG]],Table1016[#All],2,FALSE)</f>
        <v>#N/A</v>
      </c>
      <c r="D42" s="115"/>
      <c r="E42" s="125" t="e">
        <f>VLOOKUP(Table257519913140106110151155170178204303310[[#This Row],[PEG]],Table1016[#All],3,FALSE)</f>
        <v>#N/A</v>
      </c>
    </row>
    <row r="43" spans="1:5" x14ac:dyDescent="0.35">
      <c r="A43" s="118">
        <v>36</v>
      </c>
      <c r="B43" s="114" t="s">
        <v>115</v>
      </c>
      <c r="C43" s="109" t="e">
        <f>VLOOKUP(Table257519913140106110151155170178204303310[[#This Row],[PEG]],Table1016[#All],2,FALSE)</f>
        <v>#N/A</v>
      </c>
      <c r="D43" s="115"/>
      <c r="E43" s="125" t="e">
        <f>VLOOKUP(Table257519913140106110151155170178204303310[[#This Row],[PEG]],Table1016[#All],3,FALSE)</f>
        <v>#N/A</v>
      </c>
    </row>
    <row r="44" spans="1:5" x14ac:dyDescent="0.35">
      <c r="A44" s="118">
        <v>37</v>
      </c>
      <c r="B44" s="114" t="s">
        <v>13</v>
      </c>
      <c r="C44" s="18" t="s">
        <v>13</v>
      </c>
      <c r="D44" s="115"/>
      <c r="E44" s="32"/>
    </row>
  </sheetData>
  <mergeCells count="1">
    <mergeCell ref="A1:B1"/>
  </mergeCells>
  <conditionalFormatting sqref="B8:B18">
    <cfRule type="containsText" dxfId="79" priority="1" operator="containsText" text="Hear">
      <formula>NOT(ISERROR(SEARCH("Hear",B8)))</formula>
    </cfRule>
  </conditionalFormatting>
  <conditionalFormatting sqref="B30">
    <cfRule type="containsText" dxfId="78" priority="4" operator="containsText" text="Hear">
      <formula>NOT(ISERROR(SEARCH("Hear",B30)))</formula>
    </cfRule>
  </conditionalFormatting>
  <conditionalFormatting sqref="B43:B44">
    <cfRule type="containsText" dxfId="77" priority="8" operator="containsText" text="Hear">
      <formula>NOT(ISERROR(SEARCH("Hear",B43)))</formula>
    </cfRule>
  </conditionalFormatting>
  <conditionalFormatting sqref="E44">
    <cfRule type="containsText" dxfId="76" priority="6" operator="containsText" text="WEB SERVICE">
      <formula>NOT(ISERROR(SEARCH("WEB SERVICE",E44)))</formula>
    </cfRule>
    <cfRule type="containsText" dxfId="75" priority="7" operator="containsText" text="DB">
      <formula>NOT(ISERROR(SEARCH("DB",E44)))</formula>
    </cfRule>
  </conditionalFormatting>
  <conditionalFormatting sqref="C44">
    <cfRule type="expression" dxfId="74" priority="9">
      <formula>$B44="HANGUP"</formula>
    </cfRule>
    <cfRule type="expression" dxfId="73" priority="9">
      <formula>$B44="Dial"</formula>
    </cfRule>
  </conditionalFormatting>
  <conditionalFormatting sqref="C44">
    <cfRule type="expression" dxfId="72" priority="3">
      <formula>$B44="Speak"</formula>
    </cfRule>
  </conditionalFormatting>
  <conditionalFormatting sqref="B36:B38 B40:B41">
    <cfRule type="containsText" dxfId="71" priority="2" operator="containsText" text="Hear">
      <formula>NOT(ISERROR(SEARCH("Hear",B36)))</formula>
    </cfRule>
  </conditionalFormatting>
  <conditionalFormatting sqref="B19:B29 B31:B35 B42">
    <cfRule type="containsText" dxfId="70" priority="5" operator="containsText" text="Hear">
      <formula>NOT(ISERROR(SEARCH("Hear",B19)))</formula>
    </cfRule>
  </conditionalFormatting>
  <hyperlinks>
    <hyperlink ref="A1" location="'Test Case Overview'!A1" display="Return to Test Case Overview" xr:uid="{BE92FAC3-DBD6-48C3-AA9A-BA7BDD70DD0C}"/>
  </hyperlinks>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expression" priority="10" id="{B83547F7-2C79-4D82-A784-69F877493FBA}">
            <xm:f>'TC1'!$B8="HANGUP"</xm:f>
            <x14:dxf>
              <font>
                <b/>
                <i val="0"/>
              </font>
            </x14:dxf>
          </x14:cfRule>
          <x14:cfRule type="expression" priority="15" id="{65743360-0CE0-4CF7-9858-56834A16ED8C}">
            <xm:f>'TC1'!$B8="Dial"</xm:f>
            <x14:dxf>
              <font>
                <b/>
                <i val="0"/>
                <color rgb="FFFF0000"/>
              </font>
            </x14:dxf>
          </x14:cfRule>
          <xm:sqref>C8</xm:sqref>
        </x14:conditionalFormatting>
        <x14:conditionalFormatting xmlns:xm="http://schemas.microsoft.com/office/excel/2006/main">
          <x14:cfRule type="expression" priority="14" id="{B9DA48FE-B010-4B57-95A7-CFE836761F34}">
            <xm:f>'TC1'!$B8="Speak"</xm:f>
            <x14:dxf>
              <font>
                <b/>
                <i val="0"/>
                <color rgb="FFFF0000"/>
              </font>
            </x14:dxf>
          </x14:cfRule>
          <xm:sqref>C8</xm:sqref>
        </x14:conditionalFormatting>
        <x14:conditionalFormatting xmlns:xm="http://schemas.microsoft.com/office/excel/2006/main">
          <x14:cfRule type="containsText" priority="16" operator="containsText" text="Hear" id="{824CDDA2-A292-4C0F-8902-C9E7167D053E}">
            <xm:f>NOT(ISERROR(SEARCH("Hear",'TC3'!B34)))</xm:f>
            <x14:dxf>
              <font>
                <color theme="9" tint="-0.24994659260841701"/>
              </font>
              <fill>
                <patternFill>
                  <bgColor theme="9" tint="0.59996337778862885"/>
                </patternFill>
              </fill>
            </x14:dxf>
          </x14:cfRule>
          <xm:sqref>B41</xm:sqref>
        </x14:conditionalFormatting>
        <x14:conditionalFormatting xmlns:xm="http://schemas.microsoft.com/office/excel/2006/main">
          <x14:cfRule type="expression" priority="3479" id="{B83547F7-2C79-4D82-A784-69F877493FBA}">
            <xm:f>'TC1'!$B16="HANGUP"</xm:f>
            <x14:dxf>
              <font>
                <b/>
                <i val="0"/>
              </font>
            </x14:dxf>
          </x14:cfRule>
          <x14:cfRule type="expression" priority="3480" id="{65743360-0CE0-4CF7-9858-56834A16ED8C}">
            <xm:f>'TC1'!$B16="Dial"</xm:f>
            <x14:dxf>
              <font>
                <b/>
                <i val="0"/>
                <color rgb="FFFF0000"/>
              </font>
            </x14:dxf>
          </x14:cfRule>
          <xm:sqref>C34:C43</xm:sqref>
        </x14:conditionalFormatting>
        <x14:conditionalFormatting xmlns:xm="http://schemas.microsoft.com/office/excel/2006/main">
          <x14:cfRule type="expression" priority="3481" id="{B83547F7-2C79-4D82-A784-69F877493FBA}">
            <xm:f>'TC1'!#REF!="HANGUP"</xm:f>
            <x14:dxf>
              <font>
                <b/>
                <i val="0"/>
              </font>
            </x14:dxf>
          </x14:cfRule>
          <x14:cfRule type="expression" priority="3482" id="{65743360-0CE0-4CF7-9858-56834A16ED8C}">
            <xm:f>'TC1'!#REF!="Dial"</xm:f>
            <x14:dxf>
              <font>
                <b/>
                <i val="0"/>
                <color rgb="FFFF0000"/>
              </font>
            </x14:dxf>
          </x14:cfRule>
          <xm:sqref>C17:C33</xm:sqref>
        </x14:conditionalFormatting>
        <x14:conditionalFormatting xmlns:xm="http://schemas.microsoft.com/office/excel/2006/main">
          <x14:cfRule type="expression" priority="3486" id="{B9DA48FE-B010-4B57-95A7-CFE836761F34}">
            <xm:f>'TC1'!$B16="Speak"</xm:f>
            <x14:dxf>
              <font>
                <b/>
                <i val="0"/>
                <color rgb="FFFF0000"/>
              </font>
            </x14:dxf>
          </x14:cfRule>
          <xm:sqref>C34:C43</xm:sqref>
        </x14:conditionalFormatting>
        <x14:conditionalFormatting xmlns:xm="http://schemas.microsoft.com/office/excel/2006/main">
          <x14:cfRule type="expression" priority="3487" id="{B9DA48FE-B010-4B57-95A7-CFE836761F34}">
            <xm:f>'TC1'!#REF!="Speak"</xm:f>
            <x14:dxf>
              <font>
                <b/>
                <i val="0"/>
                <color rgb="FFFF0000"/>
              </font>
            </x14:dxf>
          </x14:cfRule>
          <xm:sqref>C17:C33</xm:sqref>
        </x14:conditionalFormatting>
        <x14:conditionalFormatting xmlns:xm="http://schemas.microsoft.com/office/excel/2006/main">
          <x14:cfRule type="containsText" priority="3491" operator="containsText" text="DB" id="{E72C0843-4C48-451D-9693-83DC6F1D05B4}">
            <xm:f>NOT(ISERROR(SEARCH("DB",'TC1'!E16)))</xm:f>
            <x14:dxf>
              <font>
                <color rgb="FF006100"/>
              </font>
              <fill>
                <patternFill>
                  <bgColor rgb="FFC6EFCE"/>
                </patternFill>
              </fill>
            </x14:dxf>
          </x14:cfRule>
          <x14:cfRule type="containsText" priority="3492" operator="containsText" text="WEB SERVICE" id="{5CF074AD-6C44-4A6B-92DA-F662C5C42AA5}">
            <xm:f>NOT(ISERROR(SEARCH("WEB SERVICE",'TC1'!E16)))</xm:f>
            <x14:dxf>
              <font>
                <color rgb="FF9C0006"/>
              </font>
              <fill>
                <patternFill>
                  <bgColor rgb="FFFFC7CE"/>
                </patternFill>
              </fill>
            </x14:dxf>
          </x14:cfRule>
          <xm:sqref>E34:E43</xm:sqref>
        </x14:conditionalFormatting>
        <x14:conditionalFormatting xmlns:xm="http://schemas.microsoft.com/office/excel/2006/main">
          <x14:cfRule type="containsText" priority="3493" operator="containsText" text="DB" id="{E72C0843-4C48-451D-9693-83DC6F1D05B4}">
            <xm:f>NOT(ISERROR(SEARCH("DB",'TC1'!#REF!)))</xm:f>
            <x14:dxf>
              <font>
                <color rgb="FF006100"/>
              </font>
              <fill>
                <patternFill>
                  <bgColor rgb="FFC6EFCE"/>
                </patternFill>
              </fill>
            </x14:dxf>
          </x14:cfRule>
          <x14:cfRule type="containsText" priority="3494" operator="containsText" text="WEB SERVICE" id="{5CF074AD-6C44-4A6B-92DA-F662C5C42AA5}">
            <xm:f>NOT(ISERROR(SEARCH("WEB SERVICE",'TC1'!#REF!)))</xm:f>
            <x14:dxf>
              <font>
                <color rgb="FF9C0006"/>
              </font>
              <fill>
                <patternFill>
                  <bgColor rgb="FFFFC7CE"/>
                </patternFill>
              </fill>
            </x14:dxf>
          </x14:cfRule>
          <xm:sqref>E17:E33</xm:sqref>
        </x14:conditionalFormatting>
        <x14:conditionalFormatting xmlns:xm="http://schemas.microsoft.com/office/excel/2006/main">
          <x14:cfRule type="expression" priority="6089" id="{B83547F7-2C79-4D82-A784-69F877493FBA}">
            <xm:f>'TC1'!$B9="HANGUP"</xm:f>
            <x14:dxf>
              <font>
                <b/>
                <i val="0"/>
              </font>
            </x14:dxf>
          </x14:cfRule>
          <x14:cfRule type="expression" priority="6090" id="{65743360-0CE0-4CF7-9858-56834A16ED8C}">
            <xm:f>'TC1'!$B9="Dial"</xm:f>
            <x14:dxf>
              <font>
                <b/>
                <i val="0"/>
                <color rgb="FFFF0000"/>
              </font>
            </x14:dxf>
          </x14:cfRule>
          <xm:sqref>C12:C15</xm:sqref>
        </x14:conditionalFormatting>
        <x14:conditionalFormatting xmlns:xm="http://schemas.microsoft.com/office/excel/2006/main">
          <x14:cfRule type="expression" priority="6091" id="{B83547F7-2C79-4D82-A784-69F877493FBA}">
            <xm:f>'TC1'!#REF!="HANGUP"</xm:f>
            <x14:dxf>
              <font>
                <b/>
                <i val="0"/>
              </font>
            </x14:dxf>
          </x14:cfRule>
          <x14:cfRule type="expression" priority="6092" id="{65743360-0CE0-4CF7-9858-56834A16ED8C}">
            <xm:f>'TC1'!#REF!="Dial"</xm:f>
            <x14:dxf>
              <font>
                <b/>
                <i val="0"/>
                <color rgb="FFFF0000"/>
              </font>
            </x14:dxf>
          </x14:cfRule>
          <xm:sqref>C9:C11</xm:sqref>
        </x14:conditionalFormatting>
        <x14:conditionalFormatting xmlns:xm="http://schemas.microsoft.com/office/excel/2006/main">
          <x14:cfRule type="expression" priority="6096" id="{B9DA48FE-B010-4B57-95A7-CFE836761F34}">
            <xm:f>'TC1'!$B9="Speak"</xm:f>
            <x14:dxf>
              <font>
                <b/>
                <i val="0"/>
                <color rgb="FFFF0000"/>
              </font>
            </x14:dxf>
          </x14:cfRule>
          <xm:sqref>C12:C15</xm:sqref>
        </x14:conditionalFormatting>
        <x14:conditionalFormatting xmlns:xm="http://schemas.microsoft.com/office/excel/2006/main">
          <x14:cfRule type="expression" priority="6097" id="{B9DA48FE-B010-4B57-95A7-CFE836761F34}">
            <xm:f>'TC1'!#REF!="Speak"</xm:f>
            <x14:dxf>
              <font>
                <b/>
                <i val="0"/>
                <color rgb="FFFF0000"/>
              </font>
            </x14:dxf>
          </x14:cfRule>
          <xm:sqref>C9:C11</xm:sqref>
        </x14:conditionalFormatting>
        <x14:conditionalFormatting xmlns:xm="http://schemas.microsoft.com/office/excel/2006/main">
          <x14:cfRule type="containsText" priority="6099" operator="containsText" text="DB" id="{E72C0843-4C48-451D-9693-83DC6F1D05B4}">
            <xm:f>NOT(ISERROR(SEARCH("DB",'TC1'!#REF!)))</xm:f>
            <x14:dxf>
              <font>
                <color rgb="FF006100"/>
              </font>
              <fill>
                <patternFill>
                  <bgColor rgb="FFC6EFCE"/>
                </patternFill>
              </fill>
            </x14:dxf>
          </x14:cfRule>
          <x14:cfRule type="containsText" priority="6100" operator="containsText" text="WEB SERVICE" id="{5CF074AD-6C44-4A6B-92DA-F662C5C42AA5}">
            <xm:f>NOT(ISERROR(SEARCH("WEB SERVICE",'TC1'!#REF!)))</xm:f>
            <x14:dxf>
              <font>
                <color rgb="FF9C0006"/>
              </font>
              <fill>
                <patternFill>
                  <bgColor rgb="FFFFC7CE"/>
                </patternFill>
              </fill>
            </x14:dxf>
          </x14:cfRule>
          <xm:sqref>E9:E11</xm:sqref>
        </x14:conditionalFormatting>
        <x14:conditionalFormatting xmlns:xm="http://schemas.microsoft.com/office/excel/2006/main">
          <x14:cfRule type="containsText" priority="6101" operator="containsText" text="DB" id="{E72C0843-4C48-451D-9693-83DC6F1D05B4}">
            <xm:f>NOT(ISERROR(SEARCH("DB",'TC1'!E9)))</xm:f>
            <x14:dxf>
              <font>
                <color rgb="FF006100"/>
              </font>
              <fill>
                <patternFill>
                  <bgColor rgb="FFC6EFCE"/>
                </patternFill>
              </fill>
            </x14:dxf>
          </x14:cfRule>
          <x14:cfRule type="containsText" priority="6102" operator="containsText" text="WEB SERVICE" id="{5CF074AD-6C44-4A6B-92DA-F662C5C42AA5}">
            <xm:f>NOT(ISERROR(SEARCH("WEB SERVICE",'TC1'!E9)))</xm:f>
            <x14:dxf>
              <font>
                <color rgb="FF9C0006"/>
              </font>
              <fill>
                <patternFill>
                  <bgColor rgb="FFFFC7CE"/>
                </patternFill>
              </fill>
            </x14:dxf>
          </x14:cfRule>
          <xm:sqref>E12:E15</xm:sqref>
        </x14:conditionalFormatting>
        <x14:conditionalFormatting xmlns:xm="http://schemas.microsoft.com/office/excel/2006/main">
          <x14:cfRule type="expression" priority="8237" id="{B83547F7-2C79-4D82-A784-69F877493FBA}">
            <xm:f>'TC1'!$B15="HANGUP"</xm:f>
            <x14:dxf>
              <font>
                <b/>
                <i val="0"/>
              </font>
            </x14:dxf>
          </x14:cfRule>
          <x14:cfRule type="expression" priority="8238" id="{65743360-0CE0-4CF7-9858-56834A16ED8C}">
            <xm:f>'TC1'!$B15="Dial"</xm:f>
            <x14:dxf>
              <font>
                <b/>
                <i val="0"/>
                <color rgb="FFFF0000"/>
              </font>
            </x14:dxf>
          </x14:cfRule>
          <xm:sqref>C16</xm:sqref>
        </x14:conditionalFormatting>
        <x14:conditionalFormatting xmlns:xm="http://schemas.microsoft.com/office/excel/2006/main">
          <x14:cfRule type="expression" priority="8240" id="{B9DA48FE-B010-4B57-95A7-CFE836761F34}">
            <xm:f>'TC1'!$B15="Speak"</xm:f>
            <x14:dxf>
              <font>
                <b/>
                <i val="0"/>
                <color rgb="FFFF0000"/>
              </font>
            </x14:dxf>
          </x14:cfRule>
          <xm:sqref>C16</xm:sqref>
        </x14:conditionalFormatting>
        <x14:conditionalFormatting xmlns:xm="http://schemas.microsoft.com/office/excel/2006/main">
          <x14:cfRule type="containsText" priority="8243" operator="containsText" text="DB" id="{E72C0843-4C48-451D-9693-83DC6F1D05B4}">
            <xm:f>NOT(ISERROR(SEARCH("DB",'TC1'!E15)))</xm:f>
            <x14:dxf>
              <font>
                <color rgb="FF006100"/>
              </font>
              <fill>
                <patternFill>
                  <bgColor rgb="FFC6EFCE"/>
                </patternFill>
              </fill>
            </x14:dxf>
          </x14:cfRule>
          <x14:cfRule type="containsText" priority="8244" operator="containsText" text="WEB SERVICE" id="{5CF074AD-6C44-4A6B-92DA-F662C5C42AA5}">
            <xm:f>NOT(ISERROR(SEARCH("WEB SERVICE",'TC1'!E15)))</xm:f>
            <x14:dxf>
              <font>
                <color rgb="FF9C0006"/>
              </font>
              <fill>
                <patternFill>
                  <bgColor rgb="FFFFC7CE"/>
                </patternFill>
              </fill>
            </x14:dxf>
          </x14:cfRule>
          <xm:sqref>E16</xm:sqref>
        </x14:conditionalFormatting>
        <x14:conditionalFormatting xmlns:xm="http://schemas.microsoft.com/office/excel/2006/main">
          <x14:cfRule type="containsText" priority="11050" operator="containsText" text="Hear" id="{AECFB127-F978-4297-B92F-4A62684CA466}">
            <xm:f>NOT(ISERROR(SEARCH("Hear",'TC26'!#REF!)))</xm:f>
            <x14:dxf>
              <font>
                <color theme="9" tint="-0.24994659260841701"/>
              </font>
              <fill>
                <patternFill>
                  <bgColor theme="9" tint="0.59996337778862885"/>
                </patternFill>
              </fill>
            </x14:dxf>
          </x14:cfRule>
          <xm:sqref>B39</xm:sqref>
        </x14:conditionalFormatting>
      </x14:conditionalFormattings>
    </ext>
  </extLst>
</worksheet>
</file>

<file path=xl/worksheets/sheet2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C900-000000000000}">
  <sheetPr codeName="Sheet203"/>
  <dimension ref="A1:E44"/>
  <sheetViews>
    <sheetView zoomScaleNormal="100" workbookViewId="0">
      <selection sqref="A1:E44"/>
    </sheetView>
  </sheetViews>
  <sheetFormatPr defaultRowHeight="14.5" x14ac:dyDescent="0.35"/>
  <cols>
    <col min="1" max="1" width="14.453125" bestFit="1" customWidth="1"/>
    <col min="2" max="2" width="42.6328125" customWidth="1"/>
    <col min="3" max="3" width="106.1796875" customWidth="1"/>
    <col min="4" max="4" width="21.81640625" bestFit="1" customWidth="1"/>
    <col min="5" max="5" width="20.6328125" customWidth="1"/>
  </cols>
  <sheetData>
    <row r="1" spans="1:5" ht="18.5" x14ac:dyDescent="0.35">
      <c r="A1" s="192" t="s">
        <v>4</v>
      </c>
      <c r="B1" s="192"/>
      <c r="C1" s="105"/>
      <c r="D1" s="111"/>
      <c r="E1" s="97"/>
    </row>
    <row r="2" spans="1:5" x14ac:dyDescent="0.35">
      <c r="A2" s="106" t="s">
        <v>5</v>
      </c>
      <c r="B2" s="107" t="str">
        <f ca="1">MID(CELL("filename",A1),FIND("]",CELL("filename",A1))+1,LEN(CELL("filename",A1))-FIND("]",CELL("filename",A1)))</f>
        <v>TC201</v>
      </c>
      <c r="C2" s="98"/>
      <c r="D2" s="111"/>
      <c r="E2" s="97"/>
    </row>
    <row r="3" spans="1:5" x14ac:dyDescent="0.35">
      <c r="A3" s="104" t="s">
        <v>19</v>
      </c>
      <c r="B3" s="112" t="e">
        <f ca="1">VLOOKUP(B2,Table53[#All],2,FALSE)</f>
        <v>#N/A</v>
      </c>
      <c r="C3" s="98"/>
      <c r="D3" s="111"/>
      <c r="E3" s="97"/>
    </row>
    <row r="4" spans="1:5" ht="29" x14ac:dyDescent="0.35">
      <c r="A4" s="113" t="s">
        <v>20</v>
      </c>
      <c r="B4" s="99" t="e">
        <f ca="1">VLOOKUP(B2,Table53[#All],4,FALSE)</f>
        <v>#N/A</v>
      </c>
      <c r="C4" s="98"/>
      <c r="D4" s="111"/>
      <c r="E4" s="97"/>
    </row>
    <row r="5" spans="1:5" x14ac:dyDescent="0.35">
      <c r="A5" s="104" t="s">
        <v>6</v>
      </c>
      <c r="B5" s="77" t="e">
        <f ca="1">VLOOKUP(B2,Table53[#All],3,FALSE)</f>
        <v>#N/A</v>
      </c>
      <c r="C5" s="98"/>
      <c r="D5" s="111"/>
      <c r="E5" s="97"/>
    </row>
    <row r="6" spans="1:5" x14ac:dyDescent="0.35">
      <c r="A6" s="97"/>
      <c r="B6" s="97"/>
      <c r="C6" s="98"/>
      <c r="D6" s="111"/>
      <c r="E6" s="97"/>
    </row>
    <row r="7" spans="1:5" ht="15.5" x14ac:dyDescent="0.35">
      <c r="A7" s="100" t="s">
        <v>7</v>
      </c>
      <c r="B7" s="101" t="s">
        <v>8</v>
      </c>
      <c r="C7" s="102" t="s">
        <v>9</v>
      </c>
      <c r="D7" s="102" t="s">
        <v>14</v>
      </c>
      <c r="E7" s="103" t="s">
        <v>10</v>
      </c>
    </row>
    <row r="8" spans="1:5" x14ac:dyDescent="0.35">
      <c r="A8" s="118">
        <v>1</v>
      </c>
      <c r="B8" s="114" t="s">
        <v>114</v>
      </c>
      <c r="C8" s="109" t="s">
        <v>125</v>
      </c>
      <c r="D8" s="128"/>
      <c r="E8" s="125" t="s">
        <v>11</v>
      </c>
    </row>
    <row r="9" spans="1:5" x14ac:dyDescent="0.35">
      <c r="A9" s="118">
        <v>2</v>
      </c>
      <c r="B9" s="114" t="s">
        <v>12</v>
      </c>
      <c r="C9" s="109" t="e">
        <f>VLOOKUP(Table257519913140106110151155170178204303312[[#This Row],[PEG]],Table1016[#All],2,FALSE)</f>
        <v>#N/A</v>
      </c>
      <c r="D9" s="128"/>
      <c r="E9" s="125" t="e">
        <f>VLOOKUP(Table257519913140106110151155170178204303312[[#This Row],[PEG]],Table1016[#All],3,FALSE)</f>
        <v>#N/A</v>
      </c>
    </row>
    <row r="10" spans="1:5" x14ac:dyDescent="0.35">
      <c r="A10" s="118">
        <v>3</v>
      </c>
      <c r="B10" s="114" t="s">
        <v>115</v>
      </c>
      <c r="C10" s="109" t="e">
        <f>VLOOKUP(Table257519913140106110151155170178204303312[[#This Row],[PEG]],Table1016[#All],2,FALSE)</f>
        <v>#N/A</v>
      </c>
      <c r="D10" s="128"/>
      <c r="E10" s="125" t="e">
        <f>VLOOKUP(Table257519913140106110151155170178204303312[[#This Row],[PEG]],Table1016[#All],3,FALSE)</f>
        <v>#N/A</v>
      </c>
    </row>
    <row r="11" spans="1:5" x14ac:dyDescent="0.35">
      <c r="A11" s="118">
        <v>4</v>
      </c>
      <c r="B11" s="114" t="s">
        <v>115</v>
      </c>
      <c r="C11" s="109" t="e">
        <f>VLOOKUP(Table257519913140106110151155170178204303312[[#This Row],[PEG]],Table1016[#All],2,FALSE)</f>
        <v>#N/A</v>
      </c>
      <c r="D11" s="128"/>
      <c r="E11" s="125" t="e">
        <f>VLOOKUP(Table257519913140106110151155170178204303312[[#This Row],[PEG]],Table1016[#All],3,FALSE)</f>
        <v>#N/A</v>
      </c>
    </row>
    <row r="12" spans="1:5" x14ac:dyDescent="0.35">
      <c r="A12" s="118">
        <v>5</v>
      </c>
      <c r="B12" s="114" t="s">
        <v>114</v>
      </c>
      <c r="C12" s="109" t="e">
        <f>VLOOKUP(Table257519913140106110151155170178204303312[[#This Row],[PEG]],Table1016[#All],2,FALSE)</f>
        <v>#N/A</v>
      </c>
      <c r="D12" s="128"/>
      <c r="E12" s="125" t="e">
        <f>VLOOKUP(Table257519913140106110151155170178204303312[[#This Row],[PEG]],Table1016[#All],3,FALSE)</f>
        <v>#N/A</v>
      </c>
    </row>
    <row r="13" spans="1:5" x14ac:dyDescent="0.35">
      <c r="A13" s="118">
        <v>6</v>
      </c>
      <c r="B13" s="114" t="s">
        <v>115</v>
      </c>
      <c r="C13" s="109" t="e">
        <f>VLOOKUP(Table257519913140106110151155170178204303312[[#This Row],[PEG]],Table1016[#All],2,FALSE)</f>
        <v>#N/A</v>
      </c>
      <c r="D13" s="128"/>
      <c r="E13" s="125" t="e">
        <f>VLOOKUP(Table257519913140106110151155170178204303312[[#This Row],[PEG]],Table1016[#All],3,FALSE)</f>
        <v>#N/A</v>
      </c>
    </row>
    <row r="14" spans="1:5" x14ac:dyDescent="0.35">
      <c r="A14" s="118">
        <v>7</v>
      </c>
      <c r="B14" s="114" t="s">
        <v>114</v>
      </c>
      <c r="C14" s="109" t="e">
        <f>VLOOKUP(Table257519913140106110151155170178204303312[[#This Row],[PEG]],Table1016[#All],2,FALSE)</f>
        <v>#N/A</v>
      </c>
      <c r="D14" s="128"/>
      <c r="E14" s="125" t="e">
        <f>VLOOKUP(Table257519913140106110151155170178204303312[[#This Row],[PEG]],Table1016[#All],3,FALSE)</f>
        <v>#N/A</v>
      </c>
    </row>
    <row r="15" spans="1:5" x14ac:dyDescent="0.35">
      <c r="A15" s="118">
        <v>8</v>
      </c>
      <c r="B15" s="114" t="s">
        <v>115</v>
      </c>
      <c r="C15" s="109" t="e">
        <f>VLOOKUP(Table257519913140106110151155170178204303312[[#This Row],[PEG]],Table1016[#All],2,FALSE)</f>
        <v>#N/A</v>
      </c>
      <c r="D15" s="116"/>
      <c r="E15" s="125" t="e">
        <f>VLOOKUP(Table257519913140106110151155170178204303312[[#This Row],[PEG]],Table1016[#All],3,FALSE)</f>
        <v>#N/A</v>
      </c>
    </row>
    <row r="16" spans="1:5" x14ac:dyDescent="0.35">
      <c r="A16" s="118">
        <v>9</v>
      </c>
      <c r="B16" s="114" t="s">
        <v>12</v>
      </c>
      <c r="C16" s="109" t="e">
        <f>VLOOKUP(Table257519913140106110151155170178204303312[[#This Row],[PEG]],Table1016[#All],2,FALSE)</f>
        <v>#N/A</v>
      </c>
      <c r="D16" s="116"/>
      <c r="E16" s="125" t="e">
        <f>VLOOKUP(Table257519913140106110151155170178204303312[[#This Row],[PEG]],Table1016[#All],3,FALSE)</f>
        <v>#N/A</v>
      </c>
    </row>
    <row r="17" spans="1:5" x14ac:dyDescent="0.35">
      <c r="A17" s="118">
        <v>10</v>
      </c>
      <c r="B17" s="114" t="s">
        <v>12</v>
      </c>
      <c r="C17" s="109" t="e">
        <f>VLOOKUP(Table257519913140106110151155170178204303312[[#This Row],[PEG]],Table1016[#All],2,FALSE)</f>
        <v>#N/A</v>
      </c>
      <c r="D17" s="117"/>
      <c r="E17" s="125" t="e">
        <f>VLOOKUP(Table257519913140106110151155170178204303312[[#This Row],[PEG]],Table1016[#All],3,FALSE)</f>
        <v>#N/A</v>
      </c>
    </row>
    <row r="18" spans="1:5" x14ac:dyDescent="0.35">
      <c r="A18" s="118">
        <v>11</v>
      </c>
      <c r="B18" s="114" t="s">
        <v>115</v>
      </c>
      <c r="C18" s="109" t="e">
        <f>VLOOKUP(Table257519913140106110151155170178204303312[[#This Row],[PEG]],Table1016[#All],2,FALSE)</f>
        <v>#N/A</v>
      </c>
      <c r="D18" s="117"/>
      <c r="E18" s="125" t="e">
        <f>VLOOKUP(Table257519913140106110151155170178204303312[[#This Row],[PEG]],Table1016[#All],3,FALSE)</f>
        <v>#N/A</v>
      </c>
    </row>
    <row r="19" spans="1:5" x14ac:dyDescent="0.35">
      <c r="A19" s="118">
        <v>12</v>
      </c>
      <c r="B19" s="114" t="s">
        <v>115</v>
      </c>
      <c r="C19" s="109" t="e">
        <f>VLOOKUP(Table257519913140106110151155170178204303312[[#This Row],[PEG]],Table1016[#All],2,FALSE)</f>
        <v>#N/A</v>
      </c>
      <c r="D19" s="117"/>
      <c r="E19" s="125" t="e">
        <f>VLOOKUP(Table257519913140106110151155170178204303312[[#This Row],[PEG]],Table1016[#All],3,FALSE)</f>
        <v>#N/A</v>
      </c>
    </row>
    <row r="20" spans="1:5" x14ac:dyDescent="0.35">
      <c r="A20" s="118">
        <v>13</v>
      </c>
      <c r="B20" s="114" t="s">
        <v>114</v>
      </c>
      <c r="C20" s="109" t="e">
        <f>VLOOKUP(Table257519913140106110151155170178204303312[[#This Row],[PEG]],Table1016[#All],2,FALSE)</f>
        <v>#N/A</v>
      </c>
      <c r="D20" s="117"/>
      <c r="E20" s="125" t="e">
        <f>VLOOKUP(Table257519913140106110151155170178204303312[[#This Row],[PEG]],Table1016[#All],3,FALSE)</f>
        <v>#N/A</v>
      </c>
    </row>
    <row r="21" spans="1:5" x14ac:dyDescent="0.35">
      <c r="A21" s="118">
        <v>14</v>
      </c>
      <c r="B21" s="114" t="s">
        <v>12</v>
      </c>
      <c r="C21" s="109" t="e">
        <f>VLOOKUP(Table257519913140106110151155170178204303312[[#This Row],[PEG]],Table1016[#All],2,FALSE)</f>
        <v>#N/A</v>
      </c>
      <c r="D21" s="117"/>
      <c r="E21" s="125" t="e">
        <f>VLOOKUP(Table257519913140106110151155170178204303312[[#This Row],[PEG]],Table1016[#All],3,FALSE)</f>
        <v>#N/A</v>
      </c>
    </row>
    <row r="22" spans="1:5" x14ac:dyDescent="0.35">
      <c r="A22" s="118">
        <v>15</v>
      </c>
      <c r="B22" s="114" t="s">
        <v>12</v>
      </c>
      <c r="C22" s="109" t="e">
        <f>VLOOKUP(Table257519913140106110151155170178204303312[[#This Row],[PEG]],Table1016[#All],2,FALSE)</f>
        <v>#N/A</v>
      </c>
      <c r="D22" s="117"/>
      <c r="E22" s="125" t="e">
        <f>VLOOKUP(Table257519913140106110151155170178204303312[[#This Row],[PEG]],Table1016[#All],3,FALSE)</f>
        <v>#N/A</v>
      </c>
    </row>
    <row r="23" spans="1:5" x14ac:dyDescent="0.35">
      <c r="A23" s="118">
        <v>16</v>
      </c>
      <c r="B23" s="114" t="s">
        <v>115</v>
      </c>
      <c r="C23" s="109" t="e">
        <f>VLOOKUP(Table257519913140106110151155170178204303312[[#This Row],[PEG]],Table1016[#All],2,FALSE)</f>
        <v>#N/A</v>
      </c>
      <c r="D23" s="117"/>
      <c r="E23" s="125" t="e">
        <f>VLOOKUP(Table257519913140106110151155170178204303312[[#This Row],[PEG]],Table1016[#All],3,FALSE)</f>
        <v>#N/A</v>
      </c>
    </row>
    <row r="24" spans="1:5" x14ac:dyDescent="0.35">
      <c r="A24" s="118">
        <v>17</v>
      </c>
      <c r="B24" s="114" t="s">
        <v>114</v>
      </c>
      <c r="C24" s="109" t="e">
        <f>VLOOKUP(Table257519913140106110151155170178204303312[[#This Row],[PEG]],Table1016[#All],2,FALSE)</f>
        <v>#N/A</v>
      </c>
      <c r="D24" s="117"/>
      <c r="E24" s="125" t="e">
        <f>VLOOKUP(Table257519913140106110151155170178204303312[[#This Row],[PEG]],Table1016[#All],3,FALSE)</f>
        <v>#N/A</v>
      </c>
    </row>
    <row r="25" spans="1:5" x14ac:dyDescent="0.35">
      <c r="A25" s="118">
        <v>18</v>
      </c>
      <c r="B25" s="114" t="s">
        <v>12</v>
      </c>
      <c r="C25" s="109" t="e">
        <f>VLOOKUP(Table257519913140106110151155170178204303312[[#This Row],[PEG]],Table1016[#All],2,FALSE)</f>
        <v>#N/A</v>
      </c>
      <c r="D25" s="117"/>
      <c r="E25" s="125" t="e">
        <f>VLOOKUP(Table257519913140106110151155170178204303312[[#This Row],[PEG]],Table1016[#All],3,FALSE)</f>
        <v>#N/A</v>
      </c>
    </row>
    <row r="26" spans="1:5" x14ac:dyDescent="0.35">
      <c r="A26" s="118">
        <v>19</v>
      </c>
      <c r="B26" s="114" t="s">
        <v>12</v>
      </c>
      <c r="C26" s="109" t="e">
        <f>VLOOKUP(Table257519913140106110151155170178204303312[[#This Row],[PEG]],Table1016[#All],2,FALSE)</f>
        <v>#N/A</v>
      </c>
      <c r="D26" s="117"/>
      <c r="E26" s="125" t="e">
        <f>VLOOKUP(Table257519913140106110151155170178204303312[[#This Row],[PEG]],Table1016[#All],3,FALSE)</f>
        <v>#N/A</v>
      </c>
    </row>
    <row r="27" spans="1:5" x14ac:dyDescent="0.35">
      <c r="A27" s="118">
        <v>20</v>
      </c>
      <c r="B27" s="114" t="s">
        <v>115</v>
      </c>
      <c r="C27" s="109" t="e">
        <f>VLOOKUP(Table257519913140106110151155170178204303312[[#This Row],[PEG]],Table1016[#All],2,FALSE)</f>
        <v>#N/A</v>
      </c>
      <c r="D27" s="117"/>
      <c r="E27" s="125" t="e">
        <f>VLOOKUP(Table257519913140106110151155170178204303312[[#This Row],[PEG]],Table1016[#All],3,FALSE)</f>
        <v>#N/A</v>
      </c>
    </row>
    <row r="28" spans="1:5" x14ac:dyDescent="0.35">
      <c r="A28" s="118">
        <v>21</v>
      </c>
      <c r="B28" s="114" t="s">
        <v>114</v>
      </c>
      <c r="C28" s="109" t="e">
        <f>VLOOKUP(Table257519913140106110151155170178204303312[[#This Row],[PEG]],Table1016[#All],2,FALSE)</f>
        <v>#N/A</v>
      </c>
      <c r="D28" s="117"/>
      <c r="E28" s="125" t="e">
        <f>VLOOKUP(Table257519913140106110151155170178204303312[[#This Row],[PEG]],Table1016[#All],3,FALSE)</f>
        <v>#N/A</v>
      </c>
    </row>
    <row r="29" spans="1:5" x14ac:dyDescent="0.35">
      <c r="A29" s="118">
        <v>22</v>
      </c>
      <c r="B29" s="114" t="s">
        <v>12</v>
      </c>
      <c r="C29" s="109" t="e">
        <f>VLOOKUP(Table257519913140106110151155170178204303312[[#This Row],[PEG]],Table1016[#All],2,FALSE)</f>
        <v>#N/A</v>
      </c>
      <c r="D29" s="117"/>
      <c r="E29" s="125" t="e">
        <f>VLOOKUP(Table257519913140106110151155170178204303312[[#This Row],[PEG]],Table1016[#All],3,FALSE)</f>
        <v>#N/A</v>
      </c>
    </row>
    <row r="30" spans="1:5" x14ac:dyDescent="0.35">
      <c r="A30" s="118">
        <v>23</v>
      </c>
      <c r="B30" s="114" t="s">
        <v>12</v>
      </c>
      <c r="C30" s="109" t="e">
        <f>VLOOKUP(Table257519913140106110151155170178204303312[[#This Row],[PEG]],Table1016[#All],2,FALSE)</f>
        <v>#N/A</v>
      </c>
      <c r="D30" s="117"/>
      <c r="E30" s="125" t="e">
        <f>VLOOKUP(Table257519913140106110151155170178204303312[[#This Row],[PEG]],Table1016[#All],3,FALSE)</f>
        <v>#N/A</v>
      </c>
    </row>
    <row r="31" spans="1:5" x14ac:dyDescent="0.35">
      <c r="A31" s="118">
        <v>24</v>
      </c>
      <c r="B31" s="114" t="s">
        <v>115</v>
      </c>
      <c r="C31" s="109" t="e">
        <f>VLOOKUP(Table257519913140106110151155170178204303312[[#This Row],[PEG]],Table1016[#All],2,FALSE)</f>
        <v>#N/A</v>
      </c>
      <c r="D31" s="117"/>
      <c r="E31" s="125" t="e">
        <f>VLOOKUP(Table257519913140106110151155170178204303312[[#This Row],[PEG]],Table1016[#All],3,FALSE)</f>
        <v>#N/A</v>
      </c>
    </row>
    <row r="32" spans="1:5" x14ac:dyDescent="0.35">
      <c r="A32" s="118">
        <v>25</v>
      </c>
      <c r="B32" s="114" t="s">
        <v>115</v>
      </c>
      <c r="C32" s="109" t="e">
        <f>VLOOKUP(Table257519913140106110151155170178204303312[[#This Row],[PEG]],Table1016[#All],2,FALSE)</f>
        <v>#N/A</v>
      </c>
      <c r="D32" s="117"/>
      <c r="E32" s="125" t="e">
        <f>VLOOKUP(Table257519913140106110151155170178204303312[[#This Row],[PEG]],Table1016[#All],3,FALSE)</f>
        <v>#N/A</v>
      </c>
    </row>
    <row r="33" spans="1:5" x14ac:dyDescent="0.35">
      <c r="A33" s="118">
        <v>26</v>
      </c>
      <c r="B33" s="114" t="s">
        <v>124</v>
      </c>
      <c r="C33" s="109" t="e">
        <f>VLOOKUP(Table257519913140106110151155170178204303312[[#This Row],[PEG]],Table1016[#All],2,FALSE)</f>
        <v>#N/A</v>
      </c>
      <c r="D33" s="117"/>
      <c r="E33" s="125" t="e">
        <f>VLOOKUP(Table257519913140106110151155170178204303312[[#This Row],[PEG]],Table1016[#All],3,FALSE)</f>
        <v>#N/A</v>
      </c>
    </row>
    <row r="34" spans="1:5" x14ac:dyDescent="0.35">
      <c r="A34" s="118">
        <v>27</v>
      </c>
      <c r="B34" s="114" t="s">
        <v>115</v>
      </c>
      <c r="C34" s="109" t="e">
        <f>VLOOKUP(Table257519913140106110151155170178204303312[[#This Row],[PEG]],Table1016[#All],2,FALSE)</f>
        <v>#N/A</v>
      </c>
      <c r="D34" s="117"/>
      <c r="E34" s="125" t="e">
        <f>VLOOKUP(Table257519913140106110151155170178204303312[[#This Row],[PEG]],Table1016[#All],3,FALSE)</f>
        <v>#N/A</v>
      </c>
    </row>
    <row r="35" spans="1:5" x14ac:dyDescent="0.35">
      <c r="A35" s="118">
        <v>28</v>
      </c>
      <c r="B35" s="114" t="s">
        <v>124</v>
      </c>
      <c r="C35" s="109" t="e">
        <f>VLOOKUP(Table257519913140106110151155170178204303312[[#This Row],[PEG]],Table1016[#All],2,FALSE)</f>
        <v>#N/A</v>
      </c>
      <c r="D35" s="117"/>
      <c r="E35" s="125" t="e">
        <f>VLOOKUP(Table257519913140106110151155170178204303312[[#This Row],[PEG]],Table1016[#All],3,FALSE)</f>
        <v>#N/A</v>
      </c>
    </row>
    <row r="36" spans="1:5" x14ac:dyDescent="0.35">
      <c r="A36" s="118">
        <v>29</v>
      </c>
      <c r="B36" s="114" t="s">
        <v>115</v>
      </c>
      <c r="C36" s="109" t="e">
        <f>VLOOKUP(Table257519913140106110151155170178204303312[[#This Row],[PEG]],Table1016[#All],2,FALSE)</f>
        <v>#N/A</v>
      </c>
      <c r="D36" s="117"/>
      <c r="E36" s="125" t="e">
        <f>VLOOKUP(Table257519913140106110151155170178204303312[[#This Row],[PEG]],Table1016[#All],3,FALSE)</f>
        <v>#N/A</v>
      </c>
    </row>
    <row r="37" spans="1:5" x14ac:dyDescent="0.35">
      <c r="A37" s="118">
        <v>30</v>
      </c>
      <c r="B37" s="114" t="s">
        <v>12</v>
      </c>
      <c r="C37" s="109" t="e">
        <f>VLOOKUP(Table257519913140106110151155170178204303312[[#This Row],[PEG]],Table1016[#All],2,FALSE)</f>
        <v>#N/A</v>
      </c>
      <c r="D37" s="117"/>
      <c r="E37" s="125" t="e">
        <f>VLOOKUP(Table257519913140106110151155170178204303312[[#This Row],[PEG]],Table1016[#All],3,FALSE)</f>
        <v>#N/A</v>
      </c>
    </row>
    <row r="38" spans="1:5" x14ac:dyDescent="0.35">
      <c r="A38" s="118">
        <v>31</v>
      </c>
      <c r="B38" s="114" t="s">
        <v>12</v>
      </c>
      <c r="C38" s="109" t="e">
        <f>VLOOKUP(Table257519913140106110151155170178204303312[[#This Row],[PEG]],Table1016[#All],2,FALSE)</f>
        <v>#N/A</v>
      </c>
      <c r="D38" s="117"/>
      <c r="E38" s="125" t="e">
        <f>VLOOKUP(Table257519913140106110151155170178204303312[[#This Row],[PEG]],Table1016[#All],3,FALSE)</f>
        <v>#N/A</v>
      </c>
    </row>
    <row r="39" spans="1:5" x14ac:dyDescent="0.35">
      <c r="A39" s="118">
        <v>32</v>
      </c>
      <c r="B39" s="114" t="s">
        <v>12</v>
      </c>
      <c r="C39" s="109" t="e">
        <f>VLOOKUP(Table257519913140106110151155170178204303312[[#This Row],[PEG]],Table1016[#All],2,FALSE)</f>
        <v>#N/A</v>
      </c>
      <c r="D39" s="117"/>
      <c r="E39" s="125" t="e">
        <f>VLOOKUP(Table257519913140106110151155170178204303312[[#This Row],[PEG]],Table1016[#All],3,FALSE)</f>
        <v>#N/A</v>
      </c>
    </row>
    <row r="40" spans="1:5" x14ac:dyDescent="0.35">
      <c r="A40" s="118">
        <v>33</v>
      </c>
      <c r="B40" s="114" t="s">
        <v>12</v>
      </c>
      <c r="C40" s="109" t="e">
        <f>VLOOKUP(Table257519913140106110151155170178204303312[[#This Row],[PEG]],Table1016[#All],2,FALSE)</f>
        <v>#N/A</v>
      </c>
      <c r="D40" s="117"/>
      <c r="E40" s="125" t="e">
        <f>VLOOKUP(Table257519913140106110151155170178204303312[[#This Row],[PEG]],Table1016[#All],3,FALSE)</f>
        <v>#N/A</v>
      </c>
    </row>
    <row r="41" spans="1:5" x14ac:dyDescent="0.35">
      <c r="A41" s="118">
        <v>34</v>
      </c>
      <c r="B41" s="114" t="s">
        <v>115</v>
      </c>
      <c r="C41" s="109" t="e">
        <f>VLOOKUP(Table257519913140106110151155170178204303312[[#This Row],[PEG]],Table1016[#All],2,FALSE)</f>
        <v>#N/A</v>
      </c>
      <c r="D41" s="117"/>
      <c r="E41" s="125" t="e">
        <f>VLOOKUP(Table257519913140106110151155170178204303312[[#This Row],[PEG]],Table1016[#All],3,FALSE)</f>
        <v>#N/A</v>
      </c>
    </row>
    <row r="42" spans="1:5" x14ac:dyDescent="0.35">
      <c r="A42" s="118">
        <v>35</v>
      </c>
      <c r="B42" s="114" t="s">
        <v>12</v>
      </c>
      <c r="C42" s="109" t="e">
        <f>VLOOKUP(Table257519913140106110151155170178204303312[[#This Row],[PEG]],Table1016[#All],2,FALSE)</f>
        <v>#N/A</v>
      </c>
      <c r="D42" s="115"/>
      <c r="E42" s="125" t="e">
        <f>VLOOKUP(Table257519913140106110151155170178204303312[[#This Row],[PEG]],Table1016[#All],3,FALSE)</f>
        <v>#N/A</v>
      </c>
    </row>
    <row r="43" spans="1:5" x14ac:dyDescent="0.35">
      <c r="A43" s="118">
        <v>36</v>
      </c>
      <c r="B43" s="114" t="s">
        <v>115</v>
      </c>
      <c r="C43" s="109" t="e">
        <f>VLOOKUP(Table257519913140106110151155170178204303312[[#This Row],[PEG]],Table1016[#All],2,FALSE)</f>
        <v>#N/A</v>
      </c>
      <c r="D43" s="115"/>
      <c r="E43" s="125" t="e">
        <f>VLOOKUP(Table257519913140106110151155170178204303312[[#This Row],[PEG]],Table1016[#All],3,FALSE)</f>
        <v>#N/A</v>
      </c>
    </row>
    <row r="44" spans="1:5" x14ac:dyDescent="0.35">
      <c r="A44" s="118">
        <v>37</v>
      </c>
      <c r="B44" s="114" t="s">
        <v>13</v>
      </c>
      <c r="C44" s="18" t="s">
        <v>13</v>
      </c>
      <c r="D44" s="115"/>
      <c r="E44" s="32"/>
    </row>
  </sheetData>
  <mergeCells count="1">
    <mergeCell ref="A1:B1"/>
  </mergeCells>
  <conditionalFormatting sqref="B8:B18">
    <cfRule type="containsText" dxfId="39" priority="1" operator="containsText" text="Hear">
      <formula>NOT(ISERROR(SEARCH("Hear",B8)))</formula>
    </cfRule>
  </conditionalFormatting>
  <conditionalFormatting sqref="B30">
    <cfRule type="containsText" dxfId="38" priority="4" operator="containsText" text="Hear">
      <formula>NOT(ISERROR(SEARCH("Hear",B30)))</formula>
    </cfRule>
  </conditionalFormatting>
  <conditionalFormatting sqref="B43:B44">
    <cfRule type="containsText" dxfId="37" priority="8" operator="containsText" text="Hear">
      <formula>NOT(ISERROR(SEARCH("Hear",B43)))</formula>
    </cfRule>
  </conditionalFormatting>
  <conditionalFormatting sqref="E44">
    <cfRule type="containsText" dxfId="36" priority="6" operator="containsText" text="WEB SERVICE">
      <formula>NOT(ISERROR(SEARCH("WEB SERVICE",E44)))</formula>
    </cfRule>
    <cfRule type="containsText" dxfId="35" priority="7" operator="containsText" text="DB">
      <formula>NOT(ISERROR(SEARCH("DB",E44)))</formula>
    </cfRule>
  </conditionalFormatting>
  <conditionalFormatting sqref="C44">
    <cfRule type="expression" dxfId="34" priority="9">
      <formula>$B44="HANGUP"</formula>
    </cfRule>
    <cfRule type="expression" dxfId="33" priority="9">
      <formula>$B44="Dial"</formula>
    </cfRule>
  </conditionalFormatting>
  <conditionalFormatting sqref="C44">
    <cfRule type="expression" dxfId="32" priority="3">
      <formula>$B44="Speak"</formula>
    </cfRule>
  </conditionalFormatting>
  <conditionalFormatting sqref="B36:B38 B40:B41">
    <cfRule type="containsText" dxfId="31" priority="2" operator="containsText" text="Hear">
      <formula>NOT(ISERROR(SEARCH("Hear",B36)))</formula>
    </cfRule>
  </conditionalFormatting>
  <conditionalFormatting sqref="B19:B29 B31:B35 B42">
    <cfRule type="containsText" dxfId="30" priority="5" operator="containsText" text="Hear">
      <formula>NOT(ISERROR(SEARCH("Hear",B19)))</formula>
    </cfRule>
  </conditionalFormatting>
  <hyperlinks>
    <hyperlink ref="A1" location="'Test Case Overview'!A1" display="Return to Test Case Overview" xr:uid="{A6709009-1F11-4E38-96A5-40BCC378322E}"/>
  </hyperlinks>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expression" priority="10" id="{ADE530F3-E253-4AAC-81E6-4A9AB2C47015}">
            <xm:f>'TC1'!$B8="HANGUP"</xm:f>
            <x14:dxf>
              <font>
                <b/>
                <i val="0"/>
              </font>
            </x14:dxf>
          </x14:cfRule>
          <x14:cfRule type="expression" priority="15" id="{914DA0E3-B171-4D2D-B60C-185469C36234}">
            <xm:f>'TC1'!$B8="Dial"</xm:f>
            <x14:dxf>
              <font>
                <b/>
                <i val="0"/>
                <color rgb="FFFF0000"/>
              </font>
            </x14:dxf>
          </x14:cfRule>
          <xm:sqref>C8</xm:sqref>
        </x14:conditionalFormatting>
        <x14:conditionalFormatting xmlns:xm="http://schemas.microsoft.com/office/excel/2006/main">
          <x14:cfRule type="expression" priority="14" id="{CCEDBEEA-A7BB-46EA-8AB0-FDB70E60C014}">
            <xm:f>'TC1'!$B8="Speak"</xm:f>
            <x14:dxf>
              <font>
                <b/>
                <i val="0"/>
                <color rgb="FFFF0000"/>
              </font>
            </x14:dxf>
          </x14:cfRule>
          <xm:sqref>C8</xm:sqref>
        </x14:conditionalFormatting>
        <x14:conditionalFormatting xmlns:xm="http://schemas.microsoft.com/office/excel/2006/main">
          <x14:cfRule type="containsText" priority="16" operator="containsText" text="Hear" id="{81706477-E028-40B5-9DFC-4F4438049CE5}">
            <xm:f>NOT(ISERROR(SEARCH("Hear",'TC3'!B34)))</xm:f>
            <x14:dxf>
              <font>
                <color theme="9" tint="-0.24994659260841701"/>
              </font>
              <fill>
                <patternFill>
                  <bgColor theme="9" tint="0.59996337778862885"/>
                </patternFill>
              </fill>
            </x14:dxf>
          </x14:cfRule>
          <xm:sqref>B41</xm:sqref>
        </x14:conditionalFormatting>
        <x14:conditionalFormatting xmlns:xm="http://schemas.microsoft.com/office/excel/2006/main">
          <x14:cfRule type="expression" priority="3499" id="{ADE530F3-E253-4AAC-81E6-4A9AB2C47015}">
            <xm:f>'TC1'!$B16="HANGUP"</xm:f>
            <x14:dxf>
              <font>
                <b/>
                <i val="0"/>
              </font>
            </x14:dxf>
          </x14:cfRule>
          <x14:cfRule type="expression" priority="3500" id="{914DA0E3-B171-4D2D-B60C-185469C36234}">
            <xm:f>'TC1'!$B16="Dial"</xm:f>
            <x14:dxf>
              <font>
                <b/>
                <i val="0"/>
                <color rgb="FFFF0000"/>
              </font>
            </x14:dxf>
          </x14:cfRule>
          <xm:sqref>C34:C43</xm:sqref>
        </x14:conditionalFormatting>
        <x14:conditionalFormatting xmlns:xm="http://schemas.microsoft.com/office/excel/2006/main">
          <x14:cfRule type="expression" priority="3501" id="{ADE530F3-E253-4AAC-81E6-4A9AB2C47015}">
            <xm:f>'TC1'!#REF!="HANGUP"</xm:f>
            <x14:dxf>
              <font>
                <b/>
                <i val="0"/>
              </font>
            </x14:dxf>
          </x14:cfRule>
          <x14:cfRule type="expression" priority="3502" id="{914DA0E3-B171-4D2D-B60C-185469C36234}">
            <xm:f>'TC1'!#REF!="Dial"</xm:f>
            <x14:dxf>
              <font>
                <b/>
                <i val="0"/>
                <color rgb="FFFF0000"/>
              </font>
            </x14:dxf>
          </x14:cfRule>
          <xm:sqref>C17:C33</xm:sqref>
        </x14:conditionalFormatting>
        <x14:conditionalFormatting xmlns:xm="http://schemas.microsoft.com/office/excel/2006/main">
          <x14:cfRule type="expression" priority="3506" id="{CCEDBEEA-A7BB-46EA-8AB0-FDB70E60C014}">
            <xm:f>'TC1'!$B16="Speak"</xm:f>
            <x14:dxf>
              <font>
                <b/>
                <i val="0"/>
                <color rgb="FFFF0000"/>
              </font>
            </x14:dxf>
          </x14:cfRule>
          <xm:sqref>C34:C43</xm:sqref>
        </x14:conditionalFormatting>
        <x14:conditionalFormatting xmlns:xm="http://schemas.microsoft.com/office/excel/2006/main">
          <x14:cfRule type="expression" priority="3507" id="{CCEDBEEA-A7BB-46EA-8AB0-FDB70E60C014}">
            <xm:f>'TC1'!#REF!="Speak"</xm:f>
            <x14:dxf>
              <font>
                <b/>
                <i val="0"/>
                <color rgb="FFFF0000"/>
              </font>
            </x14:dxf>
          </x14:cfRule>
          <xm:sqref>C17:C33</xm:sqref>
        </x14:conditionalFormatting>
        <x14:conditionalFormatting xmlns:xm="http://schemas.microsoft.com/office/excel/2006/main">
          <x14:cfRule type="containsText" priority="3511" operator="containsText" text="DB" id="{DD0E3057-640C-4190-A0BD-258A2F3476BE}">
            <xm:f>NOT(ISERROR(SEARCH("DB",'TC1'!E16)))</xm:f>
            <x14:dxf>
              <font>
                <color rgb="FF006100"/>
              </font>
              <fill>
                <patternFill>
                  <bgColor rgb="FFC6EFCE"/>
                </patternFill>
              </fill>
            </x14:dxf>
          </x14:cfRule>
          <x14:cfRule type="containsText" priority="3512" operator="containsText" text="WEB SERVICE" id="{B8A1F020-57C4-4B36-B3F5-4A0037FF7803}">
            <xm:f>NOT(ISERROR(SEARCH("WEB SERVICE",'TC1'!E16)))</xm:f>
            <x14:dxf>
              <font>
                <color rgb="FF9C0006"/>
              </font>
              <fill>
                <patternFill>
                  <bgColor rgb="FFFFC7CE"/>
                </patternFill>
              </fill>
            </x14:dxf>
          </x14:cfRule>
          <xm:sqref>E34:E43</xm:sqref>
        </x14:conditionalFormatting>
        <x14:conditionalFormatting xmlns:xm="http://schemas.microsoft.com/office/excel/2006/main">
          <x14:cfRule type="containsText" priority="3513" operator="containsText" text="DB" id="{DD0E3057-640C-4190-A0BD-258A2F3476BE}">
            <xm:f>NOT(ISERROR(SEARCH("DB",'TC1'!#REF!)))</xm:f>
            <x14:dxf>
              <font>
                <color rgb="FF006100"/>
              </font>
              <fill>
                <patternFill>
                  <bgColor rgb="FFC6EFCE"/>
                </patternFill>
              </fill>
            </x14:dxf>
          </x14:cfRule>
          <x14:cfRule type="containsText" priority="3514" operator="containsText" text="WEB SERVICE" id="{B8A1F020-57C4-4B36-B3F5-4A0037FF7803}">
            <xm:f>NOT(ISERROR(SEARCH("WEB SERVICE",'TC1'!#REF!)))</xm:f>
            <x14:dxf>
              <font>
                <color rgb="FF9C0006"/>
              </font>
              <fill>
                <patternFill>
                  <bgColor rgb="FFFFC7CE"/>
                </patternFill>
              </fill>
            </x14:dxf>
          </x14:cfRule>
          <xm:sqref>E17:E33</xm:sqref>
        </x14:conditionalFormatting>
        <x14:conditionalFormatting xmlns:xm="http://schemas.microsoft.com/office/excel/2006/main">
          <x14:cfRule type="expression" priority="6107" id="{ADE530F3-E253-4AAC-81E6-4A9AB2C47015}">
            <xm:f>'TC1'!$B9="HANGUP"</xm:f>
            <x14:dxf>
              <font>
                <b/>
                <i val="0"/>
              </font>
            </x14:dxf>
          </x14:cfRule>
          <x14:cfRule type="expression" priority="6108" id="{914DA0E3-B171-4D2D-B60C-185469C36234}">
            <xm:f>'TC1'!$B9="Dial"</xm:f>
            <x14:dxf>
              <font>
                <b/>
                <i val="0"/>
                <color rgb="FFFF0000"/>
              </font>
            </x14:dxf>
          </x14:cfRule>
          <xm:sqref>C12:C15</xm:sqref>
        </x14:conditionalFormatting>
        <x14:conditionalFormatting xmlns:xm="http://schemas.microsoft.com/office/excel/2006/main">
          <x14:cfRule type="expression" priority="6109" id="{ADE530F3-E253-4AAC-81E6-4A9AB2C47015}">
            <xm:f>'TC1'!#REF!="HANGUP"</xm:f>
            <x14:dxf>
              <font>
                <b/>
                <i val="0"/>
              </font>
            </x14:dxf>
          </x14:cfRule>
          <x14:cfRule type="expression" priority="6110" id="{914DA0E3-B171-4D2D-B60C-185469C36234}">
            <xm:f>'TC1'!#REF!="Dial"</xm:f>
            <x14:dxf>
              <font>
                <b/>
                <i val="0"/>
                <color rgb="FFFF0000"/>
              </font>
            </x14:dxf>
          </x14:cfRule>
          <xm:sqref>C9:C11</xm:sqref>
        </x14:conditionalFormatting>
        <x14:conditionalFormatting xmlns:xm="http://schemas.microsoft.com/office/excel/2006/main">
          <x14:cfRule type="expression" priority="6114" id="{CCEDBEEA-A7BB-46EA-8AB0-FDB70E60C014}">
            <xm:f>'TC1'!$B9="Speak"</xm:f>
            <x14:dxf>
              <font>
                <b/>
                <i val="0"/>
                <color rgb="FFFF0000"/>
              </font>
            </x14:dxf>
          </x14:cfRule>
          <xm:sqref>C12:C15</xm:sqref>
        </x14:conditionalFormatting>
        <x14:conditionalFormatting xmlns:xm="http://schemas.microsoft.com/office/excel/2006/main">
          <x14:cfRule type="expression" priority="6115" id="{CCEDBEEA-A7BB-46EA-8AB0-FDB70E60C014}">
            <xm:f>'TC1'!#REF!="Speak"</xm:f>
            <x14:dxf>
              <font>
                <b/>
                <i val="0"/>
                <color rgb="FFFF0000"/>
              </font>
            </x14:dxf>
          </x14:cfRule>
          <xm:sqref>C9:C11</xm:sqref>
        </x14:conditionalFormatting>
        <x14:conditionalFormatting xmlns:xm="http://schemas.microsoft.com/office/excel/2006/main">
          <x14:cfRule type="containsText" priority="6117" operator="containsText" text="DB" id="{DD0E3057-640C-4190-A0BD-258A2F3476BE}">
            <xm:f>NOT(ISERROR(SEARCH("DB",'TC1'!#REF!)))</xm:f>
            <x14:dxf>
              <font>
                <color rgb="FF006100"/>
              </font>
              <fill>
                <patternFill>
                  <bgColor rgb="FFC6EFCE"/>
                </patternFill>
              </fill>
            </x14:dxf>
          </x14:cfRule>
          <x14:cfRule type="containsText" priority="6118" operator="containsText" text="WEB SERVICE" id="{B8A1F020-57C4-4B36-B3F5-4A0037FF7803}">
            <xm:f>NOT(ISERROR(SEARCH("WEB SERVICE",'TC1'!#REF!)))</xm:f>
            <x14:dxf>
              <font>
                <color rgb="FF9C0006"/>
              </font>
              <fill>
                <patternFill>
                  <bgColor rgb="FFFFC7CE"/>
                </patternFill>
              </fill>
            </x14:dxf>
          </x14:cfRule>
          <xm:sqref>E9:E11</xm:sqref>
        </x14:conditionalFormatting>
        <x14:conditionalFormatting xmlns:xm="http://schemas.microsoft.com/office/excel/2006/main">
          <x14:cfRule type="containsText" priority="6119" operator="containsText" text="DB" id="{DD0E3057-640C-4190-A0BD-258A2F3476BE}">
            <xm:f>NOT(ISERROR(SEARCH("DB",'TC1'!E9)))</xm:f>
            <x14:dxf>
              <font>
                <color rgb="FF006100"/>
              </font>
              <fill>
                <patternFill>
                  <bgColor rgb="FFC6EFCE"/>
                </patternFill>
              </fill>
            </x14:dxf>
          </x14:cfRule>
          <x14:cfRule type="containsText" priority="6120" operator="containsText" text="WEB SERVICE" id="{B8A1F020-57C4-4B36-B3F5-4A0037FF7803}">
            <xm:f>NOT(ISERROR(SEARCH("WEB SERVICE",'TC1'!E9)))</xm:f>
            <x14:dxf>
              <font>
                <color rgb="FF9C0006"/>
              </font>
              <fill>
                <patternFill>
                  <bgColor rgb="FFFFC7CE"/>
                </patternFill>
              </fill>
            </x14:dxf>
          </x14:cfRule>
          <xm:sqref>E12:E15</xm:sqref>
        </x14:conditionalFormatting>
        <x14:conditionalFormatting xmlns:xm="http://schemas.microsoft.com/office/excel/2006/main">
          <x14:cfRule type="expression" priority="8252" id="{ADE530F3-E253-4AAC-81E6-4A9AB2C47015}">
            <xm:f>'TC1'!$B15="HANGUP"</xm:f>
            <x14:dxf>
              <font>
                <b/>
                <i val="0"/>
              </font>
            </x14:dxf>
          </x14:cfRule>
          <x14:cfRule type="expression" priority="8253" id="{914DA0E3-B171-4D2D-B60C-185469C36234}">
            <xm:f>'TC1'!$B15="Dial"</xm:f>
            <x14:dxf>
              <font>
                <b/>
                <i val="0"/>
                <color rgb="FFFF0000"/>
              </font>
            </x14:dxf>
          </x14:cfRule>
          <xm:sqref>C16</xm:sqref>
        </x14:conditionalFormatting>
        <x14:conditionalFormatting xmlns:xm="http://schemas.microsoft.com/office/excel/2006/main">
          <x14:cfRule type="expression" priority="8255" id="{CCEDBEEA-A7BB-46EA-8AB0-FDB70E60C014}">
            <xm:f>'TC1'!$B15="Speak"</xm:f>
            <x14:dxf>
              <font>
                <b/>
                <i val="0"/>
                <color rgb="FFFF0000"/>
              </font>
            </x14:dxf>
          </x14:cfRule>
          <xm:sqref>C16</xm:sqref>
        </x14:conditionalFormatting>
        <x14:conditionalFormatting xmlns:xm="http://schemas.microsoft.com/office/excel/2006/main">
          <x14:cfRule type="containsText" priority="8258" operator="containsText" text="DB" id="{DD0E3057-640C-4190-A0BD-258A2F3476BE}">
            <xm:f>NOT(ISERROR(SEARCH("DB",'TC1'!E15)))</xm:f>
            <x14:dxf>
              <font>
                <color rgb="FF006100"/>
              </font>
              <fill>
                <patternFill>
                  <bgColor rgb="FFC6EFCE"/>
                </patternFill>
              </fill>
            </x14:dxf>
          </x14:cfRule>
          <x14:cfRule type="containsText" priority="8259" operator="containsText" text="WEB SERVICE" id="{B8A1F020-57C4-4B36-B3F5-4A0037FF7803}">
            <xm:f>NOT(ISERROR(SEARCH("WEB SERVICE",'TC1'!E15)))</xm:f>
            <x14:dxf>
              <font>
                <color rgb="FF9C0006"/>
              </font>
              <fill>
                <patternFill>
                  <bgColor rgb="FFFFC7CE"/>
                </patternFill>
              </fill>
            </x14:dxf>
          </x14:cfRule>
          <xm:sqref>E16</xm:sqref>
        </x14:conditionalFormatting>
        <x14:conditionalFormatting xmlns:xm="http://schemas.microsoft.com/office/excel/2006/main">
          <x14:cfRule type="containsText" priority="11070" operator="containsText" text="Hear" id="{5FF95B07-0AC8-4FA2-9A3B-6E0015D8BC32}">
            <xm:f>NOT(ISERROR(SEARCH("Hear",'TC26'!#REF!)))</xm:f>
            <x14:dxf>
              <font>
                <color theme="9" tint="-0.24994659260841701"/>
              </font>
              <fill>
                <patternFill>
                  <bgColor theme="9" tint="0.59996337778862885"/>
                </patternFill>
              </fill>
            </x14:dxf>
          </x14:cfRule>
          <xm:sqref>B39</xm:sqref>
        </x14:conditionalFormatting>
      </x14:conditionalFormattings>
    </ext>
  </extLst>
</worksheet>
</file>

<file path=xl/worksheets/sheet2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CA00-000000000000}">
  <sheetPr codeName="Sheet3"/>
  <dimension ref="A1:D372"/>
  <sheetViews>
    <sheetView topLeftCell="A63" zoomScaleNormal="100" workbookViewId="0">
      <selection activeCell="J101" sqref="J101"/>
    </sheetView>
  </sheetViews>
  <sheetFormatPr defaultRowHeight="14.5" x14ac:dyDescent="0.35"/>
  <cols>
    <col min="1" max="1" width="23.36328125" style="30" customWidth="1"/>
    <col min="2" max="2" width="91.90625" style="42" customWidth="1"/>
    <col min="3" max="3" width="34.1796875" style="29" customWidth="1"/>
    <col min="4" max="4" width="17" style="42" customWidth="1"/>
  </cols>
  <sheetData>
    <row r="1" spans="1:4" x14ac:dyDescent="0.35">
      <c r="A1" s="30" t="s">
        <v>15</v>
      </c>
      <c r="B1" s="28" t="s">
        <v>16</v>
      </c>
      <c r="C1" s="31" t="s">
        <v>126</v>
      </c>
      <c r="D1" s="28" t="s">
        <v>17</v>
      </c>
    </row>
    <row r="2" spans="1:4" s="97" customFormat="1" ht="101.5" x14ac:dyDescent="0.35">
      <c r="A2" s="137" t="s">
        <v>241</v>
      </c>
      <c r="B2" s="138" t="s">
        <v>242</v>
      </c>
      <c r="C2" s="119" t="s">
        <v>210</v>
      </c>
      <c r="D2" s="120"/>
    </row>
    <row r="3" spans="1:4" s="97" customFormat="1" ht="116" x14ac:dyDescent="0.35">
      <c r="A3" s="137" t="s">
        <v>243</v>
      </c>
      <c r="B3" s="138" t="s">
        <v>244</v>
      </c>
      <c r="C3" s="119" t="s">
        <v>210</v>
      </c>
      <c r="D3" s="120"/>
    </row>
    <row r="4" spans="1:4" x14ac:dyDescent="0.35">
      <c r="A4" s="133" t="s">
        <v>245</v>
      </c>
      <c r="B4" s="133" t="s">
        <v>135</v>
      </c>
      <c r="C4" s="119" t="s">
        <v>210</v>
      </c>
      <c r="D4" s="120"/>
    </row>
    <row r="5" spans="1:4" s="97" customFormat="1" x14ac:dyDescent="0.35">
      <c r="A5" s="131" t="s">
        <v>246</v>
      </c>
      <c r="B5" s="131" t="s">
        <v>136</v>
      </c>
      <c r="C5" s="119" t="s">
        <v>210</v>
      </c>
      <c r="D5" s="120"/>
    </row>
    <row r="6" spans="1:4" s="97" customFormat="1" ht="29" x14ac:dyDescent="0.35">
      <c r="A6" s="131" t="s">
        <v>247</v>
      </c>
      <c r="B6" s="132" t="s">
        <v>480</v>
      </c>
      <c r="C6" s="119" t="s">
        <v>210</v>
      </c>
      <c r="D6" s="120"/>
    </row>
    <row r="7" spans="1:4" s="97" customFormat="1" x14ac:dyDescent="0.35">
      <c r="A7" s="132" t="s">
        <v>248</v>
      </c>
      <c r="B7" s="131" t="s">
        <v>137</v>
      </c>
      <c r="C7" s="119" t="s">
        <v>210</v>
      </c>
      <c r="D7" s="120"/>
    </row>
    <row r="8" spans="1:4" s="97" customFormat="1" x14ac:dyDescent="0.35">
      <c r="A8" s="131" t="s">
        <v>249</v>
      </c>
      <c r="B8" s="131" t="s">
        <v>138</v>
      </c>
      <c r="C8" s="119" t="s">
        <v>210</v>
      </c>
      <c r="D8" s="120"/>
    </row>
    <row r="9" spans="1:4" s="42" customFormat="1" ht="29" x14ac:dyDescent="0.35">
      <c r="A9" s="132" t="s">
        <v>250</v>
      </c>
      <c r="B9" s="132" t="s">
        <v>482</v>
      </c>
      <c r="C9" s="119" t="s">
        <v>210</v>
      </c>
      <c r="D9" s="29"/>
    </row>
    <row r="10" spans="1:4" s="42" customFormat="1" x14ac:dyDescent="0.35">
      <c r="A10" s="132" t="s">
        <v>251</v>
      </c>
      <c r="B10" s="132" t="s">
        <v>139</v>
      </c>
      <c r="C10" s="119" t="s">
        <v>210</v>
      </c>
      <c r="D10" s="98"/>
    </row>
    <row r="11" spans="1:4" s="97" customFormat="1" ht="29" x14ac:dyDescent="0.35">
      <c r="A11" s="132" t="s">
        <v>252</v>
      </c>
      <c r="B11" s="132" t="s">
        <v>481</v>
      </c>
      <c r="C11" s="119" t="s">
        <v>210</v>
      </c>
      <c r="D11" s="29"/>
    </row>
    <row r="12" spans="1:4" x14ac:dyDescent="0.35">
      <c r="A12" s="132" t="s">
        <v>253</v>
      </c>
      <c r="B12" s="131" t="s">
        <v>137</v>
      </c>
      <c r="C12" s="119"/>
      <c r="D12" s="29"/>
    </row>
    <row r="13" spans="1:4" x14ac:dyDescent="0.35">
      <c r="A13" s="132" t="s">
        <v>254</v>
      </c>
      <c r="B13" s="132" t="s">
        <v>140</v>
      </c>
      <c r="C13" s="119" t="s">
        <v>210</v>
      </c>
      <c r="D13" s="29"/>
    </row>
    <row r="14" spans="1:4" x14ac:dyDescent="0.35">
      <c r="A14" s="132" t="s">
        <v>255</v>
      </c>
      <c r="B14" s="132" t="s">
        <v>141</v>
      </c>
      <c r="C14" s="119" t="s">
        <v>210</v>
      </c>
      <c r="D14" s="29"/>
    </row>
    <row r="15" spans="1:4" s="42" customFormat="1" x14ac:dyDescent="0.35">
      <c r="A15" s="132" t="s">
        <v>256</v>
      </c>
      <c r="B15" s="132" t="s">
        <v>225</v>
      </c>
      <c r="C15" s="119" t="s">
        <v>210</v>
      </c>
      <c r="D15" s="29"/>
    </row>
    <row r="16" spans="1:4" x14ac:dyDescent="0.35">
      <c r="A16" s="132" t="s">
        <v>257</v>
      </c>
      <c r="B16" s="132" t="s">
        <v>226</v>
      </c>
      <c r="C16" s="119" t="s">
        <v>210</v>
      </c>
      <c r="D16" s="120"/>
    </row>
    <row r="17" spans="1:4" x14ac:dyDescent="0.35">
      <c r="A17" s="132" t="s">
        <v>258</v>
      </c>
      <c r="B17" s="132" t="s">
        <v>227</v>
      </c>
      <c r="C17" s="119" t="s">
        <v>210</v>
      </c>
      <c r="D17" s="29"/>
    </row>
    <row r="18" spans="1:4" s="97" customFormat="1" x14ac:dyDescent="0.35">
      <c r="A18" s="132" t="s">
        <v>259</v>
      </c>
      <c r="B18" s="132" t="s">
        <v>228</v>
      </c>
      <c r="C18" s="119" t="s">
        <v>210</v>
      </c>
      <c r="D18" s="120"/>
    </row>
    <row r="19" spans="1:4" x14ac:dyDescent="0.35">
      <c r="A19" s="132" t="s">
        <v>260</v>
      </c>
      <c r="B19" s="132" t="s">
        <v>142</v>
      </c>
      <c r="C19" s="119" t="s">
        <v>210</v>
      </c>
      <c r="D19" s="29"/>
    </row>
    <row r="20" spans="1:4" x14ac:dyDescent="0.35">
      <c r="A20" s="132" t="s">
        <v>261</v>
      </c>
      <c r="B20" s="132" t="s">
        <v>143</v>
      </c>
      <c r="C20" s="119" t="s">
        <v>210</v>
      </c>
      <c r="D20" s="29"/>
    </row>
    <row r="21" spans="1:4" x14ac:dyDescent="0.35">
      <c r="A21" s="132" t="s">
        <v>262</v>
      </c>
      <c r="B21" s="132" t="s">
        <v>144</v>
      </c>
      <c r="C21" s="119" t="s">
        <v>210</v>
      </c>
      <c r="D21" s="29"/>
    </row>
    <row r="22" spans="1:4" x14ac:dyDescent="0.35">
      <c r="A22" s="132" t="s">
        <v>263</v>
      </c>
      <c r="B22" s="132" t="s">
        <v>145</v>
      </c>
      <c r="C22" s="119" t="s">
        <v>210</v>
      </c>
      <c r="D22" s="29"/>
    </row>
    <row r="23" spans="1:4" ht="29" x14ac:dyDescent="0.35">
      <c r="A23" s="132" t="s">
        <v>264</v>
      </c>
      <c r="B23" s="132" t="s">
        <v>146</v>
      </c>
      <c r="C23" s="119" t="s">
        <v>210</v>
      </c>
      <c r="D23" s="29"/>
    </row>
    <row r="24" spans="1:4" ht="29" x14ac:dyDescent="0.35">
      <c r="A24" s="132" t="s">
        <v>265</v>
      </c>
      <c r="B24" s="132" t="s">
        <v>147</v>
      </c>
      <c r="C24" s="119" t="s">
        <v>210</v>
      </c>
      <c r="D24" s="29"/>
    </row>
    <row r="25" spans="1:4" s="97" customFormat="1" ht="29" x14ac:dyDescent="0.35">
      <c r="A25" s="132" t="s">
        <v>266</v>
      </c>
      <c r="B25" s="132" t="s">
        <v>229</v>
      </c>
      <c r="C25" s="119" t="s">
        <v>210</v>
      </c>
      <c r="D25" s="120"/>
    </row>
    <row r="26" spans="1:4" s="40" customFormat="1" x14ac:dyDescent="0.35">
      <c r="A26" s="132" t="s">
        <v>267</v>
      </c>
      <c r="B26" s="132" t="s">
        <v>230</v>
      </c>
      <c r="C26" s="119" t="s">
        <v>210</v>
      </c>
      <c r="D26" s="29"/>
    </row>
    <row r="27" spans="1:4" s="40" customFormat="1" x14ac:dyDescent="0.35">
      <c r="A27" s="132" t="s">
        <v>268</v>
      </c>
      <c r="B27" s="132" t="s">
        <v>148</v>
      </c>
      <c r="C27" s="119" t="s">
        <v>210</v>
      </c>
      <c r="D27" s="29"/>
    </row>
    <row r="28" spans="1:4" s="40" customFormat="1" x14ac:dyDescent="0.35">
      <c r="A28" s="132" t="s">
        <v>269</v>
      </c>
      <c r="B28" s="132" t="s">
        <v>149</v>
      </c>
      <c r="C28" s="119" t="s">
        <v>210</v>
      </c>
      <c r="D28" s="29"/>
    </row>
    <row r="29" spans="1:4" s="40" customFormat="1" x14ac:dyDescent="0.35">
      <c r="A29" s="132" t="s">
        <v>270</v>
      </c>
      <c r="B29" s="132" t="s">
        <v>150</v>
      </c>
      <c r="C29" s="119" t="s">
        <v>210</v>
      </c>
      <c r="D29" s="29"/>
    </row>
    <row r="30" spans="1:4" s="40" customFormat="1" x14ac:dyDescent="0.35">
      <c r="A30" s="132" t="s">
        <v>271</v>
      </c>
      <c r="B30" s="132" t="s">
        <v>231</v>
      </c>
      <c r="C30" s="119" t="s">
        <v>210</v>
      </c>
      <c r="D30" s="29"/>
    </row>
    <row r="31" spans="1:4" s="40" customFormat="1" x14ac:dyDescent="0.35">
      <c r="A31" s="132" t="s">
        <v>272</v>
      </c>
      <c r="B31" s="132" t="s">
        <v>151</v>
      </c>
      <c r="C31" s="119" t="s">
        <v>210</v>
      </c>
      <c r="D31" s="79"/>
    </row>
    <row r="32" spans="1:4" x14ac:dyDescent="0.35">
      <c r="A32" s="132" t="s">
        <v>273</v>
      </c>
      <c r="B32" s="132" t="s">
        <v>152</v>
      </c>
      <c r="C32" s="119" t="s">
        <v>210</v>
      </c>
      <c r="D32" s="29"/>
    </row>
    <row r="33" spans="1:4" x14ac:dyDescent="0.35">
      <c r="A33" s="132" t="s">
        <v>274</v>
      </c>
      <c r="B33" s="132" t="s">
        <v>153</v>
      </c>
      <c r="C33" s="119" t="s">
        <v>210</v>
      </c>
      <c r="D33" s="29"/>
    </row>
    <row r="34" spans="1:4" s="97" customFormat="1" x14ac:dyDescent="0.35">
      <c r="A34" s="132" t="s">
        <v>275</v>
      </c>
      <c r="B34" s="132" t="s">
        <v>232</v>
      </c>
      <c r="C34" s="119" t="s">
        <v>210</v>
      </c>
      <c r="D34" s="120"/>
    </row>
    <row r="35" spans="1:4" x14ac:dyDescent="0.35">
      <c r="A35" s="132" t="s">
        <v>276</v>
      </c>
      <c r="B35" s="132" t="s">
        <v>233</v>
      </c>
      <c r="C35" s="119" t="s">
        <v>210</v>
      </c>
      <c r="D35" s="29"/>
    </row>
    <row r="36" spans="1:4" x14ac:dyDescent="0.35">
      <c r="A36" s="132" t="s">
        <v>277</v>
      </c>
      <c r="B36" s="132" t="s">
        <v>499</v>
      </c>
      <c r="C36" s="119" t="s">
        <v>210</v>
      </c>
      <c r="D36" s="29"/>
    </row>
    <row r="37" spans="1:4" x14ac:dyDescent="0.35">
      <c r="A37" s="132" t="s">
        <v>278</v>
      </c>
      <c r="B37" s="132" t="s">
        <v>232</v>
      </c>
      <c r="C37" s="119" t="s">
        <v>210</v>
      </c>
      <c r="D37" s="29"/>
    </row>
    <row r="38" spans="1:4" x14ac:dyDescent="0.35">
      <c r="A38" s="132" t="s">
        <v>279</v>
      </c>
      <c r="B38" s="132" t="s">
        <v>233</v>
      </c>
      <c r="C38" s="119" t="s">
        <v>210</v>
      </c>
      <c r="D38" s="29"/>
    </row>
    <row r="39" spans="1:4" x14ac:dyDescent="0.35">
      <c r="A39" s="132" t="s">
        <v>280</v>
      </c>
      <c r="B39" s="132" t="s">
        <v>499</v>
      </c>
      <c r="C39" s="119" t="s">
        <v>210</v>
      </c>
      <c r="D39" s="29"/>
    </row>
    <row r="40" spans="1:4" s="42" customFormat="1" x14ac:dyDescent="0.35">
      <c r="A40" s="132" t="s">
        <v>281</v>
      </c>
      <c r="B40" s="132" t="s">
        <v>234</v>
      </c>
      <c r="C40" s="119" t="s">
        <v>210</v>
      </c>
      <c r="D40" s="29"/>
    </row>
    <row r="41" spans="1:4" x14ac:dyDescent="0.35">
      <c r="A41" s="132" t="s">
        <v>282</v>
      </c>
      <c r="B41" s="132" t="s">
        <v>235</v>
      </c>
      <c r="C41" s="119" t="s">
        <v>210</v>
      </c>
      <c r="D41" s="29"/>
    </row>
    <row r="42" spans="1:4" s="40" customFormat="1" x14ac:dyDescent="0.35">
      <c r="A42" s="132" t="s">
        <v>283</v>
      </c>
      <c r="B42" s="132" t="s">
        <v>500</v>
      </c>
      <c r="C42" s="119" t="s">
        <v>210</v>
      </c>
      <c r="D42" s="29"/>
    </row>
    <row r="43" spans="1:4" s="97" customFormat="1" ht="29" x14ac:dyDescent="0.35">
      <c r="A43" s="145" t="s">
        <v>391</v>
      </c>
      <c r="B43" s="146" t="s">
        <v>211</v>
      </c>
      <c r="C43" s="119"/>
      <c r="D43" s="120"/>
    </row>
    <row r="44" spans="1:4" s="40" customFormat="1" x14ac:dyDescent="0.35">
      <c r="A44" s="132" t="s">
        <v>284</v>
      </c>
      <c r="B44" s="132" t="s">
        <v>154</v>
      </c>
      <c r="C44" s="119"/>
      <c r="D44" s="29"/>
    </row>
    <row r="45" spans="1:4" s="97" customFormat="1" ht="29" x14ac:dyDescent="0.35">
      <c r="A45" s="133" t="s">
        <v>285</v>
      </c>
      <c r="B45" s="132" t="s">
        <v>155</v>
      </c>
      <c r="C45" s="119" t="s">
        <v>210</v>
      </c>
      <c r="D45" s="120"/>
    </row>
    <row r="46" spans="1:4" s="40" customFormat="1" x14ac:dyDescent="0.35">
      <c r="A46" s="132" t="s">
        <v>286</v>
      </c>
      <c r="B46" s="132" t="s">
        <v>156</v>
      </c>
      <c r="C46" s="119" t="s">
        <v>210</v>
      </c>
      <c r="D46" s="29"/>
    </row>
    <row r="47" spans="1:4" s="40" customFormat="1" x14ac:dyDescent="0.35">
      <c r="A47" s="132" t="s">
        <v>287</v>
      </c>
      <c r="B47" s="132" t="s">
        <v>157</v>
      </c>
      <c r="C47" s="119" t="s">
        <v>210</v>
      </c>
      <c r="D47" s="29"/>
    </row>
    <row r="48" spans="1:4" ht="58" x14ac:dyDescent="0.35">
      <c r="A48" s="132" t="s">
        <v>288</v>
      </c>
      <c r="B48" s="132" t="s">
        <v>158</v>
      </c>
      <c r="C48" s="119" t="s">
        <v>210</v>
      </c>
      <c r="D48" s="29"/>
    </row>
    <row r="49" spans="1:4" x14ac:dyDescent="0.35">
      <c r="A49" s="132" t="s">
        <v>289</v>
      </c>
      <c r="B49" s="132" t="s">
        <v>159</v>
      </c>
      <c r="C49" s="119" t="s">
        <v>210</v>
      </c>
      <c r="D49" s="29"/>
    </row>
    <row r="50" spans="1:4" s="97" customFormat="1" x14ac:dyDescent="0.35">
      <c r="A50" s="132" t="s">
        <v>290</v>
      </c>
      <c r="B50" s="132" t="s">
        <v>160</v>
      </c>
      <c r="C50" s="119" t="s">
        <v>210</v>
      </c>
      <c r="D50" s="120"/>
    </row>
    <row r="51" spans="1:4" x14ac:dyDescent="0.35">
      <c r="A51" s="132" t="s">
        <v>291</v>
      </c>
      <c r="B51" s="132" t="s">
        <v>161</v>
      </c>
      <c r="C51" s="119" t="s">
        <v>210</v>
      </c>
      <c r="D51" s="29"/>
    </row>
    <row r="52" spans="1:4" x14ac:dyDescent="0.35">
      <c r="A52" s="132" t="s">
        <v>292</v>
      </c>
      <c r="B52" s="132" t="s">
        <v>212</v>
      </c>
      <c r="C52" s="119" t="s">
        <v>210</v>
      </c>
      <c r="D52" s="29"/>
    </row>
    <row r="53" spans="1:4" x14ac:dyDescent="0.35">
      <c r="A53" s="132" t="s">
        <v>293</v>
      </c>
      <c r="B53" s="132" t="s">
        <v>162</v>
      </c>
      <c r="C53" s="119" t="s">
        <v>210</v>
      </c>
      <c r="D53" s="29"/>
    </row>
    <row r="54" spans="1:4" s="97" customFormat="1" ht="29" x14ac:dyDescent="0.35">
      <c r="A54" s="132" t="s">
        <v>294</v>
      </c>
      <c r="B54" s="132" t="s">
        <v>163</v>
      </c>
      <c r="C54" s="119" t="s">
        <v>210</v>
      </c>
      <c r="D54" s="29"/>
    </row>
    <row r="55" spans="1:4" x14ac:dyDescent="0.35">
      <c r="A55" s="132" t="s">
        <v>295</v>
      </c>
      <c r="B55" s="132" t="s">
        <v>165</v>
      </c>
      <c r="C55" s="119" t="s">
        <v>210</v>
      </c>
      <c r="D55" s="29"/>
    </row>
    <row r="56" spans="1:4" x14ac:dyDescent="0.35">
      <c r="A56" s="132" t="s">
        <v>296</v>
      </c>
      <c r="B56" s="132" t="s">
        <v>166</v>
      </c>
      <c r="C56" s="119" t="s">
        <v>210</v>
      </c>
      <c r="D56" s="29"/>
    </row>
    <row r="57" spans="1:4" x14ac:dyDescent="0.35">
      <c r="A57" s="132" t="s">
        <v>297</v>
      </c>
      <c r="B57" s="132" t="s">
        <v>167</v>
      </c>
      <c r="C57" s="119" t="s">
        <v>210</v>
      </c>
      <c r="D57" s="29"/>
    </row>
    <row r="58" spans="1:4" x14ac:dyDescent="0.35">
      <c r="A58" s="132" t="s">
        <v>298</v>
      </c>
      <c r="B58" s="132" t="s">
        <v>168</v>
      </c>
      <c r="C58" s="119" t="s">
        <v>210</v>
      </c>
      <c r="D58" s="29"/>
    </row>
    <row r="59" spans="1:4" x14ac:dyDescent="0.35">
      <c r="A59" s="132" t="s">
        <v>299</v>
      </c>
      <c r="B59" s="132" t="s">
        <v>169</v>
      </c>
      <c r="C59" s="119" t="s">
        <v>210</v>
      </c>
      <c r="D59" s="29"/>
    </row>
    <row r="60" spans="1:4" x14ac:dyDescent="0.35">
      <c r="A60" s="132" t="s">
        <v>300</v>
      </c>
      <c r="B60" s="132" t="s">
        <v>170</v>
      </c>
      <c r="C60" s="119" t="s">
        <v>210</v>
      </c>
      <c r="D60" s="29"/>
    </row>
    <row r="61" spans="1:4" s="97" customFormat="1" x14ac:dyDescent="0.35">
      <c r="A61" s="132" t="s">
        <v>301</v>
      </c>
      <c r="B61" s="132" t="s">
        <v>213</v>
      </c>
      <c r="C61" s="119"/>
      <c r="D61" s="120"/>
    </row>
    <row r="62" spans="1:4" s="97" customFormat="1" x14ac:dyDescent="0.35">
      <c r="A62" s="132" t="s">
        <v>302</v>
      </c>
      <c r="B62" s="132" t="s">
        <v>224</v>
      </c>
      <c r="C62" s="119" t="s">
        <v>210</v>
      </c>
      <c r="D62" s="120"/>
    </row>
    <row r="63" spans="1:4" s="97" customFormat="1" ht="29" x14ac:dyDescent="0.35">
      <c r="A63" s="132" t="s">
        <v>303</v>
      </c>
      <c r="B63" s="132" t="s">
        <v>163</v>
      </c>
      <c r="C63" s="119" t="s">
        <v>210</v>
      </c>
      <c r="D63" s="120"/>
    </row>
    <row r="64" spans="1:4" ht="43.5" x14ac:dyDescent="0.35">
      <c r="A64" s="132" t="s">
        <v>304</v>
      </c>
      <c r="B64" s="132" t="s">
        <v>214</v>
      </c>
      <c r="C64" s="119" t="s">
        <v>210</v>
      </c>
      <c r="D64" s="29"/>
    </row>
    <row r="65" spans="1:4" s="97" customFormat="1" x14ac:dyDescent="0.35">
      <c r="A65" s="132" t="s">
        <v>305</v>
      </c>
      <c r="B65" s="132" t="s">
        <v>171</v>
      </c>
      <c r="C65" s="119" t="s">
        <v>210</v>
      </c>
      <c r="D65" s="120"/>
    </row>
    <row r="66" spans="1:4" s="97" customFormat="1" x14ac:dyDescent="0.35">
      <c r="A66" s="132" t="s">
        <v>306</v>
      </c>
      <c r="B66" s="132" t="s">
        <v>172</v>
      </c>
      <c r="C66" s="119" t="s">
        <v>210</v>
      </c>
      <c r="D66" s="120"/>
    </row>
    <row r="67" spans="1:4" s="97" customFormat="1" ht="43.5" x14ac:dyDescent="0.35">
      <c r="A67" s="132" t="s">
        <v>307</v>
      </c>
      <c r="B67" s="132" t="s">
        <v>215</v>
      </c>
      <c r="C67" s="119" t="s">
        <v>210</v>
      </c>
      <c r="D67" s="120"/>
    </row>
    <row r="68" spans="1:4" s="97" customFormat="1" x14ac:dyDescent="0.35">
      <c r="A68" s="132" t="s">
        <v>308</v>
      </c>
      <c r="B68" s="132" t="s">
        <v>171</v>
      </c>
      <c r="C68" s="119" t="s">
        <v>210</v>
      </c>
      <c r="D68" s="120"/>
    </row>
    <row r="69" spans="1:4" s="97" customFormat="1" x14ac:dyDescent="0.35">
      <c r="A69" s="132" t="s">
        <v>309</v>
      </c>
      <c r="B69" s="132" t="s">
        <v>173</v>
      </c>
      <c r="C69" s="119" t="s">
        <v>210</v>
      </c>
      <c r="D69" s="120"/>
    </row>
    <row r="70" spans="1:4" ht="29" x14ac:dyDescent="0.35">
      <c r="A70" s="132" t="s">
        <v>310</v>
      </c>
      <c r="B70" s="132" t="s">
        <v>174</v>
      </c>
      <c r="C70" s="119" t="s">
        <v>210</v>
      </c>
      <c r="D70" s="29"/>
    </row>
    <row r="71" spans="1:4" x14ac:dyDescent="0.35">
      <c r="A71" s="132" t="s">
        <v>311</v>
      </c>
      <c r="B71" s="132" t="s">
        <v>175</v>
      </c>
      <c r="C71" s="119" t="s">
        <v>210</v>
      </c>
      <c r="D71" s="29"/>
    </row>
    <row r="72" spans="1:4" x14ac:dyDescent="0.35">
      <c r="A72" s="132" t="s">
        <v>312</v>
      </c>
      <c r="B72" s="132" t="s">
        <v>176</v>
      </c>
      <c r="C72" s="119" t="s">
        <v>210</v>
      </c>
      <c r="D72" s="29"/>
    </row>
    <row r="73" spans="1:4" ht="29" x14ac:dyDescent="0.35">
      <c r="A73" s="132" t="s">
        <v>313</v>
      </c>
      <c r="B73" s="132" t="s">
        <v>216</v>
      </c>
      <c r="C73" s="119" t="s">
        <v>210</v>
      </c>
      <c r="D73" s="29"/>
    </row>
    <row r="74" spans="1:4" s="42" customFormat="1" x14ac:dyDescent="0.35">
      <c r="A74" s="132" t="s">
        <v>314</v>
      </c>
      <c r="B74" s="132" t="s">
        <v>154</v>
      </c>
      <c r="C74" s="119" t="s">
        <v>210</v>
      </c>
      <c r="D74" s="29"/>
    </row>
    <row r="75" spans="1:4" x14ac:dyDescent="0.35">
      <c r="A75" s="132" t="s">
        <v>315</v>
      </c>
      <c r="B75" s="132" t="s">
        <v>177</v>
      </c>
      <c r="C75" s="119" t="s">
        <v>210</v>
      </c>
      <c r="D75" s="29"/>
    </row>
    <row r="76" spans="1:4" s="97" customFormat="1" ht="43.5" x14ac:dyDescent="0.35">
      <c r="A76" s="132" t="s">
        <v>316</v>
      </c>
      <c r="B76" s="132" t="s">
        <v>236</v>
      </c>
      <c r="C76" s="119" t="s">
        <v>210</v>
      </c>
      <c r="D76" s="120"/>
    </row>
    <row r="77" spans="1:4" x14ac:dyDescent="0.35">
      <c r="A77" s="132" t="s">
        <v>317</v>
      </c>
      <c r="B77" s="132" t="s">
        <v>178</v>
      </c>
      <c r="C77" s="119" t="s">
        <v>210</v>
      </c>
      <c r="D77" s="29"/>
    </row>
    <row r="78" spans="1:4" x14ac:dyDescent="0.35">
      <c r="A78" s="132" t="s">
        <v>318</v>
      </c>
      <c r="B78" s="132" t="s">
        <v>179</v>
      </c>
      <c r="C78" s="119" t="s">
        <v>210</v>
      </c>
      <c r="D78" s="29"/>
    </row>
    <row r="79" spans="1:4" x14ac:dyDescent="0.35">
      <c r="A79" s="132" t="s">
        <v>319</v>
      </c>
      <c r="B79" s="132" t="s">
        <v>180</v>
      </c>
      <c r="C79" s="119" t="s">
        <v>210</v>
      </c>
      <c r="D79" s="29"/>
    </row>
    <row r="80" spans="1:4" x14ac:dyDescent="0.35">
      <c r="A80" s="132" t="s">
        <v>320</v>
      </c>
      <c r="B80" s="132" t="s">
        <v>217</v>
      </c>
      <c r="C80" s="119"/>
      <c r="D80" s="29"/>
    </row>
    <row r="81" spans="1:4" x14ac:dyDescent="0.35">
      <c r="A81" s="132" t="s">
        <v>321</v>
      </c>
      <c r="B81" s="132" t="s">
        <v>181</v>
      </c>
      <c r="C81" s="119" t="s">
        <v>210</v>
      </c>
      <c r="D81" s="29"/>
    </row>
    <row r="82" spans="1:4" s="97" customFormat="1" x14ac:dyDescent="0.35">
      <c r="A82" s="132" t="s">
        <v>322</v>
      </c>
      <c r="B82" s="132" t="s">
        <v>182</v>
      </c>
      <c r="C82" s="119" t="s">
        <v>210</v>
      </c>
      <c r="D82" s="120"/>
    </row>
    <row r="83" spans="1:4" ht="29" x14ac:dyDescent="0.35">
      <c r="A83" s="132" t="s">
        <v>323</v>
      </c>
      <c r="B83" s="132" t="s">
        <v>218</v>
      </c>
      <c r="C83" s="119" t="s">
        <v>210</v>
      </c>
      <c r="D83" s="29"/>
    </row>
    <row r="84" spans="1:4" ht="29" x14ac:dyDescent="0.35">
      <c r="A84" s="132" t="s">
        <v>324</v>
      </c>
      <c r="B84" s="132" t="s">
        <v>219</v>
      </c>
      <c r="C84" s="119" t="s">
        <v>210</v>
      </c>
      <c r="D84" s="29"/>
    </row>
    <row r="85" spans="1:4" ht="29" x14ac:dyDescent="0.35">
      <c r="A85" s="132" t="s">
        <v>325</v>
      </c>
      <c r="B85" s="132" t="s">
        <v>183</v>
      </c>
      <c r="C85" s="119" t="s">
        <v>210</v>
      </c>
      <c r="D85" s="29"/>
    </row>
    <row r="86" spans="1:4" ht="29" x14ac:dyDescent="0.35">
      <c r="A86" s="132" t="s">
        <v>326</v>
      </c>
      <c r="B86" s="132" t="s">
        <v>220</v>
      </c>
      <c r="C86" s="119" t="s">
        <v>210</v>
      </c>
      <c r="D86" s="29"/>
    </row>
    <row r="87" spans="1:4" x14ac:dyDescent="0.35">
      <c r="A87" s="132" t="s">
        <v>327</v>
      </c>
      <c r="B87" s="132" t="s">
        <v>154</v>
      </c>
      <c r="C87" s="119" t="s">
        <v>210</v>
      </c>
      <c r="D87" s="29"/>
    </row>
    <row r="88" spans="1:4" ht="29" x14ac:dyDescent="0.35">
      <c r="A88" s="132" t="s">
        <v>328</v>
      </c>
      <c r="B88" s="132" t="s">
        <v>184</v>
      </c>
      <c r="C88" s="119" t="s">
        <v>210</v>
      </c>
      <c r="D88" s="29"/>
    </row>
    <row r="89" spans="1:4" s="40" customFormat="1" ht="29" x14ac:dyDescent="0.35">
      <c r="A89" s="132" t="s">
        <v>329</v>
      </c>
      <c r="B89" s="132" t="s">
        <v>174</v>
      </c>
      <c r="C89" s="119" t="s">
        <v>210</v>
      </c>
      <c r="D89" s="29"/>
    </row>
    <row r="90" spans="1:4" x14ac:dyDescent="0.35">
      <c r="A90" s="132" t="s">
        <v>330</v>
      </c>
      <c r="B90" s="132" t="s">
        <v>175</v>
      </c>
      <c r="C90" s="119" t="s">
        <v>210</v>
      </c>
      <c r="D90" s="29"/>
    </row>
    <row r="91" spans="1:4" x14ac:dyDescent="0.35">
      <c r="A91" s="132" t="s">
        <v>331</v>
      </c>
      <c r="B91" s="132" t="s">
        <v>176</v>
      </c>
      <c r="C91" s="119" t="s">
        <v>210</v>
      </c>
      <c r="D91" s="29"/>
    </row>
    <row r="92" spans="1:4" ht="29" x14ac:dyDescent="0.35">
      <c r="A92" s="132" t="s">
        <v>332</v>
      </c>
      <c r="B92" s="132" t="s">
        <v>185</v>
      </c>
      <c r="C92" s="119" t="s">
        <v>210</v>
      </c>
      <c r="D92" s="29"/>
    </row>
    <row r="93" spans="1:4" s="97" customFormat="1" x14ac:dyDescent="0.35">
      <c r="A93" s="132" t="s">
        <v>333</v>
      </c>
      <c r="B93" s="132" t="s">
        <v>186</v>
      </c>
      <c r="C93" s="119" t="s">
        <v>210</v>
      </c>
      <c r="D93" s="120"/>
    </row>
    <row r="94" spans="1:4" s="41" customFormat="1" x14ac:dyDescent="0.35">
      <c r="A94" s="132" t="s">
        <v>520</v>
      </c>
      <c r="B94" s="132" t="s">
        <v>187</v>
      </c>
      <c r="C94" s="119" t="s">
        <v>210</v>
      </c>
      <c r="D94" s="29"/>
    </row>
    <row r="95" spans="1:4" ht="29" x14ac:dyDescent="0.35">
      <c r="A95" s="132" t="s">
        <v>334</v>
      </c>
      <c r="B95" s="132" t="s">
        <v>221</v>
      </c>
      <c r="C95" s="119" t="s">
        <v>210</v>
      </c>
      <c r="D95" s="29"/>
    </row>
    <row r="96" spans="1:4" x14ac:dyDescent="0.35">
      <c r="A96" s="132" t="s">
        <v>335</v>
      </c>
      <c r="B96" s="132" t="s">
        <v>154</v>
      </c>
      <c r="C96" s="119" t="s">
        <v>210</v>
      </c>
      <c r="D96" s="29"/>
    </row>
    <row r="97" spans="1:4" ht="29" x14ac:dyDescent="0.35">
      <c r="A97" s="132" t="s">
        <v>336</v>
      </c>
      <c r="B97" s="132" t="s">
        <v>188</v>
      </c>
      <c r="C97" s="119" t="s">
        <v>210</v>
      </c>
      <c r="D97" s="29"/>
    </row>
    <row r="98" spans="1:4" ht="43.5" x14ac:dyDescent="0.35">
      <c r="A98" s="132" t="s">
        <v>337</v>
      </c>
      <c r="B98" s="132" t="s">
        <v>236</v>
      </c>
      <c r="C98" s="119" t="s">
        <v>210</v>
      </c>
      <c r="D98" s="29"/>
    </row>
    <row r="99" spans="1:4" x14ac:dyDescent="0.35">
      <c r="A99" s="132" t="s">
        <v>338</v>
      </c>
      <c r="B99" s="132" t="s">
        <v>178</v>
      </c>
      <c r="C99" s="119" t="s">
        <v>210</v>
      </c>
      <c r="D99" s="29"/>
    </row>
    <row r="100" spans="1:4" ht="29" x14ac:dyDescent="0.35">
      <c r="A100" s="132" t="s">
        <v>339</v>
      </c>
      <c r="B100" s="132" t="s">
        <v>237</v>
      </c>
      <c r="C100" s="119" t="s">
        <v>210</v>
      </c>
      <c r="D100" s="29"/>
    </row>
    <row r="101" spans="1:4" ht="29" x14ac:dyDescent="0.35">
      <c r="A101" s="132" t="s">
        <v>340</v>
      </c>
      <c r="B101" s="132" t="s">
        <v>238</v>
      </c>
      <c r="C101" s="119" t="s">
        <v>210</v>
      </c>
      <c r="D101" s="29"/>
    </row>
    <row r="102" spans="1:4" s="136" customFormat="1" x14ac:dyDescent="0.35">
      <c r="A102" s="134" t="s">
        <v>341</v>
      </c>
      <c r="B102" s="134" t="s">
        <v>189</v>
      </c>
      <c r="C102" s="135" t="s">
        <v>210</v>
      </c>
      <c r="D102" s="79"/>
    </row>
    <row r="103" spans="1:4" s="136" customFormat="1" x14ac:dyDescent="0.35">
      <c r="A103" s="134" t="s">
        <v>342</v>
      </c>
      <c r="B103" s="134" t="s">
        <v>190</v>
      </c>
      <c r="C103" s="135" t="s">
        <v>210</v>
      </c>
      <c r="D103" s="79"/>
    </row>
    <row r="104" spans="1:4" x14ac:dyDescent="0.35">
      <c r="A104" s="132" t="s">
        <v>343</v>
      </c>
      <c r="B104" s="132" t="s">
        <v>191</v>
      </c>
      <c r="C104" s="119" t="s">
        <v>210</v>
      </c>
      <c r="D104" s="29"/>
    </row>
    <row r="105" spans="1:4" s="97" customFormat="1" x14ac:dyDescent="0.35">
      <c r="A105" s="132" t="s">
        <v>344</v>
      </c>
      <c r="B105" s="132" t="s">
        <v>222</v>
      </c>
      <c r="C105" s="119" t="s">
        <v>210</v>
      </c>
      <c r="D105" s="120"/>
    </row>
    <row r="106" spans="1:4" s="97" customFormat="1" x14ac:dyDescent="0.35">
      <c r="A106" s="132" t="s">
        <v>345</v>
      </c>
      <c r="B106" s="132" t="s">
        <v>192</v>
      </c>
      <c r="C106" s="119" t="s">
        <v>210</v>
      </c>
      <c r="D106" s="120"/>
    </row>
    <row r="107" spans="1:4" x14ac:dyDescent="0.35">
      <c r="A107" s="132" t="s">
        <v>346</v>
      </c>
      <c r="B107" s="132" t="s">
        <v>193</v>
      </c>
      <c r="C107" s="119" t="s">
        <v>210</v>
      </c>
      <c r="D107" s="29"/>
    </row>
    <row r="108" spans="1:4" s="97" customFormat="1" x14ac:dyDescent="0.35">
      <c r="A108" s="132" t="s">
        <v>347</v>
      </c>
      <c r="B108" s="132" t="s">
        <v>194</v>
      </c>
      <c r="C108" s="119" t="s">
        <v>210</v>
      </c>
      <c r="D108" s="29"/>
    </row>
    <row r="109" spans="1:4" s="97" customFormat="1" x14ac:dyDescent="0.35">
      <c r="A109" s="132" t="s">
        <v>348</v>
      </c>
      <c r="B109" s="132" t="s">
        <v>195</v>
      </c>
      <c r="C109" s="119" t="s">
        <v>210</v>
      </c>
      <c r="D109" s="29"/>
    </row>
    <row r="110" spans="1:4" s="97" customFormat="1" x14ac:dyDescent="0.35">
      <c r="A110" s="132" t="s">
        <v>349</v>
      </c>
      <c r="B110" s="132" t="s">
        <v>196</v>
      </c>
      <c r="C110" s="119" t="s">
        <v>210</v>
      </c>
      <c r="D110" s="29"/>
    </row>
    <row r="111" spans="1:4" s="97" customFormat="1" x14ac:dyDescent="0.35">
      <c r="A111" s="132" t="s">
        <v>350</v>
      </c>
      <c r="B111" s="132" t="s">
        <v>197</v>
      </c>
      <c r="C111" s="119" t="s">
        <v>210</v>
      </c>
      <c r="D111" s="29"/>
    </row>
    <row r="112" spans="1:4" s="40" customFormat="1" x14ac:dyDescent="0.35">
      <c r="A112" s="132" t="s">
        <v>351</v>
      </c>
      <c r="B112" s="132" t="s">
        <v>198</v>
      </c>
      <c r="C112" s="119" t="s">
        <v>210</v>
      </c>
      <c r="D112" s="29"/>
    </row>
    <row r="113" spans="1:4" x14ac:dyDescent="0.35">
      <c r="A113" s="132" t="s">
        <v>352</v>
      </c>
      <c r="B113" s="132" t="s">
        <v>199</v>
      </c>
      <c r="C113" s="119" t="s">
        <v>210</v>
      </c>
      <c r="D113" s="29"/>
    </row>
    <row r="114" spans="1:4" ht="29" x14ac:dyDescent="0.35">
      <c r="A114" s="132" t="s">
        <v>353</v>
      </c>
      <c r="B114" s="132" t="s">
        <v>223</v>
      </c>
      <c r="C114" s="119" t="s">
        <v>210</v>
      </c>
      <c r="D114" s="29"/>
    </row>
    <row r="115" spans="1:4" x14ac:dyDescent="0.35">
      <c r="A115" s="132" t="s">
        <v>354</v>
      </c>
      <c r="B115" s="132" t="s">
        <v>164</v>
      </c>
      <c r="C115" s="119" t="s">
        <v>210</v>
      </c>
      <c r="D115" s="29"/>
    </row>
    <row r="116" spans="1:4" x14ac:dyDescent="0.35">
      <c r="A116" s="132" t="s">
        <v>355</v>
      </c>
      <c r="B116" s="132" t="s">
        <v>200</v>
      </c>
      <c r="C116" s="119" t="s">
        <v>210</v>
      </c>
      <c r="D116" s="29"/>
    </row>
    <row r="117" spans="1:4" s="97" customFormat="1" ht="29" x14ac:dyDescent="0.35">
      <c r="A117" s="145">
        <v>2600</v>
      </c>
      <c r="B117" s="18" t="s">
        <v>426</v>
      </c>
      <c r="C117" s="154"/>
      <c r="D117" s="98"/>
    </row>
    <row r="118" spans="1:4" x14ac:dyDescent="0.35">
      <c r="A118" s="132" t="s">
        <v>356</v>
      </c>
      <c r="B118" s="132" t="s">
        <v>201</v>
      </c>
      <c r="C118" s="119" t="s">
        <v>210</v>
      </c>
      <c r="D118" s="29"/>
    </row>
    <row r="119" spans="1:4" ht="29" x14ac:dyDescent="0.35">
      <c r="A119" s="132" t="s">
        <v>357</v>
      </c>
      <c r="B119" s="132" t="s">
        <v>202</v>
      </c>
      <c r="C119" s="119" t="s">
        <v>210</v>
      </c>
      <c r="D119" s="29"/>
    </row>
    <row r="120" spans="1:4" x14ac:dyDescent="0.35">
      <c r="A120" s="132" t="s">
        <v>358</v>
      </c>
      <c r="B120" s="132" t="s">
        <v>203</v>
      </c>
      <c r="C120" s="119" t="s">
        <v>210</v>
      </c>
      <c r="D120" s="29"/>
    </row>
    <row r="121" spans="1:4" x14ac:dyDescent="0.35">
      <c r="A121" s="132" t="s">
        <v>359</v>
      </c>
      <c r="B121" s="132" t="s">
        <v>204</v>
      </c>
      <c r="C121" s="119" t="s">
        <v>210</v>
      </c>
      <c r="D121" s="29"/>
    </row>
    <row r="122" spans="1:4" x14ac:dyDescent="0.35">
      <c r="A122" s="132" t="s">
        <v>360</v>
      </c>
      <c r="B122" s="132" t="s">
        <v>205</v>
      </c>
      <c r="C122" s="119" t="s">
        <v>210</v>
      </c>
      <c r="D122" s="29"/>
    </row>
    <row r="123" spans="1:4" ht="43.5" x14ac:dyDescent="0.35">
      <c r="A123" s="132" t="s">
        <v>361</v>
      </c>
      <c r="B123" s="132" t="s">
        <v>206</v>
      </c>
      <c r="C123" s="119" t="s">
        <v>210</v>
      </c>
      <c r="D123" s="29"/>
    </row>
    <row r="124" spans="1:4" ht="29" x14ac:dyDescent="0.35">
      <c r="A124" s="132" t="s">
        <v>362</v>
      </c>
      <c r="B124" s="132" t="s">
        <v>207</v>
      </c>
      <c r="C124" s="119" t="s">
        <v>210</v>
      </c>
      <c r="D124" s="29"/>
    </row>
    <row r="125" spans="1:4" ht="29" x14ac:dyDescent="0.35">
      <c r="A125" s="132" t="s">
        <v>363</v>
      </c>
      <c r="B125" s="132" t="s">
        <v>208</v>
      </c>
      <c r="C125" s="119" t="s">
        <v>210</v>
      </c>
      <c r="D125" s="29"/>
    </row>
    <row r="126" spans="1:4" ht="29" x14ac:dyDescent="0.35">
      <c r="A126" s="132" t="s">
        <v>364</v>
      </c>
      <c r="B126" s="132" t="s">
        <v>209</v>
      </c>
      <c r="C126" s="119" t="s">
        <v>210</v>
      </c>
      <c r="D126" s="29"/>
    </row>
    <row r="127" spans="1:4" x14ac:dyDescent="0.35">
      <c r="A127" s="131" t="s">
        <v>365</v>
      </c>
      <c r="B127" s="131" t="s">
        <v>131</v>
      </c>
      <c r="C127" s="119" t="s">
        <v>210</v>
      </c>
      <c r="D127" s="29"/>
    </row>
    <row r="128" spans="1:4" x14ac:dyDescent="0.35">
      <c r="A128" s="131" t="s">
        <v>366</v>
      </c>
      <c r="B128" s="131" t="s">
        <v>132</v>
      </c>
      <c r="C128" s="119" t="s">
        <v>210</v>
      </c>
      <c r="D128" s="29"/>
    </row>
    <row r="129" spans="1:4" x14ac:dyDescent="0.35">
      <c r="A129" s="131" t="s">
        <v>367</v>
      </c>
      <c r="B129" s="131" t="s">
        <v>129</v>
      </c>
      <c r="C129" s="119" t="s">
        <v>210</v>
      </c>
      <c r="D129" s="98"/>
    </row>
    <row r="130" spans="1:4" x14ac:dyDescent="0.35">
      <c r="A130" s="131" t="s">
        <v>368</v>
      </c>
      <c r="B130" s="131" t="s">
        <v>130</v>
      </c>
      <c r="C130" s="119" t="s">
        <v>210</v>
      </c>
      <c r="D130" s="29"/>
    </row>
    <row r="131" spans="1:4" x14ac:dyDescent="0.35">
      <c r="A131" s="132" t="s">
        <v>369</v>
      </c>
      <c r="B131" s="132" t="s">
        <v>133</v>
      </c>
      <c r="C131" s="119" t="s">
        <v>210</v>
      </c>
      <c r="D131" s="29"/>
    </row>
    <row r="132" spans="1:4" x14ac:dyDescent="0.35">
      <c r="A132" s="132" t="s">
        <v>370</v>
      </c>
      <c r="B132" s="132" t="s">
        <v>134</v>
      </c>
      <c r="C132" s="119" t="s">
        <v>210</v>
      </c>
      <c r="D132" s="29"/>
    </row>
    <row r="133" spans="1:4" ht="174" x14ac:dyDescent="0.35">
      <c r="A133" s="137" t="s">
        <v>371</v>
      </c>
      <c r="B133" s="132" t="s">
        <v>377</v>
      </c>
      <c r="C133" s="119" t="s">
        <v>372</v>
      </c>
      <c r="D133" s="29"/>
    </row>
    <row r="134" spans="1:4" ht="188.5" x14ac:dyDescent="0.35">
      <c r="A134" s="137" t="s">
        <v>373</v>
      </c>
      <c r="B134" s="132" t="s">
        <v>376</v>
      </c>
      <c r="C134" s="119" t="s">
        <v>372</v>
      </c>
      <c r="D134" s="29"/>
    </row>
    <row r="135" spans="1:4" ht="232" x14ac:dyDescent="0.35">
      <c r="A135" s="137" t="s">
        <v>374</v>
      </c>
      <c r="B135" s="139" t="s">
        <v>378</v>
      </c>
      <c r="C135" s="119" t="s">
        <v>372</v>
      </c>
      <c r="D135" s="29"/>
    </row>
    <row r="136" spans="1:4" ht="203" x14ac:dyDescent="0.35">
      <c r="A136" s="137" t="s">
        <v>375</v>
      </c>
      <c r="B136" s="140" t="s">
        <v>380</v>
      </c>
      <c r="C136" s="119" t="s">
        <v>372</v>
      </c>
      <c r="D136" s="29"/>
    </row>
    <row r="137" spans="1:4" ht="232" x14ac:dyDescent="0.35">
      <c r="A137" s="137" t="s">
        <v>379</v>
      </c>
      <c r="B137" s="140" t="s">
        <v>381</v>
      </c>
      <c r="C137" s="119" t="s">
        <v>372</v>
      </c>
      <c r="D137" s="29"/>
    </row>
    <row r="138" spans="1:4" ht="333.5" x14ac:dyDescent="0.35">
      <c r="A138" s="137" t="s">
        <v>382</v>
      </c>
      <c r="B138" s="140" t="s">
        <v>384</v>
      </c>
      <c r="C138" s="119" t="s">
        <v>372</v>
      </c>
      <c r="D138" s="29"/>
    </row>
    <row r="139" spans="1:4" ht="116" x14ac:dyDescent="0.35">
      <c r="A139" s="137" t="s">
        <v>383</v>
      </c>
      <c r="B139" s="140" t="s">
        <v>427</v>
      </c>
      <c r="C139" s="119" t="s">
        <v>372</v>
      </c>
      <c r="D139" s="29"/>
    </row>
    <row r="140" spans="1:4" ht="72.5" x14ac:dyDescent="0.35">
      <c r="A140" s="137" t="s">
        <v>425</v>
      </c>
      <c r="B140" s="140" t="s">
        <v>428</v>
      </c>
      <c r="C140" s="119"/>
      <c r="D140" s="29"/>
    </row>
    <row r="141" spans="1:4" x14ac:dyDescent="0.35">
      <c r="A141" s="121"/>
      <c r="B141" s="122"/>
      <c r="C141" s="119"/>
      <c r="D141" s="29"/>
    </row>
    <row r="142" spans="1:4" x14ac:dyDescent="0.35">
      <c r="A142" s="121"/>
      <c r="B142" s="122"/>
      <c r="C142" s="119"/>
      <c r="D142" s="29"/>
    </row>
    <row r="143" spans="1:4" s="41" customFormat="1" x14ac:dyDescent="0.35">
      <c r="A143" s="121"/>
      <c r="B143" s="122"/>
      <c r="C143" s="119"/>
      <c r="D143" s="29"/>
    </row>
    <row r="144" spans="1:4" x14ac:dyDescent="0.35">
      <c r="A144" s="121"/>
      <c r="B144" s="122"/>
      <c r="C144" s="119"/>
      <c r="D144" s="29"/>
    </row>
    <row r="145" spans="1:4" x14ac:dyDescent="0.35">
      <c r="A145" s="121"/>
      <c r="B145" s="122"/>
      <c r="C145" s="119"/>
      <c r="D145" s="29"/>
    </row>
    <row r="146" spans="1:4" x14ac:dyDescent="0.35">
      <c r="A146" s="121"/>
      <c r="B146" s="122"/>
      <c r="C146" s="119"/>
      <c r="D146" s="29"/>
    </row>
    <row r="147" spans="1:4" x14ac:dyDescent="0.35">
      <c r="A147" s="121"/>
      <c r="B147" s="122"/>
      <c r="C147" s="119"/>
      <c r="D147" s="29"/>
    </row>
    <row r="148" spans="1:4" x14ac:dyDescent="0.35">
      <c r="A148" s="121"/>
      <c r="B148" s="122"/>
      <c r="C148" s="119"/>
      <c r="D148" s="29"/>
    </row>
    <row r="149" spans="1:4" x14ac:dyDescent="0.35">
      <c r="A149" s="121"/>
      <c r="B149" s="122"/>
      <c r="C149" s="119"/>
      <c r="D149" s="29"/>
    </row>
    <row r="150" spans="1:4" x14ac:dyDescent="0.35">
      <c r="A150" s="121"/>
      <c r="B150" s="122"/>
      <c r="C150" s="119"/>
      <c r="D150" s="29"/>
    </row>
    <row r="151" spans="1:4" x14ac:dyDescent="0.35">
      <c r="A151" s="121"/>
      <c r="B151" s="122"/>
      <c r="C151" s="119"/>
      <c r="D151" s="29"/>
    </row>
    <row r="152" spans="1:4" x14ac:dyDescent="0.35">
      <c r="A152" s="121"/>
      <c r="B152" s="122"/>
      <c r="C152" s="119"/>
      <c r="D152" s="29"/>
    </row>
    <row r="153" spans="1:4" x14ac:dyDescent="0.35">
      <c r="A153" s="121"/>
      <c r="B153" s="122"/>
      <c r="C153" s="119"/>
      <c r="D153" s="29"/>
    </row>
    <row r="154" spans="1:4" x14ac:dyDescent="0.35">
      <c r="A154" s="121"/>
      <c r="B154" s="122"/>
      <c r="C154" s="119"/>
      <c r="D154" s="29"/>
    </row>
    <row r="155" spans="1:4" x14ac:dyDescent="0.35">
      <c r="A155" s="121"/>
      <c r="B155" s="122"/>
      <c r="C155" s="119"/>
      <c r="D155" s="29"/>
    </row>
    <row r="156" spans="1:4" x14ac:dyDescent="0.35">
      <c r="A156" s="121"/>
      <c r="B156" s="122"/>
      <c r="C156" s="119"/>
      <c r="D156" s="29"/>
    </row>
    <row r="157" spans="1:4" x14ac:dyDescent="0.35">
      <c r="A157" s="121"/>
      <c r="B157" s="122"/>
      <c r="C157" s="119"/>
      <c r="D157" s="29"/>
    </row>
    <row r="158" spans="1:4" x14ac:dyDescent="0.35">
      <c r="A158" s="121"/>
      <c r="B158" s="122"/>
      <c r="C158" s="119"/>
      <c r="D158" s="29"/>
    </row>
    <row r="159" spans="1:4" s="40" customFormat="1" x14ac:dyDescent="0.35">
      <c r="A159" s="121"/>
      <c r="B159" s="122"/>
      <c r="C159" s="119"/>
      <c r="D159" s="29"/>
    </row>
    <row r="160" spans="1:4" s="40" customFormat="1" x14ac:dyDescent="0.35">
      <c r="A160" s="121"/>
      <c r="B160" s="122"/>
      <c r="C160" s="119"/>
      <c r="D160" s="29"/>
    </row>
    <row r="161" spans="1:4" x14ac:dyDescent="0.35">
      <c r="A161" s="121"/>
      <c r="B161" s="122"/>
      <c r="C161" s="119"/>
      <c r="D161" s="29"/>
    </row>
    <row r="162" spans="1:4" x14ac:dyDescent="0.35">
      <c r="A162" s="121"/>
      <c r="B162" s="122"/>
      <c r="C162" s="119"/>
      <c r="D162" s="29"/>
    </row>
    <row r="163" spans="1:4" x14ac:dyDescent="0.35">
      <c r="A163" s="121"/>
      <c r="B163" s="122"/>
      <c r="C163" s="119"/>
      <c r="D163" s="29"/>
    </row>
    <row r="164" spans="1:4" x14ac:dyDescent="0.35">
      <c r="A164" s="121"/>
      <c r="B164" s="122"/>
      <c r="C164" s="119"/>
      <c r="D164" s="29"/>
    </row>
    <row r="165" spans="1:4" x14ac:dyDescent="0.35">
      <c r="A165" s="121"/>
      <c r="B165" s="122"/>
      <c r="C165" s="119"/>
      <c r="D165" s="29"/>
    </row>
    <row r="166" spans="1:4" x14ac:dyDescent="0.35">
      <c r="A166" s="121"/>
      <c r="B166" s="122"/>
      <c r="C166" s="119"/>
      <c r="D166" s="29"/>
    </row>
    <row r="167" spans="1:4" x14ac:dyDescent="0.35">
      <c r="A167" s="121"/>
      <c r="B167" s="122"/>
      <c r="C167" s="119"/>
      <c r="D167" s="29"/>
    </row>
    <row r="168" spans="1:4" x14ac:dyDescent="0.35">
      <c r="A168" s="121"/>
      <c r="B168" s="122"/>
      <c r="C168" s="119"/>
      <c r="D168" s="29"/>
    </row>
    <row r="169" spans="1:4" x14ac:dyDescent="0.35">
      <c r="A169" s="121"/>
      <c r="B169" s="122"/>
      <c r="C169" s="119"/>
      <c r="D169" s="29"/>
    </row>
    <row r="170" spans="1:4" x14ac:dyDescent="0.35">
      <c r="A170" s="121"/>
      <c r="B170" s="122"/>
      <c r="C170" s="119"/>
      <c r="D170" s="29"/>
    </row>
    <row r="171" spans="1:4" x14ac:dyDescent="0.35">
      <c r="A171" s="121"/>
      <c r="B171" s="122"/>
      <c r="C171" s="119"/>
      <c r="D171" s="29"/>
    </row>
    <row r="172" spans="1:4" x14ac:dyDescent="0.35">
      <c r="A172" s="121"/>
      <c r="B172" s="122"/>
      <c r="C172" s="119"/>
      <c r="D172" s="29"/>
    </row>
    <row r="173" spans="1:4" x14ac:dyDescent="0.35">
      <c r="A173" s="121"/>
      <c r="B173" s="122"/>
      <c r="C173" s="119"/>
      <c r="D173" s="29"/>
    </row>
    <row r="174" spans="1:4" x14ac:dyDescent="0.35">
      <c r="A174" s="121"/>
      <c r="B174" s="122"/>
      <c r="C174" s="119"/>
      <c r="D174" s="29"/>
    </row>
    <row r="175" spans="1:4" x14ac:dyDescent="0.35">
      <c r="A175" s="121"/>
      <c r="B175" s="122"/>
      <c r="C175" s="119"/>
      <c r="D175" s="29"/>
    </row>
    <row r="176" spans="1:4" x14ac:dyDescent="0.35">
      <c r="A176" s="121"/>
      <c r="B176" s="122"/>
      <c r="C176" s="119"/>
      <c r="D176" s="29"/>
    </row>
    <row r="177" spans="1:4" x14ac:dyDescent="0.35">
      <c r="A177" s="121"/>
      <c r="B177" s="122"/>
      <c r="C177" s="119"/>
      <c r="D177" s="29"/>
    </row>
    <row r="178" spans="1:4" x14ac:dyDescent="0.35">
      <c r="A178" s="121"/>
      <c r="B178" s="122"/>
      <c r="C178" s="119"/>
      <c r="D178" s="29"/>
    </row>
    <row r="179" spans="1:4" x14ac:dyDescent="0.35">
      <c r="A179" s="121"/>
      <c r="B179" s="122"/>
      <c r="C179" s="119"/>
      <c r="D179" s="29"/>
    </row>
    <row r="180" spans="1:4" x14ac:dyDescent="0.35">
      <c r="A180" s="121"/>
      <c r="B180" s="122"/>
      <c r="C180" s="119"/>
      <c r="D180" s="29"/>
    </row>
    <row r="181" spans="1:4" x14ac:dyDescent="0.35">
      <c r="A181" s="121"/>
      <c r="B181" s="122"/>
      <c r="C181" s="119"/>
      <c r="D181" s="29"/>
    </row>
    <row r="182" spans="1:4" x14ac:dyDescent="0.35">
      <c r="A182" s="121"/>
      <c r="B182" s="122"/>
      <c r="C182" s="119"/>
      <c r="D182" s="29"/>
    </row>
    <row r="183" spans="1:4" x14ac:dyDescent="0.35">
      <c r="A183" s="121"/>
      <c r="B183" s="122"/>
      <c r="C183" s="119"/>
      <c r="D183" s="29"/>
    </row>
    <row r="184" spans="1:4" x14ac:dyDescent="0.35">
      <c r="A184" s="121"/>
      <c r="B184" s="122"/>
      <c r="C184" s="119"/>
      <c r="D184" s="29"/>
    </row>
    <row r="185" spans="1:4" x14ac:dyDescent="0.35">
      <c r="A185" s="121"/>
      <c r="B185" s="122"/>
      <c r="C185" s="119"/>
      <c r="D185" s="29"/>
    </row>
    <row r="186" spans="1:4" x14ac:dyDescent="0.35">
      <c r="A186" s="121"/>
      <c r="B186" s="122"/>
      <c r="C186" s="119"/>
      <c r="D186" s="29"/>
    </row>
    <row r="187" spans="1:4" x14ac:dyDescent="0.35">
      <c r="A187" s="121"/>
      <c r="B187" s="122"/>
      <c r="C187" s="119"/>
      <c r="D187" s="29"/>
    </row>
    <row r="188" spans="1:4" x14ac:dyDescent="0.35">
      <c r="A188" s="121"/>
      <c r="B188" s="122"/>
      <c r="C188" s="119"/>
      <c r="D188" s="29"/>
    </row>
    <row r="189" spans="1:4" x14ac:dyDescent="0.35">
      <c r="A189" s="121"/>
      <c r="B189" s="122"/>
      <c r="C189" s="119"/>
      <c r="D189" s="29"/>
    </row>
    <row r="190" spans="1:4" x14ac:dyDescent="0.35">
      <c r="A190" s="121"/>
      <c r="B190" s="122"/>
      <c r="C190" s="119"/>
      <c r="D190" s="29"/>
    </row>
    <row r="191" spans="1:4" x14ac:dyDescent="0.35">
      <c r="A191" s="121"/>
      <c r="B191" s="122"/>
      <c r="C191" s="119"/>
      <c r="D191" s="29"/>
    </row>
    <row r="192" spans="1:4" x14ac:dyDescent="0.35">
      <c r="A192" s="121"/>
      <c r="B192" s="122"/>
      <c r="C192" s="119"/>
      <c r="D192" s="29"/>
    </row>
    <row r="193" spans="1:4" x14ac:dyDescent="0.35">
      <c r="A193" s="121"/>
      <c r="B193" s="122"/>
      <c r="C193" s="119"/>
      <c r="D193" s="22"/>
    </row>
    <row r="194" spans="1:4" x14ac:dyDescent="0.35">
      <c r="A194" s="121"/>
      <c r="B194" s="122"/>
      <c r="C194" s="119"/>
      <c r="D194" s="29"/>
    </row>
    <row r="195" spans="1:4" x14ac:dyDescent="0.35">
      <c r="A195" s="121"/>
      <c r="B195" s="122"/>
      <c r="C195" s="119"/>
      <c r="D195" s="29"/>
    </row>
    <row r="196" spans="1:4" x14ac:dyDescent="0.35">
      <c r="A196" s="121"/>
      <c r="B196" s="122"/>
      <c r="C196" s="119"/>
      <c r="D196" s="29"/>
    </row>
    <row r="197" spans="1:4" x14ac:dyDescent="0.35">
      <c r="A197" s="121"/>
      <c r="B197" s="122"/>
      <c r="C197" s="119"/>
      <c r="D197" s="29"/>
    </row>
    <row r="198" spans="1:4" x14ac:dyDescent="0.35">
      <c r="A198" s="121"/>
      <c r="B198" s="122"/>
      <c r="C198" s="119"/>
      <c r="D198" s="29"/>
    </row>
    <row r="199" spans="1:4" x14ac:dyDescent="0.35">
      <c r="A199" s="121"/>
      <c r="B199" s="122"/>
      <c r="C199" s="119"/>
      <c r="D199" s="29"/>
    </row>
    <row r="200" spans="1:4" s="97" customFormat="1" x14ac:dyDescent="0.35">
      <c r="A200" s="121"/>
      <c r="B200" s="122"/>
      <c r="C200" s="119"/>
      <c r="D200" s="120"/>
    </row>
    <row r="201" spans="1:4" s="97" customFormat="1" x14ac:dyDescent="0.35">
      <c r="A201" s="121"/>
      <c r="B201" s="122"/>
      <c r="C201" s="119"/>
      <c r="D201" s="120"/>
    </row>
    <row r="202" spans="1:4" x14ac:dyDescent="0.35">
      <c r="A202" s="121"/>
      <c r="B202" s="122"/>
      <c r="C202" s="119"/>
      <c r="D202" s="29"/>
    </row>
    <row r="203" spans="1:4" x14ac:dyDescent="0.35">
      <c r="A203" s="121"/>
      <c r="B203" s="122"/>
      <c r="C203" s="119"/>
      <c r="D203" s="29"/>
    </row>
    <row r="204" spans="1:4" x14ac:dyDescent="0.35">
      <c r="A204" s="121"/>
      <c r="B204" s="122"/>
      <c r="C204" s="119"/>
      <c r="D204" s="29"/>
    </row>
    <row r="205" spans="1:4" s="40" customFormat="1" x14ac:dyDescent="0.35">
      <c r="A205" s="121"/>
      <c r="B205" s="122"/>
      <c r="C205" s="119"/>
      <c r="D205" s="29"/>
    </row>
    <row r="206" spans="1:4" x14ac:dyDescent="0.35">
      <c r="A206" s="121"/>
      <c r="B206" s="122"/>
      <c r="C206" s="119"/>
      <c r="D206" s="29"/>
    </row>
    <row r="207" spans="1:4" s="97" customFormat="1" x14ac:dyDescent="0.35">
      <c r="A207" s="121"/>
      <c r="B207" s="122"/>
      <c r="C207" s="119"/>
      <c r="D207" s="120"/>
    </row>
    <row r="208" spans="1:4" s="97" customFormat="1" x14ac:dyDescent="0.35">
      <c r="A208" s="121"/>
      <c r="B208" s="122"/>
      <c r="C208" s="119"/>
      <c r="D208" s="120"/>
    </row>
    <row r="209" spans="1:4" x14ac:dyDescent="0.35">
      <c r="A209" s="121"/>
      <c r="B209" s="122"/>
      <c r="C209" s="119"/>
      <c r="D209" s="29"/>
    </row>
    <row r="210" spans="1:4" s="40" customFormat="1" x14ac:dyDescent="0.35">
      <c r="A210" s="121"/>
      <c r="B210" s="122"/>
      <c r="C210" s="119"/>
      <c r="D210" s="29"/>
    </row>
    <row r="211" spans="1:4" x14ac:dyDescent="0.35">
      <c r="A211" s="121"/>
      <c r="B211" s="122"/>
      <c r="C211" s="119"/>
      <c r="D211" s="29"/>
    </row>
    <row r="212" spans="1:4" x14ac:dyDescent="0.35">
      <c r="A212" s="121"/>
      <c r="B212" s="122"/>
      <c r="C212" s="119"/>
      <c r="D212" s="29"/>
    </row>
    <row r="213" spans="1:4" s="40" customFormat="1" x14ac:dyDescent="0.35">
      <c r="A213" s="121"/>
      <c r="B213" s="122"/>
      <c r="C213" s="119"/>
      <c r="D213" s="29"/>
    </row>
    <row r="214" spans="1:4" x14ac:dyDescent="0.35">
      <c r="A214" s="121"/>
      <c r="B214" s="122"/>
      <c r="C214" s="119"/>
      <c r="D214" s="29"/>
    </row>
    <row r="215" spans="1:4" x14ac:dyDescent="0.35">
      <c r="A215" s="121"/>
      <c r="B215" s="122"/>
      <c r="C215" s="119"/>
      <c r="D215" s="29"/>
    </row>
    <row r="216" spans="1:4" x14ac:dyDescent="0.35">
      <c r="A216" s="121"/>
      <c r="B216" s="122"/>
      <c r="C216" s="119"/>
      <c r="D216" s="29"/>
    </row>
    <row r="217" spans="1:4" x14ac:dyDescent="0.35">
      <c r="A217" s="121"/>
      <c r="B217" s="122"/>
      <c r="C217" s="119"/>
      <c r="D217" s="29"/>
    </row>
    <row r="218" spans="1:4" x14ac:dyDescent="0.35">
      <c r="A218" s="121"/>
      <c r="B218" s="122"/>
      <c r="C218" s="119"/>
      <c r="D218" s="29"/>
    </row>
    <row r="219" spans="1:4" x14ac:dyDescent="0.35">
      <c r="A219" s="121"/>
      <c r="B219" s="122"/>
      <c r="C219" s="119"/>
      <c r="D219" s="29"/>
    </row>
    <row r="220" spans="1:4" x14ac:dyDescent="0.35">
      <c r="A220" s="121"/>
      <c r="B220" s="122"/>
      <c r="C220" s="119"/>
      <c r="D220" s="29"/>
    </row>
    <row r="221" spans="1:4" x14ac:dyDescent="0.35">
      <c r="A221" s="121"/>
      <c r="B221" s="122"/>
      <c r="C221" s="119"/>
      <c r="D221" s="29"/>
    </row>
    <row r="222" spans="1:4" x14ac:dyDescent="0.35">
      <c r="A222" s="121"/>
      <c r="B222" s="122"/>
      <c r="C222" s="119"/>
      <c r="D222" s="29"/>
    </row>
    <row r="223" spans="1:4" x14ac:dyDescent="0.35">
      <c r="A223" s="121"/>
      <c r="B223" s="122"/>
      <c r="C223" s="119"/>
      <c r="D223" s="29"/>
    </row>
    <row r="224" spans="1:4" x14ac:dyDescent="0.35">
      <c r="A224" s="121"/>
      <c r="B224" s="122"/>
      <c r="C224" s="119"/>
      <c r="D224" s="29"/>
    </row>
    <row r="225" spans="1:4" x14ac:dyDescent="0.35">
      <c r="A225" s="121"/>
      <c r="B225" s="122"/>
      <c r="C225" s="119"/>
      <c r="D225" s="29"/>
    </row>
    <row r="226" spans="1:4" x14ac:dyDescent="0.35">
      <c r="A226" s="121"/>
      <c r="B226" s="122"/>
      <c r="C226" s="119"/>
      <c r="D226" s="29"/>
    </row>
    <row r="227" spans="1:4" x14ac:dyDescent="0.35">
      <c r="A227" s="121"/>
      <c r="B227" s="122"/>
      <c r="C227" s="119"/>
      <c r="D227" s="29"/>
    </row>
    <row r="228" spans="1:4" x14ac:dyDescent="0.35">
      <c r="A228" s="121"/>
      <c r="B228" s="122"/>
      <c r="C228" s="119"/>
      <c r="D228" s="29"/>
    </row>
    <row r="229" spans="1:4" x14ac:dyDescent="0.35">
      <c r="A229" s="121"/>
      <c r="B229" s="122"/>
      <c r="C229" s="119"/>
      <c r="D229" s="29"/>
    </row>
    <row r="230" spans="1:4" x14ac:dyDescent="0.35">
      <c r="A230" s="121"/>
      <c r="B230" s="122"/>
      <c r="C230" s="119"/>
      <c r="D230" s="29"/>
    </row>
    <row r="231" spans="1:4" x14ac:dyDescent="0.35">
      <c r="A231" s="121"/>
      <c r="B231" s="122"/>
      <c r="C231" s="119"/>
      <c r="D231" s="29"/>
    </row>
    <row r="232" spans="1:4" x14ac:dyDescent="0.35">
      <c r="A232" s="121"/>
      <c r="B232" s="122"/>
      <c r="C232" s="119"/>
      <c r="D232" s="29"/>
    </row>
    <row r="233" spans="1:4" x14ac:dyDescent="0.35">
      <c r="A233" s="121"/>
      <c r="B233" s="122"/>
      <c r="C233" s="119"/>
      <c r="D233" s="29"/>
    </row>
    <row r="234" spans="1:4" x14ac:dyDescent="0.35">
      <c r="A234" s="121"/>
      <c r="B234" s="122"/>
      <c r="C234" s="119"/>
      <c r="D234" s="29"/>
    </row>
    <row r="235" spans="1:4" x14ac:dyDescent="0.35">
      <c r="A235" s="121"/>
      <c r="B235" s="122"/>
      <c r="C235" s="119"/>
      <c r="D235" s="29"/>
    </row>
    <row r="236" spans="1:4" x14ac:dyDescent="0.35">
      <c r="A236" s="121"/>
      <c r="B236" s="122"/>
      <c r="C236" s="119"/>
      <c r="D236" s="29"/>
    </row>
    <row r="237" spans="1:4" x14ac:dyDescent="0.35">
      <c r="A237" s="121"/>
      <c r="B237" s="122"/>
      <c r="C237" s="119"/>
      <c r="D237" s="29"/>
    </row>
    <row r="238" spans="1:4" x14ac:dyDescent="0.35">
      <c r="A238" s="121"/>
      <c r="B238" s="122"/>
      <c r="C238" s="119"/>
      <c r="D238" s="29"/>
    </row>
    <row r="239" spans="1:4" x14ac:dyDescent="0.35">
      <c r="A239" s="121"/>
      <c r="B239" s="122"/>
      <c r="C239" s="119"/>
      <c r="D239" s="29"/>
    </row>
    <row r="240" spans="1:4" x14ac:dyDescent="0.35">
      <c r="A240" s="121"/>
      <c r="B240" s="122"/>
      <c r="C240" s="119"/>
      <c r="D240" s="29"/>
    </row>
    <row r="241" spans="1:4" x14ac:dyDescent="0.35">
      <c r="A241" s="121"/>
      <c r="B241" s="122"/>
      <c r="C241" s="119"/>
      <c r="D241" s="29"/>
    </row>
    <row r="242" spans="1:4" x14ac:dyDescent="0.35">
      <c r="A242" s="121"/>
      <c r="B242" s="122"/>
      <c r="C242" s="119"/>
      <c r="D242" s="29"/>
    </row>
    <row r="243" spans="1:4" s="40" customFormat="1" x14ac:dyDescent="0.35">
      <c r="A243" s="121"/>
      <c r="B243" s="122"/>
      <c r="C243" s="119"/>
      <c r="D243" s="29"/>
    </row>
    <row r="244" spans="1:4" s="40" customFormat="1" x14ac:dyDescent="0.35">
      <c r="A244" s="121"/>
      <c r="B244" s="122"/>
      <c r="C244" s="119"/>
      <c r="D244" s="29"/>
    </row>
    <row r="245" spans="1:4" s="40" customFormat="1" x14ac:dyDescent="0.35">
      <c r="A245" s="121"/>
      <c r="B245" s="122"/>
      <c r="C245" s="119"/>
      <c r="D245" s="29"/>
    </row>
    <row r="246" spans="1:4" s="40" customFormat="1" x14ac:dyDescent="0.35">
      <c r="A246" s="121"/>
      <c r="B246" s="122"/>
      <c r="C246" s="119"/>
      <c r="D246" s="29"/>
    </row>
    <row r="247" spans="1:4" s="40" customFormat="1" x14ac:dyDescent="0.35">
      <c r="A247" s="121"/>
      <c r="B247" s="122"/>
      <c r="C247" s="119"/>
      <c r="D247" s="29"/>
    </row>
    <row r="248" spans="1:4" s="40" customFormat="1" x14ac:dyDescent="0.35">
      <c r="A248" s="121"/>
      <c r="B248" s="122"/>
      <c r="C248" s="119"/>
      <c r="D248" s="29"/>
    </row>
    <row r="249" spans="1:4" x14ac:dyDescent="0.35">
      <c r="A249" s="121"/>
      <c r="B249" s="122"/>
      <c r="C249" s="119"/>
      <c r="D249" s="29"/>
    </row>
    <row r="250" spans="1:4" s="40" customFormat="1" x14ac:dyDescent="0.35">
      <c r="A250" s="121"/>
      <c r="B250" s="122"/>
      <c r="C250" s="119"/>
      <c r="D250" s="29"/>
    </row>
    <row r="251" spans="1:4" s="40" customFormat="1" x14ac:dyDescent="0.35">
      <c r="A251" s="121"/>
      <c r="B251" s="122"/>
      <c r="C251" s="119"/>
      <c r="D251" s="29"/>
    </row>
    <row r="252" spans="1:4" s="40" customFormat="1" x14ac:dyDescent="0.35">
      <c r="A252" s="121"/>
      <c r="B252" s="122"/>
      <c r="C252" s="119"/>
      <c r="D252" s="29"/>
    </row>
    <row r="253" spans="1:4" s="40" customFormat="1" x14ac:dyDescent="0.35">
      <c r="A253" s="121"/>
      <c r="B253" s="122"/>
      <c r="C253" s="119"/>
      <c r="D253" s="29"/>
    </row>
    <row r="254" spans="1:4" s="40" customFormat="1" x14ac:dyDescent="0.35">
      <c r="A254" s="121"/>
      <c r="B254" s="122"/>
      <c r="C254" s="119"/>
      <c r="D254" s="29"/>
    </row>
    <row r="255" spans="1:4" s="40" customFormat="1" x14ac:dyDescent="0.35">
      <c r="A255" s="121"/>
      <c r="B255" s="122"/>
      <c r="C255" s="119"/>
      <c r="D255" s="29"/>
    </row>
    <row r="256" spans="1:4" s="40" customFormat="1" x14ac:dyDescent="0.35">
      <c r="A256" s="121"/>
      <c r="B256" s="122"/>
      <c r="C256" s="119"/>
      <c r="D256" s="29"/>
    </row>
    <row r="257" spans="1:4" x14ac:dyDescent="0.35">
      <c r="A257" s="121"/>
      <c r="B257" s="122"/>
      <c r="C257" s="119"/>
      <c r="D257" s="29"/>
    </row>
    <row r="258" spans="1:4" x14ac:dyDescent="0.35">
      <c r="A258" s="121"/>
      <c r="B258" s="122"/>
      <c r="C258" s="119"/>
      <c r="D258" s="29"/>
    </row>
    <row r="259" spans="1:4" x14ac:dyDescent="0.35">
      <c r="A259" s="121"/>
      <c r="B259" s="122"/>
      <c r="C259" s="119"/>
      <c r="D259" s="29"/>
    </row>
    <row r="260" spans="1:4" x14ac:dyDescent="0.35">
      <c r="A260" s="121"/>
      <c r="B260" s="122"/>
      <c r="C260" s="119"/>
      <c r="D260" s="29"/>
    </row>
    <row r="261" spans="1:4" x14ac:dyDescent="0.35">
      <c r="A261" s="121"/>
      <c r="B261" s="122"/>
      <c r="C261" s="119"/>
      <c r="D261" s="29"/>
    </row>
    <row r="262" spans="1:4" x14ac:dyDescent="0.35">
      <c r="A262" s="121"/>
      <c r="B262" s="122"/>
      <c r="C262" s="119"/>
      <c r="D262" s="29"/>
    </row>
    <row r="263" spans="1:4" x14ac:dyDescent="0.35">
      <c r="A263" s="121"/>
      <c r="B263" s="122"/>
      <c r="C263" s="119"/>
      <c r="D263" s="29"/>
    </row>
    <row r="264" spans="1:4" x14ac:dyDescent="0.35">
      <c r="A264" s="121"/>
      <c r="B264" s="122"/>
      <c r="C264" s="119"/>
      <c r="D264" s="29"/>
    </row>
    <row r="265" spans="1:4" x14ac:dyDescent="0.35">
      <c r="A265" s="121"/>
      <c r="B265" s="122"/>
      <c r="C265" s="119"/>
      <c r="D265" s="29"/>
    </row>
    <row r="266" spans="1:4" x14ac:dyDescent="0.35">
      <c r="A266" s="121"/>
      <c r="B266" s="122"/>
      <c r="C266" s="119"/>
      <c r="D266" s="29"/>
    </row>
    <row r="267" spans="1:4" x14ac:dyDescent="0.35">
      <c r="A267" s="121"/>
      <c r="B267" s="122"/>
      <c r="C267" s="119"/>
      <c r="D267" s="29"/>
    </row>
    <row r="268" spans="1:4" x14ac:dyDescent="0.35">
      <c r="A268" s="121"/>
      <c r="B268" s="122"/>
      <c r="C268" s="119"/>
      <c r="D268" s="29"/>
    </row>
    <row r="269" spans="1:4" x14ac:dyDescent="0.35">
      <c r="A269" s="121"/>
      <c r="B269" s="122"/>
      <c r="C269" s="119"/>
      <c r="D269" s="29"/>
    </row>
    <row r="270" spans="1:4" x14ac:dyDescent="0.35">
      <c r="A270" s="121"/>
      <c r="B270" s="122"/>
      <c r="C270" s="119"/>
      <c r="D270" s="29"/>
    </row>
    <row r="271" spans="1:4" x14ac:dyDescent="0.35">
      <c r="A271" s="121"/>
      <c r="B271" s="122"/>
      <c r="C271" s="119"/>
      <c r="D271" s="29"/>
    </row>
    <row r="272" spans="1:4" x14ac:dyDescent="0.35">
      <c r="A272" s="121"/>
      <c r="B272" s="122"/>
      <c r="C272" s="119"/>
      <c r="D272" s="29"/>
    </row>
    <row r="273" spans="1:4" x14ac:dyDescent="0.35">
      <c r="A273" s="121"/>
      <c r="B273" s="122"/>
      <c r="C273" s="119"/>
      <c r="D273" s="29"/>
    </row>
    <row r="274" spans="1:4" x14ac:dyDescent="0.35">
      <c r="A274" s="121"/>
      <c r="B274" s="122"/>
      <c r="C274" s="119"/>
      <c r="D274" s="29"/>
    </row>
    <row r="275" spans="1:4" x14ac:dyDescent="0.35">
      <c r="A275" s="121"/>
      <c r="B275" s="122"/>
      <c r="C275" s="119"/>
      <c r="D275" s="29"/>
    </row>
    <row r="276" spans="1:4" x14ac:dyDescent="0.35">
      <c r="A276" s="121"/>
      <c r="B276" s="122"/>
      <c r="C276" s="119"/>
      <c r="D276" s="29"/>
    </row>
    <row r="277" spans="1:4" s="42" customFormat="1" x14ac:dyDescent="0.35">
      <c r="A277" s="121"/>
      <c r="B277" s="122"/>
      <c r="C277" s="119"/>
      <c r="D277" s="29"/>
    </row>
    <row r="278" spans="1:4" x14ac:dyDescent="0.35">
      <c r="A278" s="121"/>
      <c r="B278" s="122"/>
      <c r="C278" s="119"/>
      <c r="D278" s="29"/>
    </row>
    <row r="279" spans="1:4" x14ac:dyDescent="0.35">
      <c r="A279" s="121"/>
      <c r="B279" s="122"/>
      <c r="C279" s="119"/>
      <c r="D279" s="29"/>
    </row>
    <row r="280" spans="1:4" x14ac:dyDescent="0.35">
      <c r="A280" s="121"/>
      <c r="B280" s="122"/>
      <c r="C280" s="119"/>
      <c r="D280" s="29"/>
    </row>
    <row r="281" spans="1:4" x14ac:dyDescent="0.35">
      <c r="A281" s="121"/>
      <c r="B281" s="122"/>
      <c r="C281" s="119"/>
      <c r="D281" s="29"/>
    </row>
    <row r="282" spans="1:4" x14ac:dyDescent="0.35">
      <c r="A282" s="121"/>
      <c r="B282" s="122"/>
      <c r="C282" s="119"/>
      <c r="D282" s="29"/>
    </row>
    <row r="283" spans="1:4" x14ac:dyDescent="0.35">
      <c r="A283" s="121"/>
      <c r="B283" s="122"/>
      <c r="C283" s="119"/>
      <c r="D283" s="29"/>
    </row>
    <row r="284" spans="1:4" x14ac:dyDescent="0.35">
      <c r="A284" s="121"/>
      <c r="B284" s="122"/>
      <c r="C284" s="119"/>
      <c r="D284" s="29"/>
    </row>
    <row r="285" spans="1:4" x14ac:dyDescent="0.35">
      <c r="A285" s="121"/>
      <c r="B285" s="122"/>
      <c r="C285" s="119"/>
      <c r="D285" s="29"/>
    </row>
    <row r="286" spans="1:4" x14ac:dyDescent="0.35">
      <c r="A286" s="121"/>
      <c r="B286" s="122"/>
      <c r="C286" s="119"/>
      <c r="D286" s="29"/>
    </row>
    <row r="287" spans="1:4" x14ac:dyDescent="0.35">
      <c r="A287" s="121"/>
      <c r="B287" s="122"/>
      <c r="C287" s="119"/>
      <c r="D287" s="29"/>
    </row>
    <row r="288" spans="1:4" x14ac:dyDescent="0.35">
      <c r="A288" s="121"/>
      <c r="B288" s="122"/>
      <c r="C288" s="119"/>
      <c r="D288" s="29"/>
    </row>
    <row r="289" spans="1:4" x14ac:dyDescent="0.35">
      <c r="A289" s="121"/>
      <c r="B289" s="122"/>
      <c r="C289" s="119"/>
      <c r="D289" s="29"/>
    </row>
    <row r="290" spans="1:4" x14ac:dyDescent="0.35">
      <c r="A290" s="121"/>
      <c r="B290" s="122"/>
      <c r="C290" s="119"/>
      <c r="D290" s="29"/>
    </row>
    <row r="291" spans="1:4" x14ac:dyDescent="0.35">
      <c r="A291" s="121"/>
      <c r="B291" s="122"/>
      <c r="C291" s="119"/>
      <c r="D291" s="29"/>
    </row>
    <row r="292" spans="1:4" x14ac:dyDescent="0.35">
      <c r="A292" s="121"/>
      <c r="B292" s="122"/>
      <c r="C292" s="119"/>
      <c r="D292" s="29"/>
    </row>
    <row r="293" spans="1:4" s="97" customFormat="1" x14ac:dyDescent="0.35">
      <c r="A293" s="121"/>
      <c r="B293" s="122"/>
      <c r="C293" s="124"/>
      <c r="D293" s="120"/>
    </row>
    <row r="294" spans="1:4" x14ac:dyDescent="0.35">
      <c r="A294" s="121"/>
      <c r="B294" s="122"/>
      <c r="C294" s="119"/>
      <c r="D294" s="29"/>
    </row>
    <row r="295" spans="1:4" x14ac:dyDescent="0.35">
      <c r="A295" s="121"/>
      <c r="B295" s="122"/>
      <c r="C295" s="119"/>
      <c r="D295" s="29"/>
    </row>
    <row r="296" spans="1:4" x14ac:dyDescent="0.35">
      <c r="A296" s="121"/>
      <c r="B296" s="122"/>
      <c r="C296" s="119"/>
      <c r="D296" s="29"/>
    </row>
    <row r="297" spans="1:4" x14ac:dyDescent="0.35">
      <c r="A297" s="121"/>
      <c r="B297" s="122"/>
      <c r="C297" s="119"/>
      <c r="D297" s="29"/>
    </row>
    <row r="298" spans="1:4" x14ac:dyDescent="0.35">
      <c r="A298" s="121"/>
      <c r="B298" s="122"/>
      <c r="C298" s="119"/>
      <c r="D298" s="29"/>
    </row>
    <row r="299" spans="1:4" x14ac:dyDescent="0.35">
      <c r="A299" s="121"/>
      <c r="B299" s="122"/>
      <c r="C299" s="119"/>
      <c r="D299" s="29"/>
    </row>
    <row r="300" spans="1:4" x14ac:dyDescent="0.35">
      <c r="A300" s="121"/>
      <c r="B300" s="122"/>
      <c r="C300" s="119"/>
      <c r="D300" s="29"/>
    </row>
    <row r="301" spans="1:4" x14ac:dyDescent="0.35">
      <c r="A301" s="121"/>
      <c r="B301" s="122"/>
      <c r="C301" s="119"/>
      <c r="D301" s="29"/>
    </row>
    <row r="302" spans="1:4" x14ac:dyDescent="0.35">
      <c r="A302" s="121"/>
      <c r="B302" s="122"/>
      <c r="C302" s="119"/>
      <c r="D302" s="29"/>
    </row>
    <row r="303" spans="1:4" x14ac:dyDescent="0.35">
      <c r="A303" s="121"/>
      <c r="B303" s="122"/>
      <c r="C303" s="119"/>
      <c r="D303" s="29"/>
    </row>
    <row r="304" spans="1:4" x14ac:dyDescent="0.35">
      <c r="A304" s="121"/>
      <c r="B304" s="122"/>
      <c r="C304" s="119"/>
      <c r="D304" s="29"/>
    </row>
    <row r="305" spans="1:4" x14ac:dyDescent="0.35">
      <c r="A305" s="121"/>
      <c r="B305" s="122"/>
      <c r="C305" s="119"/>
      <c r="D305" s="29"/>
    </row>
    <row r="306" spans="1:4" x14ac:dyDescent="0.35">
      <c r="A306" s="121"/>
      <c r="B306" s="122"/>
      <c r="C306" s="119"/>
      <c r="D306" s="29"/>
    </row>
    <row r="307" spans="1:4" x14ac:dyDescent="0.35">
      <c r="A307" s="121"/>
      <c r="B307" s="122"/>
      <c r="C307" s="119"/>
      <c r="D307" s="29"/>
    </row>
    <row r="308" spans="1:4" x14ac:dyDescent="0.35">
      <c r="A308" s="121"/>
      <c r="B308" s="122"/>
      <c r="C308" s="119"/>
      <c r="D308" s="29"/>
    </row>
    <row r="309" spans="1:4" x14ac:dyDescent="0.35">
      <c r="A309" s="121"/>
      <c r="B309" s="122"/>
      <c r="C309" s="119"/>
      <c r="D309" s="29"/>
    </row>
    <row r="310" spans="1:4" x14ac:dyDescent="0.35">
      <c r="A310" s="121"/>
      <c r="B310" s="122"/>
      <c r="C310" s="119"/>
      <c r="D310" s="29"/>
    </row>
    <row r="311" spans="1:4" x14ac:dyDescent="0.35">
      <c r="A311" s="121"/>
      <c r="B311" s="122"/>
      <c r="C311" s="119"/>
      <c r="D311" s="29"/>
    </row>
    <row r="312" spans="1:4" x14ac:dyDescent="0.35">
      <c r="A312" s="121"/>
      <c r="B312" s="122"/>
      <c r="C312" s="119"/>
      <c r="D312" s="29"/>
    </row>
    <row r="313" spans="1:4" x14ac:dyDescent="0.35">
      <c r="A313" s="121"/>
      <c r="B313" s="122"/>
      <c r="C313" s="119"/>
      <c r="D313" s="29"/>
    </row>
    <row r="314" spans="1:4" x14ac:dyDescent="0.35">
      <c r="A314" s="121"/>
      <c r="B314" s="122"/>
      <c r="C314" s="119"/>
      <c r="D314" s="29"/>
    </row>
    <row r="315" spans="1:4" x14ac:dyDescent="0.35">
      <c r="A315" s="121"/>
      <c r="B315" s="122"/>
      <c r="C315" s="119"/>
      <c r="D315" s="29"/>
    </row>
    <row r="316" spans="1:4" x14ac:dyDescent="0.35">
      <c r="A316" s="121"/>
      <c r="B316" s="122"/>
      <c r="C316" s="119"/>
      <c r="D316" s="29"/>
    </row>
    <row r="317" spans="1:4" x14ac:dyDescent="0.35">
      <c r="A317" s="121"/>
      <c r="B317" s="122"/>
      <c r="C317" s="119"/>
      <c r="D317" s="29"/>
    </row>
    <row r="318" spans="1:4" x14ac:dyDescent="0.35">
      <c r="A318" s="121"/>
      <c r="B318" s="122"/>
      <c r="C318" s="119"/>
      <c r="D318" s="29"/>
    </row>
    <row r="319" spans="1:4" x14ac:dyDescent="0.35">
      <c r="A319" s="121"/>
      <c r="B319" s="122"/>
      <c r="C319" s="119"/>
      <c r="D319" s="29"/>
    </row>
    <row r="320" spans="1:4" x14ac:dyDescent="0.35">
      <c r="A320" s="121"/>
      <c r="B320" s="122"/>
      <c r="C320" s="119"/>
      <c r="D320" s="29"/>
    </row>
    <row r="321" spans="1:4" x14ac:dyDescent="0.35">
      <c r="A321" s="121"/>
      <c r="B321" s="122"/>
      <c r="C321" s="119"/>
      <c r="D321" s="29"/>
    </row>
    <row r="322" spans="1:4" x14ac:dyDescent="0.35">
      <c r="A322" s="121"/>
      <c r="B322" s="122"/>
      <c r="C322" s="119"/>
      <c r="D322" s="29"/>
    </row>
    <row r="323" spans="1:4" x14ac:dyDescent="0.35">
      <c r="A323" s="121"/>
      <c r="B323" s="122"/>
      <c r="C323" s="119"/>
      <c r="D323" s="29"/>
    </row>
    <row r="324" spans="1:4" x14ac:dyDescent="0.35">
      <c r="A324" s="121"/>
      <c r="B324" s="122"/>
      <c r="C324" s="119"/>
      <c r="D324" s="29"/>
    </row>
    <row r="325" spans="1:4" x14ac:dyDescent="0.35">
      <c r="A325" s="121"/>
      <c r="B325" s="122"/>
      <c r="C325" s="119"/>
      <c r="D325" s="29"/>
    </row>
    <row r="326" spans="1:4" s="42" customFormat="1" x14ac:dyDescent="0.35">
      <c r="A326" s="121"/>
      <c r="B326" s="122"/>
      <c r="C326" s="119"/>
      <c r="D326" s="29"/>
    </row>
    <row r="327" spans="1:4" x14ac:dyDescent="0.35">
      <c r="A327" s="121"/>
      <c r="B327" s="122"/>
      <c r="C327" s="119"/>
      <c r="D327" s="29"/>
    </row>
    <row r="328" spans="1:4" x14ac:dyDescent="0.35">
      <c r="A328" s="121"/>
      <c r="B328" s="122"/>
      <c r="C328" s="119"/>
      <c r="D328" s="29"/>
    </row>
    <row r="329" spans="1:4" x14ac:dyDescent="0.35">
      <c r="A329" s="121"/>
      <c r="B329" s="122"/>
      <c r="C329" s="119"/>
      <c r="D329" s="29"/>
    </row>
    <row r="330" spans="1:4" x14ac:dyDescent="0.35">
      <c r="A330" s="121"/>
      <c r="B330" s="122"/>
      <c r="C330" s="119"/>
      <c r="D330" s="29"/>
    </row>
    <row r="331" spans="1:4" x14ac:dyDescent="0.35">
      <c r="A331" s="121"/>
      <c r="B331" s="122"/>
      <c r="C331" s="119"/>
      <c r="D331" s="29"/>
    </row>
    <row r="332" spans="1:4" x14ac:dyDescent="0.35">
      <c r="A332" s="121"/>
      <c r="B332" s="122"/>
      <c r="C332" s="119"/>
      <c r="D332" s="29"/>
    </row>
    <row r="333" spans="1:4" x14ac:dyDescent="0.35">
      <c r="A333" s="121"/>
      <c r="B333" s="122"/>
      <c r="C333" s="119"/>
      <c r="D333" s="29"/>
    </row>
    <row r="334" spans="1:4" x14ac:dyDescent="0.35">
      <c r="A334" s="121"/>
      <c r="B334" s="122"/>
      <c r="C334" s="119"/>
      <c r="D334" s="29"/>
    </row>
    <row r="335" spans="1:4" x14ac:dyDescent="0.35">
      <c r="A335" s="121"/>
      <c r="B335" s="122"/>
      <c r="C335" s="119"/>
      <c r="D335" s="29"/>
    </row>
    <row r="336" spans="1:4" x14ac:dyDescent="0.35">
      <c r="A336" s="121"/>
      <c r="B336" s="122"/>
      <c r="C336" s="119"/>
      <c r="D336" s="29"/>
    </row>
    <row r="337" spans="1:4" x14ac:dyDescent="0.35">
      <c r="A337" s="121"/>
      <c r="B337" s="122"/>
      <c r="C337" s="119"/>
      <c r="D337" s="29"/>
    </row>
    <row r="338" spans="1:4" x14ac:dyDescent="0.35">
      <c r="A338" s="121"/>
      <c r="B338" s="122"/>
      <c r="C338" s="119"/>
      <c r="D338" s="29"/>
    </row>
    <row r="339" spans="1:4" x14ac:dyDescent="0.35">
      <c r="A339" s="121"/>
      <c r="B339" s="122"/>
      <c r="C339" s="119"/>
      <c r="D339" s="29"/>
    </row>
    <row r="340" spans="1:4" x14ac:dyDescent="0.35">
      <c r="A340" s="121"/>
      <c r="B340" s="122"/>
      <c r="C340" s="119"/>
      <c r="D340" s="29"/>
    </row>
    <row r="341" spans="1:4" x14ac:dyDescent="0.35">
      <c r="A341" s="121"/>
      <c r="B341" s="122"/>
      <c r="C341" s="119"/>
      <c r="D341" s="29"/>
    </row>
    <row r="342" spans="1:4" x14ac:dyDescent="0.35">
      <c r="A342" s="121"/>
      <c r="B342" s="122"/>
      <c r="C342" s="119"/>
      <c r="D342" s="29"/>
    </row>
    <row r="343" spans="1:4" x14ac:dyDescent="0.35">
      <c r="A343" s="121"/>
      <c r="B343" s="122"/>
      <c r="C343" s="119"/>
      <c r="D343" s="29"/>
    </row>
    <row r="344" spans="1:4" x14ac:dyDescent="0.35">
      <c r="A344" s="121"/>
      <c r="B344" s="122"/>
      <c r="C344" s="119"/>
      <c r="D344" s="29"/>
    </row>
    <row r="345" spans="1:4" x14ac:dyDescent="0.35">
      <c r="A345" s="121"/>
      <c r="B345" s="122"/>
      <c r="C345" s="119"/>
      <c r="D345" s="29"/>
    </row>
    <row r="346" spans="1:4" x14ac:dyDescent="0.35">
      <c r="A346" s="121"/>
      <c r="B346" s="122"/>
      <c r="C346" s="119"/>
      <c r="D346" s="29"/>
    </row>
    <row r="347" spans="1:4" x14ac:dyDescent="0.35">
      <c r="A347" s="121"/>
      <c r="B347" s="122"/>
      <c r="C347" s="119"/>
      <c r="D347" s="29"/>
    </row>
    <row r="348" spans="1:4" x14ac:dyDescent="0.35">
      <c r="A348" s="121"/>
      <c r="B348" s="122"/>
      <c r="C348" s="119"/>
      <c r="D348" s="29"/>
    </row>
    <row r="349" spans="1:4" x14ac:dyDescent="0.35">
      <c r="A349" s="121"/>
      <c r="B349" s="122"/>
      <c r="C349" s="119"/>
      <c r="D349" s="29"/>
    </row>
    <row r="350" spans="1:4" x14ac:dyDescent="0.35">
      <c r="A350" s="121"/>
      <c r="B350" s="122"/>
      <c r="C350" s="119"/>
      <c r="D350" s="29"/>
    </row>
    <row r="351" spans="1:4" x14ac:dyDescent="0.35">
      <c r="A351" s="121"/>
      <c r="B351" s="122"/>
      <c r="C351" s="119"/>
      <c r="D351" s="29"/>
    </row>
    <row r="352" spans="1:4" x14ac:dyDescent="0.35">
      <c r="A352" s="121"/>
      <c r="B352" s="122"/>
      <c r="C352" s="119"/>
      <c r="D352" s="29"/>
    </row>
    <row r="353" spans="1:4" x14ac:dyDescent="0.35">
      <c r="A353" s="121"/>
      <c r="B353" s="122"/>
      <c r="C353" s="119"/>
      <c r="D353" s="29"/>
    </row>
    <row r="354" spans="1:4" x14ac:dyDescent="0.35">
      <c r="A354" s="121"/>
      <c r="B354" s="122"/>
      <c r="C354" s="119"/>
      <c r="D354" s="29"/>
    </row>
    <row r="355" spans="1:4" x14ac:dyDescent="0.35">
      <c r="A355" s="121"/>
      <c r="B355" s="122"/>
      <c r="C355" s="119"/>
      <c r="D355" s="29"/>
    </row>
    <row r="356" spans="1:4" x14ac:dyDescent="0.35">
      <c r="A356" s="121"/>
      <c r="B356" s="122"/>
      <c r="C356" s="119"/>
      <c r="D356" s="29"/>
    </row>
    <row r="357" spans="1:4" x14ac:dyDescent="0.35">
      <c r="A357" s="121"/>
      <c r="B357" s="122"/>
      <c r="C357" s="119"/>
      <c r="D357" s="29"/>
    </row>
    <row r="358" spans="1:4" x14ac:dyDescent="0.35">
      <c r="A358" s="121"/>
      <c r="B358" s="122"/>
      <c r="C358" s="119"/>
      <c r="D358" s="29"/>
    </row>
    <row r="359" spans="1:4" x14ac:dyDescent="0.35">
      <c r="A359" s="121"/>
      <c r="B359" s="122"/>
      <c r="C359" s="119"/>
      <c r="D359" s="29"/>
    </row>
    <row r="360" spans="1:4" x14ac:dyDescent="0.35">
      <c r="A360" s="121"/>
      <c r="B360" s="122"/>
      <c r="C360" s="119"/>
      <c r="D360" s="29"/>
    </row>
    <row r="361" spans="1:4" x14ac:dyDescent="0.35">
      <c r="A361" s="121"/>
      <c r="B361" s="122"/>
      <c r="C361" s="119"/>
      <c r="D361" s="29"/>
    </row>
    <row r="362" spans="1:4" x14ac:dyDescent="0.35">
      <c r="A362" s="121"/>
      <c r="B362" s="122"/>
      <c r="C362" s="119"/>
      <c r="D362" s="29"/>
    </row>
    <row r="363" spans="1:4" x14ac:dyDescent="0.35">
      <c r="A363" s="121"/>
      <c r="B363" s="122"/>
      <c r="C363" s="119"/>
      <c r="D363" s="120"/>
    </row>
    <row r="364" spans="1:4" x14ac:dyDescent="0.35">
      <c r="A364" s="121"/>
      <c r="B364" s="122"/>
      <c r="C364" s="119"/>
      <c r="D364" s="120"/>
    </row>
    <row r="365" spans="1:4" x14ac:dyDescent="0.35">
      <c r="A365" s="121"/>
      <c r="B365" s="122"/>
      <c r="C365" s="119"/>
      <c r="D365" s="120"/>
    </row>
    <row r="366" spans="1:4" x14ac:dyDescent="0.35">
      <c r="A366" s="121"/>
      <c r="B366" s="123"/>
      <c r="C366" s="124"/>
      <c r="D366" s="120"/>
    </row>
    <row r="367" spans="1:4" x14ac:dyDescent="0.35">
      <c r="A367" s="121"/>
      <c r="B367" s="123"/>
      <c r="C367" s="124"/>
      <c r="D367" s="120"/>
    </row>
    <row r="368" spans="1:4" x14ac:dyDescent="0.35">
      <c r="A368" s="121"/>
      <c r="B368" s="123"/>
      <c r="C368" s="124"/>
      <c r="D368" s="120"/>
    </row>
    <row r="369" spans="1:4" x14ac:dyDescent="0.35">
      <c r="A369" s="121"/>
      <c r="B369" s="123"/>
      <c r="C369" s="124"/>
      <c r="D369" s="120"/>
    </row>
    <row r="370" spans="1:4" x14ac:dyDescent="0.35">
      <c r="A370" s="121"/>
      <c r="B370" s="123"/>
      <c r="C370" s="124"/>
      <c r="D370" s="120"/>
    </row>
    <row r="371" spans="1:4" x14ac:dyDescent="0.35">
      <c r="A371" s="121"/>
      <c r="B371" s="123"/>
      <c r="C371" s="124"/>
      <c r="D371" s="120"/>
    </row>
    <row r="372" spans="1:4" x14ac:dyDescent="0.35">
      <c r="A372" s="121"/>
      <c r="B372" s="123"/>
      <c r="C372" s="124"/>
      <c r="D372" s="120"/>
    </row>
  </sheetData>
  <pageMargins left="0.7" right="0.7" top="0.75" bottom="0.75" header="0.3" footer="0.3"/>
  <pageSetup orientation="portrait" r:id="rId1"/>
  <tableParts count="1">
    <tablePart r:id="rId2"/>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2"/>
  <dimension ref="A1:E44"/>
  <sheetViews>
    <sheetView zoomScaleNormal="100" workbookViewId="0">
      <selection sqref="A1:B1"/>
    </sheetView>
  </sheetViews>
  <sheetFormatPr defaultRowHeight="14.5" x14ac:dyDescent="0.35"/>
  <cols>
    <col min="1" max="1" width="14.453125" style="97" bestFit="1" customWidth="1"/>
    <col min="2" max="2" width="42.6328125" style="97" customWidth="1"/>
    <col min="3" max="3" width="106.1796875" style="98" customWidth="1"/>
    <col min="4" max="4" width="21.81640625" style="111" bestFit="1" customWidth="1"/>
    <col min="5" max="5" width="20.6328125" style="97" customWidth="1"/>
  </cols>
  <sheetData>
    <row r="1" spans="1:5" ht="18.5" x14ac:dyDescent="0.35">
      <c r="A1" s="192" t="s">
        <v>4</v>
      </c>
      <c r="B1" s="192"/>
      <c r="C1" s="105"/>
    </row>
    <row r="2" spans="1:5" x14ac:dyDescent="0.35">
      <c r="A2" s="106" t="s">
        <v>5</v>
      </c>
      <c r="B2" s="107" t="str">
        <f ca="1">MID(CELL("filename",A1),FIND("]",CELL("filename",A1))+1,LEN(CELL("filename",A1))-FIND("]",CELL("filename",A1)))</f>
        <v>TC20</v>
      </c>
    </row>
    <row r="3" spans="1:5" x14ac:dyDescent="0.35">
      <c r="A3" s="104" t="s">
        <v>19</v>
      </c>
      <c r="B3" s="112">
        <f ca="1">VLOOKUP(B2,Table53[#All],2,FALSE)</f>
        <v>0</v>
      </c>
    </row>
    <row r="4" spans="1:5" ht="29" x14ac:dyDescent="0.35">
      <c r="A4" s="113" t="s">
        <v>20</v>
      </c>
      <c r="B4" s="99">
        <f ca="1">VLOOKUP(B2,Table53[#All],4,FALSE)</f>
        <v>0</v>
      </c>
    </row>
    <row r="5" spans="1:5" ht="14.5" customHeight="1" x14ac:dyDescent="0.35">
      <c r="A5" s="104" t="s">
        <v>6</v>
      </c>
      <c r="B5" s="93" t="str">
        <f ca="1">VLOOKUP(B2,Table53[#All],3,FALSE)</f>
        <v>Acct/Inv Nbr No Input x3</v>
      </c>
    </row>
    <row r="7" spans="1:5" ht="15.5" x14ac:dyDescent="0.35">
      <c r="A7" s="100" t="s">
        <v>7</v>
      </c>
      <c r="B7" s="101" t="s">
        <v>8</v>
      </c>
      <c r="C7" s="102" t="s">
        <v>9</v>
      </c>
      <c r="D7" s="102" t="s">
        <v>14</v>
      </c>
      <c r="E7" s="103" t="s">
        <v>10</v>
      </c>
    </row>
    <row r="8" spans="1:5" s="97" customFormat="1" x14ac:dyDescent="0.35">
      <c r="A8" s="118">
        <v>1</v>
      </c>
      <c r="B8" s="114" t="s">
        <v>114</v>
      </c>
      <c r="C8" s="127" t="s">
        <v>125</v>
      </c>
      <c r="D8" s="128"/>
      <c r="E8" s="125" t="s">
        <v>11</v>
      </c>
    </row>
    <row r="9" spans="1:5" s="97" customFormat="1" x14ac:dyDescent="0.35">
      <c r="A9" s="118">
        <v>2</v>
      </c>
      <c r="B9" s="114" t="s">
        <v>115</v>
      </c>
      <c r="C9" s="109" t="str">
        <f>VLOOKUP(Table257552526910134344464748[[#This Row],[PEG]],Table1016[#All],2,FALSE)</f>
        <v>To get started, tell me your Account Number</v>
      </c>
      <c r="D9" s="141" t="s">
        <v>245</v>
      </c>
      <c r="E9" s="125" t="str">
        <f>VLOOKUP(Table257552526910134344464748[[#This Row],[PEG]],Table1016[#All],3,FALSE)</f>
        <v>Prompt</v>
      </c>
    </row>
    <row r="10" spans="1:5" s="97" customFormat="1" x14ac:dyDescent="0.35">
      <c r="A10" s="118">
        <v>3</v>
      </c>
      <c r="B10" s="114" t="s">
        <v>114</v>
      </c>
      <c r="C10" s="109" t="s">
        <v>478</v>
      </c>
      <c r="D10" s="128"/>
      <c r="E10" s="125" t="e">
        <f>VLOOKUP(Table257552526910134344464748[[#This Row],[PEG]],Table1016[#All],3,FALSE)</f>
        <v>#N/A</v>
      </c>
    </row>
    <row r="11" spans="1:5" s="97" customFormat="1" x14ac:dyDescent="0.35">
      <c r="A11" s="118">
        <v>4</v>
      </c>
      <c r="B11" s="114" t="s">
        <v>115</v>
      </c>
      <c r="C11" s="109" t="str">
        <f>VLOOKUP(Table257552526910134344464748[[#This Row],[PEG]],Table1016[#All],2,FALSE)</f>
        <v>I didn’t get that.</v>
      </c>
      <c r="D11" s="141" t="s">
        <v>365</v>
      </c>
      <c r="E11" s="125" t="str">
        <f>VLOOKUP(Table257552526910134344464748[[#This Row],[PEG]],Table1016[#All],3,FALSE)</f>
        <v>Prompt</v>
      </c>
    </row>
    <row r="12" spans="1:5" x14ac:dyDescent="0.35">
      <c r="A12" s="118">
        <v>5</v>
      </c>
      <c r="B12" s="114" t="s">
        <v>115</v>
      </c>
      <c r="C12" s="109" t="str">
        <f>VLOOKUP(Table257552526910134344464748[[#This Row],[PEG]],Table1016[#All],2,FALSE)</f>
        <v>Just tell me your account number.</v>
      </c>
      <c r="D12" s="164" t="s">
        <v>246</v>
      </c>
      <c r="E12" s="125" t="str">
        <f>VLOOKUP(Table257552526910134344464748[[#This Row],[PEG]],Table1016[#All],3,FALSE)</f>
        <v>Prompt</v>
      </c>
    </row>
    <row r="13" spans="1:5" x14ac:dyDescent="0.35">
      <c r="A13" s="118">
        <v>6</v>
      </c>
      <c r="B13" s="114" t="s">
        <v>114</v>
      </c>
      <c r="C13" s="109" t="s">
        <v>478</v>
      </c>
      <c r="D13" s="164"/>
      <c r="E13" s="125" t="e">
        <f>VLOOKUP(Table257552526910134344464748[[#This Row],[PEG]],Table1016[#All],3,FALSE)</f>
        <v>#N/A</v>
      </c>
    </row>
    <row r="14" spans="1:5" x14ac:dyDescent="0.35">
      <c r="A14" s="118">
        <v>7</v>
      </c>
      <c r="B14" s="114" t="s">
        <v>115</v>
      </c>
      <c r="C14" s="130" t="str">
        <f>VLOOKUP(Table257552526910134344464748[[#This Row],[PEG]],Table1016[#All],2,FALSE)</f>
        <v>I still didn’t get that.</v>
      </c>
      <c r="D14" s="165" t="s">
        <v>366</v>
      </c>
      <c r="E14" s="125" t="str">
        <f>VLOOKUP(Table257552526910134344464748[[#This Row],[PEG]],Table1016[#All],3,FALSE)</f>
        <v>Prompt</v>
      </c>
    </row>
    <row r="15" spans="1:5" ht="29" x14ac:dyDescent="0.35">
      <c r="A15" s="118">
        <v>8</v>
      </c>
      <c r="B15" s="114" t="s">
        <v>115</v>
      </c>
      <c r="C15" s="109" t="str">
        <f>VLOOKUP(Table257552526910134344464748[[#This Row],[PEG]],Table1016[#All],2,FALSE)</f>
        <v>Just enter your account number using your touchtone keypad.  If your account number includes letters, enter only the numbers.</v>
      </c>
      <c r="D15" s="165" t="s">
        <v>247</v>
      </c>
      <c r="E15" s="125" t="str">
        <f>VLOOKUP(Table257552526910134344464748[[#This Row],[PEG]],Table1016[#All],3,FALSE)</f>
        <v>Prompt</v>
      </c>
    </row>
    <row r="16" spans="1:5" x14ac:dyDescent="0.35">
      <c r="A16" s="118">
        <v>9</v>
      </c>
      <c r="B16" s="114" t="s">
        <v>114</v>
      </c>
      <c r="C16" s="127" t="s">
        <v>478</v>
      </c>
      <c r="D16" s="165"/>
      <c r="E16" s="125" t="e">
        <f>VLOOKUP(Table257552526910134344464748[[#This Row],[PEG]],Table1016[#All],3,FALSE)</f>
        <v>#N/A</v>
      </c>
    </row>
    <row r="17" spans="1:5" x14ac:dyDescent="0.35">
      <c r="A17" s="118">
        <v>10</v>
      </c>
      <c r="B17" s="114" t="s">
        <v>115</v>
      </c>
      <c r="C17" s="109" t="str">
        <f>VLOOKUP(Table257552526910134344464748[[#This Row],[PEG]],Table1016[#All],2,FALSE)</f>
        <v>Let's try looking by your invoice number. Using your touchtone keypad enter the numbers one digit at a time.</v>
      </c>
      <c r="D17" s="165" t="s">
        <v>250</v>
      </c>
      <c r="E17" s="125" t="str">
        <f>VLOOKUP(Table257552526910134344464748[[#This Row],[PEG]],Table1016[#All],3,FALSE)</f>
        <v>Prompt</v>
      </c>
    </row>
    <row r="18" spans="1:5" x14ac:dyDescent="0.35">
      <c r="A18" s="118">
        <v>11</v>
      </c>
      <c r="B18" s="114" t="s">
        <v>114</v>
      </c>
      <c r="C18" s="127" t="s">
        <v>478</v>
      </c>
      <c r="D18" s="165"/>
      <c r="E18" s="125" t="e">
        <f>VLOOKUP(Table257552526910134344464748[[#This Row],[PEG]],Table1016[#All],3,FALSE)</f>
        <v>#N/A</v>
      </c>
    </row>
    <row r="19" spans="1:5" x14ac:dyDescent="0.35">
      <c r="A19" s="118">
        <v>12</v>
      </c>
      <c r="B19" s="114" t="s">
        <v>115</v>
      </c>
      <c r="C19" s="109" t="str">
        <f>VLOOKUP(Table257552526910134344464748[[#This Row],[PEG]],Table1016[#All],2,FALSE)</f>
        <v>I didn’t get that.</v>
      </c>
      <c r="D19" s="165" t="s">
        <v>365</v>
      </c>
      <c r="E19" s="125" t="str">
        <f>VLOOKUP(Table257552526910134344464748[[#This Row],[PEG]],Table1016[#All],3,FALSE)</f>
        <v>Prompt</v>
      </c>
    </row>
    <row r="20" spans="1:5" x14ac:dyDescent="0.35">
      <c r="A20" s="118">
        <v>13</v>
      </c>
      <c r="B20" s="114" t="s">
        <v>115</v>
      </c>
      <c r="C20" s="109" t="str">
        <f>VLOOKUP(Table257552526910134344464748[[#This Row],[PEG]],Table1016[#All],2,FALSE)</f>
        <v>Just enter the numbers using your touchtone keypad.</v>
      </c>
      <c r="D20" s="165" t="s">
        <v>251</v>
      </c>
      <c r="E20" s="125" t="str">
        <f>VLOOKUP(Table257552526910134344464748[[#This Row],[PEG]],Table1016[#All],3,FALSE)</f>
        <v>Prompt</v>
      </c>
    </row>
    <row r="21" spans="1:5" x14ac:dyDescent="0.35">
      <c r="A21" s="118">
        <v>14</v>
      </c>
      <c r="B21" s="114" t="s">
        <v>114</v>
      </c>
      <c r="C21" s="109" t="s">
        <v>478</v>
      </c>
      <c r="D21" s="165"/>
      <c r="E21" s="125" t="e">
        <f>VLOOKUP(Table257552526910134344464748[[#This Row],[PEG]],Table1016[#All],3,FALSE)</f>
        <v>#N/A</v>
      </c>
    </row>
    <row r="22" spans="1:5" x14ac:dyDescent="0.35">
      <c r="A22" s="118">
        <v>15</v>
      </c>
      <c r="B22" s="114" t="s">
        <v>115</v>
      </c>
      <c r="C22" s="109" t="str">
        <f>VLOOKUP(Table257552526910134344464748[[#This Row],[PEG]],Table1016[#All],2,FALSE)</f>
        <v>I still didn’t get that.</v>
      </c>
      <c r="D22" s="165" t="s">
        <v>366</v>
      </c>
      <c r="E22" s="125" t="str">
        <f>VLOOKUP(Table257552526910134344464748[[#This Row],[PEG]],Table1016[#All],3,FALSE)</f>
        <v>Prompt</v>
      </c>
    </row>
    <row r="23" spans="1:5" ht="29" x14ac:dyDescent="0.35">
      <c r="A23" s="118">
        <v>16</v>
      </c>
      <c r="B23" s="114" t="s">
        <v>115</v>
      </c>
      <c r="C23" s="109" t="str">
        <f>VLOOKUP(Table257552526910134344464748[[#This Row],[PEG]],Table1016[#All],2,FALSE)</f>
        <v>Using your touchtone keypad, enter the numbers one digit at a time.  Your invoice number can be found in the upper right corner of your statement.</v>
      </c>
      <c r="D23" s="165" t="s">
        <v>252</v>
      </c>
      <c r="E23" s="125" t="str">
        <f>VLOOKUP(Table257552526910134344464748[[#This Row],[PEG]],Table1016[#All],3,FALSE)</f>
        <v>Prompt</v>
      </c>
    </row>
    <row r="24" spans="1:5" x14ac:dyDescent="0.35">
      <c r="A24" s="118">
        <v>17</v>
      </c>
      <c r="B24" s="114" t="s">
        <v>114</v>
      </c>
      <c r="C24" s="109" t="s">
        <v>478</v>
      </c>
      <c r="D24" s="165"/>
      <c r="E24" s="125" t="e">
        <f>VLOOKUP(Table257552526910134344464748[[#This Row],[PEG]],Table1016[#All],3,FALSE)</f>
        <v>#N/A</v>
      </c>
    </row>
    <row r="25" spans="1:5" ht="29" x14ac:dyDescent="0.35">
      <c r="A25" s="118">
        <v>18</v>
      </c>
      <c r="B25" s="114" t="s">
        <v>115</v>
      </c>
      <c r="C25" s="130" t="str">
        <f>VLOOKUP(Table257552526910134344464748[[#This Row],[PEG]],Table1016[#All],2,FALSE)</f>
        <v>It seems you are having trouble. For future transactions you can also access your plan details, or manage your account online anytime at members.lacare.com. One moment while I get someone to help. Make sure to have your invoice available.</v>
      </c>
      <c r="D25" s="165" t="s">
        <v>361</v>
      </c>
      <c r="E25" s="125" t="str">
        <f>VLOOKUP(Table257552526910134344464748[[#This Row],[PEG]],Table1016[#All],3,FALSE)</f>
        <v>Prompt</v>
      </c>
    </row>
    <row r="26" spans="1:5" s="97" customFormat="1" x14ac:dyDescent="0.35">
      <c r="A26" s="118">
        <v>19</v>
      </c>
      <c r="B26" s="114" t="s">
        <v>13</v>
      </c>
      <c r="C26" s="109" t="s">
        <v>13</v>
      </c>
      <c r="D26" s="165"/>
      <c r="E26" s="125" t="e">
        <f>VLOOKUP(Table257552526910134344464748[[#This Row],[PEG]],Table1016[#All],3,FALSE)</f>
        <v>#N/A</v>
      </c>
    </row>
    <row r="27" spans="1:5" x14ac:dyDescent="0.35">
      <c r="C27" s="26"/>
      <c r="D27" s="111" t="s">
        <v>0</v>
      </c>
    </row>
    <row r="28" spans="1:5" x14ac:dyDescent="0.35">
      <c r="C28" s="26"/>
    </row>
    <row r="29" spans="1:5" x14ac:dyDescent="0.35">
      <c r="C29" s="26"/>
    </row>
    <row r="30" spans="1:5" x14ac:dyDescent="0.35">
      <c r="C30" s="26"/>
    </row>
    <row r="31" spans="1:5" x14ac:dyDescent="0.35">
      <c r="C31" s="26"/>
    </row>
    <row r="32" spans="1:5" x14ac:dyDescent="0.35">
      <c r="C32" s="26"/>
    </row>
    <row r="33" spans="3:3" x14ac:dyDescent="0.35">
      <c r="C33" s="26"/>
    </row>
    <row r="34" spans="3:3" x14ac:dyDescent="0.35">
      <c r="C34" s="26"/>
    </row>
    <row r="35" spans="3:3" x14ac:dyDescent="0.35">
      <c r="C35" s="26"/>
    </row>
    <row r="36" spans="3:3" x14ac:dyDescent="0.35">
      <c r="C36" s="26"/>
    </row>
    <row r="37" spans="3:3" x14ac:dyDescent="0.35">
      <c r="C37" s="26"/>
    </row>
    <row r="38" spans="3:3" x14ac:dyDescent="0.35">
      <c r="C38" s="26"/>
    </row>
    <row r="39" spans="3:3" x14ac:dyDescent="0.35">
      <c r="C39" s="26"/>
    </row>
    <row r="40" spans="3:3" x14ac:dyDescent="0.35">
      <c r="C40" s="26"/>
    </row>
    <row r="41" spans="3:3" x14ac:dyDescent="0.35">
      <c r="C41" s="26"/>
    </row>
    <row r="42" spans="3:3" x14ac:dyDescent="0.35">
      <c r="C42" s="27"/>
    </row>
    <row r="43" spans="3:3" x14ac:dyDescent="0.35">
      <c r="C43" s="27"/>
    </row>
    <row r="44" spans="3:3" x14ac:dyDescent="0.35">
      <c r="C44" s="27"/>
    </row>
  </sheetData>
  <mergeCells count="1">
    <mergeCell ref="A1:B1"/>
  </mergeCells>
  <conditionalFormatting sqref="C27:C9983">
    <cfRule type="expression" dxfId="5543" priority="34">
      <formula>$B27="Dial"</formula>
    </cfRule>
    <cfRule type="expression" dxfId="5542" priority="36">
      <formula>$B27="HANGUP"</formula>
    </cfRule>
  </conditionalFormatting>
  <conditionalFormatting sqref="B8:B25">
    <cfRule type="containsText" dxfId="5541" priority="18" operator="containsText" text="Hear">
      <formula>NOT(ISERROR(SEARCH("Hear",B8)))</formula>
    </cfRule>
  </conditionalFormatting>
  <conditionalFormatting sqref="C15 C10:C13 C17 C19:C24">
    <cfRule type="expression" dxfId="5540" priority="19">
      <formula>$B10="Dial"</formula>
    </cfRule>
    <cfRule type="expression" dxfId="5539" priority="21">
      <formula>$B10="HANGUP"</formula>
    </cfRule>
  </conditionalFormatting>
  <conditionalFormatting sqref="C15 C10:C13 C17 C19:C24">
    <cfRule type="expression" dxfId="5538" priority="20">
      <formula>$B10="Speak"</formula>
    </cfRule>
  </conditionalFormatting>
  <conditionalFormatting sqref="C14 C25">
    <cfRule type="expression" dxfId="5537" priority="16">
      <formula>$B14="Dial"</formula>
    </cfRule>
    <cfRule type="expression" dxfId="5536" priority="17">
      <formula>$B14="HANGUP"</formula>
    </cfRule>
  </conditionalFormatting>
  <conditionalFormatting sqref="C8 C16">
    <cfRule type="expression" dxfId="5535" priority="14">
      <formula>$B8="Dial"</formula>
    </cfRule>
    <cfRule type="expression" dxfId="5534" priority="15">
      <formula>$B8="HANGUP"</formula>
    </cfRule>
  </conditionalFormatting>
  <conditionalFormatting sqref="B26">
    <cfRule type="containsText" dxfId="5533" priority="6" operator="containsText" text="Hear">
      <formula>NOT(ISERROR(SEARCH("Hear",B26)))</formula>
    </cfRule>
  </conditionalFormatting>
  <conditionalFormatting sqref="C26">
    <cfRule type="expression" dxfId="5532" priority="7">
      <formula>$B26="Dial"</formula>
    </cfRule>
    <cfRule type="expression" dxfId="5531" priority="9">
      <formula>$B26="HANGUP"</formula>
    </cfRule>
  </conditionalFormatting>
  <conditionalFormatting sqref="C26">
    <cfRule type="expression" dxfId="5530" priority="8">
      <formula>$B26="Speak"</formula>
    </cfRule>
  </conditionalFormatting>
  <conditionalFormatting sqref="C9">
    <cfRule type="expression" dxfId="5529" priority="3">
      <formula>$B9="Dial"</formula>
    </cfRule>
    <cfRule type="expression" dxfId="5528" priority="5">
      <formula>$B9="HANGUP"</formula>
    </cfRule>
  </conditionalFormatting>
  <conditionalFormatting sqref="C9">
    <cfRule type="expression" dxfId="5527" priority="4">
      <formula>$B9="Speak"</formula>
    </cfRule>
  </conditionalFormatting>
  <conditionalFormatting sqref="C18">
    <cfRule type="expression" dxfId="5526" priority="1">
      <formula>$B18="Dial"</formula>
    </cfRule>
    <cfRule type="expression" dxfId="5525" priority="2">
      <formula>$B18="HANGUP"</formula>
    </cfRule>
  </conditionalFormatting>
  <hyperlinks>
    <hyperlink ref="A1" location="'Test Case Overview'!A1" display="Return to Test Case Overview" xr:uid="{00000000-0004-0000-1400-000000000000}"/>
  </hyperlinks>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containsText" priority="785" operator="containsText" text="WEB SERVICE" id="{CC434119-D23C-4E92-9E68-A5DEAAEFDF19}">
            <xm:f>NOT(ISERROR(SEARCH("WEB SERVICE",'TC1'!#REF!)))</xm:f>
            <x14:dxf>
              <font>
                <color rgb="FF9C0006"/>
              </font>
              <fill>
                <patternFill>
                  <bgColor rgb="FFFFC7CE"/>
                </patternFill>
              </fill>
            </x14:dxf>
          </x14:cfRule>
          <x14:cfRule type="containsText" priority="786" operator="containsText" text="DB" id="{DD6BE2C4-6BDC-46E7-9D14-6CC4235DE755}">
            <xm:f>NOT(ISERROR(SEARCH("DB",'TC1'!#REF!)))</xm:f>
            <x14:dxf>
              <font>
                <color rgb="FF006100"/>
              </font>
              <fill>
                <patternFill>
                  <bgColor rgb="FFC6EFCE"/>
                </patternFill>
              </fill>
            </x14:dxf>
          </x14:cfRule>
          <xm:sqref>E14:E26</xm:sqref>
        </x14:conditionalFormatting>
        <x14:conditionalFormatting xmlns:xm="http://schemas.microsoft.com/office/excel/2006/main">
          <x14:cfRule type="containsText" priority="3636" operator="containsText" text="WEB SERVICE" id="{CC434119-D23C-4E92-9E68-A5DEAAEFDF19}">
            <xm:f>NOT(ISERROR(SEARCH("WEB SERVICE",'TC1'!E9)))</xm:f>
            <x14:dxf>
              <font>
                <color rgb="FF9C0006"/>
              </font>
              <fill>
                <patternFill>
                  <bgColor rgb="FFFFC7CE"/>
                </patternFill>
              </fill>
            </x14:dxf>
          </x14:cfRule>
          <x14:cfRule type="containsText" priority="3637" operator="containsText" text="DB" id="{DD6BE2C4-6BDC-46E7-9D14-6CC4235DE755}">
            <xm:f>NOT(ISERROR(SEARCH("DB",'TC1'!E9)))</xm:f>
            <x14:dxf>
              <font>
                <color rgb="FF006100"/>
              </font>
              <fill>
                <patternFill>
                  <bgColor rgb="FFC6EFCE"/>
                </patternFill>
              </fill>
            </x14:dxf>
          </x14:cfRule>
          <xm:sqref>E9:E12</xm:sqref>
        </x14:conditionalFormatting>
        <x14:conditionalFormatting xmlns:xm="http://schemas.microsoft.com/office/excel/2006/main">
          <x14:cfRule type="containsText" priority="6206" operator="containsText" text="WEB SERVICE" id="{CC434119-D23C-4E92-9E68-A5DEAAEFDF19}">
            <xm:f>NOT(ISERROR(SEARCH("WEB SERVICE",'TC1'!E15)))</xm:f>
            <x14:dxf>
              <font>
                <color rgb="FF9C0006"/>
              </font>
              <fill>
                <patternFill>
                  <bgColor rgb="FFFFC7CE"/>
                </patternFill>
              </fill>
            </x14:dxf>
          </x14:cfRule>
          <x14:cfRule type="containsText" priority="6207" operator="containsText" text="DB" id="{DD6BE2C4-6BDC-46E7-9D14-6CC4235DE755}">
            <xm:f>NOT(ISERROR(SEARCH("DB",'TC1'!E15)))</xm:f>
            <x14:dxf>
              <font>
                <color rgb="FF006100"/>
              </font>
              <fill>
                <patternFill>
                  <bgColor rgb="FFC6EFCE"/>
                </patternFill>
              </fill>
            </x14:dxf>
          </x14:cfRule>
          <xm:sqref>E13</xm:sqref>
        </x14:conditionalFormatting>
      </x14:conditionalFormatting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3"/>
  <dimension ref="A1:E50"/>
  <sheetViews>
    <sheetView zoomScaleNormal="100" workbookViewId="0">
      <selection sqref="A1:B1"/>
    </sheetView>
  </sheetViews>
  <sheetFormatPr defaultRowHeight="14.5" x14ac:dyDescent="0.35"/>
  <cols>
    <col min="1" max="1" width="14.453125" style="97" bestFit="1" customWidth="1"/>
    <col min="2" max="2" width="42.6328125" style="97" customWidth="1"/>
    <col min="3" max="3" width="106.1796875" style="98" customWidth="1"/>
    <col min="4" max="4" width="21.81640625" style="111" bestFit="1" customWidth="1"/>
    <col min="5" max="5" width="20.6328125" style="97" customWidth="1"/>
  </cols>
  <sheetData>
    <row r="1" spans="1:5" ht="18.5" x14ac:dyDescent="0.35">
      <c r="A1" s="192" t="s">
        <v>4</v>
      </c>
      <c r="B1" s="192"/>
      <c r="C1" s="105"/>
    </row>
    <row r="2" spans="1:5" x14ac:dyDescent="0.35">
      <c r="A2" s="106" t="s">
        <v>5</v>
      </c>
      <c r="B2" s="107" t="str">
        <f ca="1">MID(CELL("filename",A1),FIND("]",CELL("filename",A1))+1,LEN(CELL("filename",A1))-FIND("]",CELL("filename",A1)))</f>
        <v>TC21</v>
      </c>
    </row>
    <row r="3" spans="1:5" x14ac:dyDescent="0.35">
      <c r="A3" s="104" t="s">
        <v>19</v>
      </c>
      <c r="B3" s="112">
        <f ca="1">VLOOKUP(B2,Table53[#All],2,FALSE)</f>
        <v>0</v>
      </c>
    </row>
    <row r="4" spans="1:5" ht="29" x14ac:dyDescent="0.35">
      <c r="A4" s="113" t="s">
        <v>20</v>
      </c>
      <c r="B4" s="99">
        <f ca="1">VLOOKUP(B2,Table53[#All],4,FALSE)</f>
        <v>0</v>
      </c>
    </row>
    <row r="5" spans="1:5" x14ac:dyDescent="0.35">
      <c r="A5" s="104" t="s">
        <v>6</v>
      </c>
      <c r="B5" s="93" t="str">
        <f ca="1">VLOOKUP(B2,Table53[#All],3,FALSE)</f>
        <v>Account/Inv Nbr Not Found</v>
      </c>
    </row>
    <row r="7" spans="1:5" ht="15.5" x14ac:dyDescent="0.35">
      <c r="A7" s="100" t="s">
        <v>7</v>
      </c>
      <c r="B7" s="101" t="s">
        <v>8</v>
      </c>
      <c r="C7" s="102" t="s">
        <v>9</v>
      </c>
      <c r="D7" s="102" t="s">
        <v>14</v>
      </c>
      <c r="E7" s="103" t="s">
        <v>10</v>
      </c>
    </row>
    <row r="8" spans="1:5" x14ac:dyDescent="0.35">
      <c r="A8" s="118">
        <v>1</v>
      </c>
      <c r="B8" s="114" t="s">
        <v>114</v>
      </c>
      <c r="C8" s="127" t="s">
        <v>125</v>
      </c>
      <c r="D8" s="128"/>
      <c r="E8" s="125" t="s">
        <v>11</v>
      </c>
    </row>
    <row r="9" spans="1:5" x14ac:dyDescent="0.35">
      <c r="A9" s="118">
        <v>2</v>
      </c>
      <c r="B9" s="114" t="s">
        <v>115</v>
      </c>
      <c r="C9" s="109" t="str">
        <f>VLOOKUP(Table25755252691013434446474849[[#This Row],[PEG]],Table1016[#All],2,FALSE)</f>
        <v>To get started, tell me your Account Number</v>
      </c>
      <c r="D9" s="141" t="s">
        <v>245</v>
      </c>
      <c r="E9" s="125" t="str">
        <f>VLOOKUP(Table25755252691013434446474849[[#This Row],[PEG]],Table1016[#All],3,FALSE)</f>
        <v>Prompt</v>
      </c>
    </row>
    <row r="10" spans="1:5" x14ac:dyDescent="0.35">
      <c r="A10" s="118">
        <v>3</v>
      </c>
      <c r="B10" s="114" t="s">
        <v>114</v>
      </c>
      <c r="C10" s="109" t="s">
        <v>485</v>
      </c>
      <c r="D10" s="141"/>
      <c r="E10" s="125" t="e">
        <f>VLOOKUP(Table25755252691013434446474849[[#This Row],[PEG]],Table1016[#All],3,FALSE)</f>
        <v>#N/A</v>
      </c>
    </row>
    <row r="11" spans="1:5" s="97" customFormat="1" ht="174" x14ac:dyDescent="0.35">
      <c r="A11" s="118">
        <v>4</v>
      </c>
      <c r="B11" s="114" t="s">
        <v>12</v>
      </c>
      <c r="C11" s="109" t="str">
        <f>VLOOKUP(Table25755252691013434446474849[[#This Row],[PEG]],Table1016[#All],2,FALSE)</f>
        <v>SAP HANA – SAP01_GetMember
inputs:
idnumber = iIdnumber	T
idtype 	= iIdtype
outputs:
~ Billing Reference
~ Enrollment Details
~ Billing Details
~ Last Payment
~ Recurring Payment Method
~ Stored Payment Method</v>
      </c>
      <c r="D11" s="141" t="s">
        <v>371</v>
      </c>
      <c r="E11" s="125" t="str">
        <f>VLOOKUP(Table25755252691013434446474849[[#This Row],[PEG]],Table1016[#All],3,FALSE)</f>
        <v>DB</v>
      </c>
    </row>
    <row r="12" spans="1:5" x14ac:dyDescent="0.35">
      <c r="A12" s="118">
        <v>5</v>
      </c>
      <c r="B12" s="114" t="s">
        <v>115</v>
      </c>
      <c r="C12" s="109" t="str">
        <f>VLOOKUP(Table25755252691013434446474849[[#This Row],[PEG]],Table1016[#All],2,FALSE)</f>
        <v>I did not find an account.</v>
      </c>
      <c r="D12" s="141" t="s">
        <v>249</v>
      </c>
      <c r="E12" s="125" t="str">
        <f>VLOOKUP(Table25755252691013434446474849[[#This Row],[PEG]],Table1016[#All],3,FALSE)</f>
        <v>Prompt</v>
      </c>
    </row>
    <row r="13" spans="1:5" x14ac:dyDescent="0.35">
      <c r="A13" s="118">
        <v>6</v>
      </c>
      <c r="B13" s="114" t="s">
        <v>115</v>
      </c>
      <c r="C13" s="109" t="str">
        <f>VLOOKUP(Table25755252691013434446474849[[#This Row],[PEG]],Table1016[#All],2,FALSE)</f>
        <v>Just tell me your account number.</v>
      </c>
      <c r="D13" s="164" t="s">
        <v>246</v>
      </c>
      <c r="E13" s="125" t="str">
        <f>VLOOKUP(Table25755252691013434446474849[[#This Row],[PEG]],Table1016[#All],3,FALSE)</f>
        <v>Prompt</v>
      </c>
    </row>
    <row r="14" spans="1:5" x14ac:dyDescent="0.35">
      <c r="A14" s="118">
        <v>7</v>
      </c>
      <c r="B14" s="114" t="s">
        <v>114</v>
      </c>
      <c r="C14" s="109" t="s">
        <v>485</v>
      </c>
      <c r="D14" s="164"/>
      <c r="E14" s="125" t="e">
        <f>VLOOKUP(Table25755252691013434446474849[[#This Row],[PEG]],Table1016[#All],3,FALSE)</f>
        <v>#N/A</v>
      </c>
    </row>
    <row r="15" spans="1:5" s="97" customFormat="1" ht="174" x14ac:dyDescent="0.35">
      <c r="A15" s="118">
        <v>8</v>
      </c>
      <c r="B15" s="114" t="s">
        <v>12</v>
      </c>
      <c r="C15" s="109" t="str">
        <f>VLOOKUP(Table25755252691013434446474849[[#This Row],[PEG]],Table1016[#All],2,FALSE)</f>
        <v>SAP HANA – SAP01_GetMember
inputs:
idnumber = iIdnumber	T
idtype 	= iIdtype
outputs:
~ Billing Reference
~ Enrollment Details
~ Billing Details
~ Last Payment
~ Recurring Payment Method
~ Stored Payment Method</v>
      </c>
      <c r="D15" s="141" t="s">
        <v>371</v>
      </c>
      <c r="E15" s="125" t="str">
        <f>VLOOKUP(Table25755252691013434446474849[[#This Row],[PEG]],Table1016[#All],3,FALSE)</f>
        <v>DB</v>
      </c>
    </row>
    <row r="16" spans="1:5" x14ac:dyDescent="0.35">
      <c r="A16" s="118">
        <v>9</v>
      </c>
      <c r="B16" s="114" t="s">
        <v>115</v>
      </c>
      <c r="C16" s="130" t="str">
        <f>VLOOKUP(Table25755252691013434446474849[[#This Row],[PEG]],Table1016[#All],2,FALSE)</f>
        <v>Let’s try that one more time.</v>
      </c>
      <c r="D16" s="165" t="s">
        <v>368</v>
      </c>
      <c r="E16" s="125" t="str">
        <f>VLOOKUP(Table25755252691013434446474849[[#This Row],[PEG]],Table1016[#All],3,FALSE)</f>
        <v>Prompt</v>
      </c>
    </row>
    <row r="17" spans="1:5" ht="29" x14ac:dyDescent="0.35">
      <c r="A17" s="118">
        <v>10</v>
      </c>
      <c r="B17" s="114" t="s">
        <v>115</v>
      </c>
      <c r="C17" s="109" t="str">
        <f>VLOOKUP(Table25755252691013434446474849[[#This Row],[PEG]],Table1016[#All],2,FALSE)</f>
        <v>Just enter your account number using your touchtone keypad.  If your account number includes letters, enter only the numbers.</v>
      </c>
      <c r="D17" s="165" t="s">
        <v>247</v>
      </c>
      <c r="E17" s="125" t="str">
        <f>VLOOKUP(Table25755252691013434446474849[[#This Row],[PEG]],Table1016[#All],3,FALSE)</f>
        <v>Prompt</v>
      </c>
    </row>
    <row r="18" spans="1:5" x14ac:dyDescent="0.35">
      <c r="A18" s="118">
        <v>11</v>
      </c>
      <c r="B18" s="114" t="s">
        <v>114</v>
      </c>
      <c r="C18" s="109" t="s">
        <v>485</v>
      </c>
      <c r="D18" s="165"/>
      <c r="E18" s="125" t="e">
        <f>VLOOKUP(Table25755252691013434446474849[[#This Row],[PEG]],Table1016[#All],3,FALSE)</f>
        <v>#N/A</v>
      </c>
    </row>
    <row r="19" spans="1:5" s="97" customFormat="1" ht="174" x14ac:dyDescent="0.35">
      <c r="A19" s="118">
        <v>12</v>
      </c>
      <c r="B19" s="114" t="s">
        <v>12</v>
      </c>
      <c r="C19" s="109" t="str">
        <f>VLOOKUP(Table25755252691013434446474849[[#This Row],[PEG]],Table1016[#All],2,FALSE)</f>
        <v>SAP HANA – SAP01_GetMember
inputs:
idnumber = iIdnumber	T
idtype 	= iIdtype
outputs:
~ Billing Reference
~ Enrollment Details
~ Billing Details
~ Last Payment
~ Recurring Payment Method
~ Stored Payment Method</v>
      </c>
      <c r="D19" s="165" t="s">
        <v>371</v>
      </c>
      <c r="E19" s="125" t="str">
        <f>VLOOKUP(Table25755252691013434446474849[[#This Row],[PEG]],Table1016[#All],3,FALSE)</f>
        <v>DB</v>
      </c>
    </row>
    <row r="20" spans="1:5" x14ac:dyDescent="0.35">
      <c r="A20" s="118">
        <v>13</v>
      </c>
      <c r="B20" s="114" t="s">
        <v>115</v>
      </c>
      <c r="C20" s="109" t="str">
        <f>VLOOKUP(Table25755252691013434446474849[[#This Row],[PEG]],Table1016[#All],2,FALSE)</f>
        <v>Let's try looking by your invoice number. Using your touchtone keypad enter the numbers one digit at a time.</v>
      </c>
      <c r="D20" s="165" t="s">
        <v>250</v>
      </c>
      <c r="E20" s="125" t="str">
        <f>VLOOKUP(Table25755252691013434446474849[[#This Row],[PEG]],Table1016[#All],3,FALSE)</f>
        <v>Prompt</v>
      </c>
    </row>
    <row r="21" spans="1:5" x14ac:dyDescent="0.35">
      <c r="A21" s="118">
        <v>14</v>
      </c>
      <c r="B21" s="114" t="s">
        <v>114</v>
      </c>
      <c r="C21" s="109" t="s">
        <v>484</v>
      </c>
      <c r="D21" s="165"/>
      <c r="E21" s="125" t="e">
        <f>VLOOKUP(Table25755252691013434446474849[[#This Row],[PEG]],Table1016[#All],3,FALSE)</f>
        <v>#N/A</v>
      </c>
    </row>
    <row r="22" spans="1:5" s="97" customFormat="1" ht="174" x14ac:dyDescent="0.35">
      <c r="A22" s="118">
        <v>15</v>
      </c>
      <c r="B22" s="114" t="s">
        <v>12</v>
      </c>
      <c r="C22" s="109" t="str">
        <f>VLOOKUP(Table25755252691013434446474849[[#This Row],[PEG]],Table1016[#All],2,FALSE)</f>
        <v>SAP HANA – SAP01_GetMember
inputs:
idnumber = iIdnumber	T
idtype 	= iIdtype
outputs:
~ Billing Reference
~ Enrollment Details
~ Billing Details
~ Last Payment
~ Recurring Payment Method
~ Stored Payment Method</v>
      </c>
      <c r="D22" s="165" t="s">
        <v>371</v>
      </c>
      <c r="E22" s="125" t="str">
        <f>VLOOKUP(Table25755252691013434446474849[[#This Row],[PEG]],Table1016[#All],3,FALSE)</f>
        <v>DB</v>
      </c>
    </row>
    <row r="23" spans="1:5" x14ac:dyDescent="0.35">
      <c r="A23" s="118">
        <v>16</v>
      </c>
      <c r="B23" s="114" t="s">
        <v>115</v>
      </c>
      <c r="C23" s="109" t="str">
        <f>VLOOKUP(Table25755252691013434446474849[[#This Row],[PEG]],Table1016[#All],2,FALSE)</f>
        <v>I did not find an account matching that invoice number.</v>
      </c>
      <c r="D23" s="165" t="s">
        <v>254</v>
      </c>
      <c r="E23" s="125" t="str">
        <f>VLOOKUP(Table25755252691013434446474849[[#This Row],[PEG]],Table1016[#All],3,FALSE)</f>
        <v>Prompt</v>
      </c>
    </row>
    <row r="24" spans="1:5" s="97" customFormat="1" x14ac:dyDescent="0.35">
      <c r="A24" s="118">
        <v>17</v>
      </c>
      <c r="B24" s="114" t="s">
        <v>115</v>
      </c>
      <c r="C24" s="109" t="str">
        <f>VLOOKUP(Table25755252691013434446474849[[#This Row],[PEG]],Table1016[#All],2,FALSE)</f>
        <v>Just enter the numbers using your touchtone keypad.</v>
      </c>
      <c r="D24" s="165" t="s">
        <v>251</v>
      </c>
      <c r="E24" s="125" t="str">
        <f>VLOOKUP(Table25755252691013434446474849[[#This Row],[PEG]],Table1016[#All],3,FALSE)</f>
        <v>Prompt</v>
      </c>
    </row>
    <row r="25" spans="1:5" s="97" customFormat="1" x14ac:dyDescent="0.35">
      <c r="A25" s="118">
        <v>18</v>
      </c>
      <c r="B25" s="114" t="s">
        <v>114</v>
      </c>
      <c r="C25" s="109" t="s">
        <v>484</v>
      </c>
      <c r="D25" s="165"/>
      <c r="E25" s="125" t="e">
        <f>VLOOKUP(Table25755252691013434446474849[[#This Row],[PEG]],Table1016[#All],3,FALSE)</f>
        <v>#N/A</v>
      </c>
    </row>
    <row r="26" spans="1:5" s="97" customFormat="1" ht="174" x14ac:dyDescent="0.35">
      <c r="A26" s="118">
        <v>19</v>
      </c>
      <c r="B26" s="114" t="s">
        <v>12</v>
      </c>
      <c r="C26" s="109" t="str">
        <f>VLOOKUP(Table25755252691013434446474849[[#This Row],[PEG]],Table1016[#All],2,FALSE)</f>
        <v>SAP HANA – SAP01_GetMember
inputs:
idnumber = iIdnumber	T
idtype 	= iIdtype
outputs:
~ Billing Reference
~ Enrollment Details
~ Billing Details
~ Last Payment
~ Recurring Payment Method
~ Stored Payment Method</v>
      </c>
      <c r="D26" s="165" t="s">
        <v>371</v>
      </c>
      <c r="E26" s="125" t="str">
        <f>VLOOKUP(Table25755252691013434446474849[[#This Row],[PEG]],Table1016[#All],3,FALSE)</f>
        <v>DB</v>
      </c>
    </row>
    <row r="27" spans="1:5" s="97" customFormat="1" x14ac:dyDescent="0.35">
      <c r="A27" s="118">
        <v>20</v>
      </c>
      <c r="B27" s="114" t="s">
        <v>115</v>
      </c>
      <c r="C27" s="109" t="str">
        <f>VLOOKUP(Table25755252691013434446474849[[#This Row],[PEG]],Table1016[#All],2,FALSE)</f>
        <v>Let’s try that one more time.</v>
      </c>
      <c r="D27" s="165" t="s">
        <v>368</v>
      </c>
      <c r="E27" s="125" t="str">
        <f>VLOOKUP(Table25755252691013434446474849[[#This Row],[PEG]],Table1016[#All],3,FALSE)</f>
        <v>Prompt</v>
      </c>
    </row>
    <row r="28" spans="1:5" ht="29" x14ac:dyDescent="0.35">
      <c r="A28" s="118">
        <v>21</v>
      </c>
      <c r="B28" s="114" t="s">
        <v>115</v>
      </c>
      <c r="C28" s="109" t="str">
        <f>VLOOKUP(Table25755252691013434446474849[[#This Row],[PEG]],Table1016[#All],2,FALSE)</f>
        <v>Using your touchtone keypad, enter the numbers one digit at a time.  Your invoice number can be found in the upper right corner of your statement.</v>
      </c>
      <c r="D28" s="165" t="s">
        <v>252</v>
      </c>
      <c r="E28" s="125" t="str">
        <f>VLOOKUP(Table25755252691013434446474849[[#This Row],[PEG]],Table1016[#All],3,FALSE)</f>
        <v>Prompt</v>
      </c>
    </row>
    <row r="29" spans="1:5" x14ac:dyDescent="0.35">
      <c r="A29" s="118">
        <v>22</v>
      </c>
      <c r="B29" s="114" t="s">
        <v>114</v>
      </c>
      <c r="C29" s="109" t="s">
        <v>484</v>
      </c>
      <c r="D29" s="165"/>
      <c r="E29" s="125" t="e">
        <f>VLOOKUP(Table25755252691013434446474849[[#This Row],[PEG]],Table1016[#All],3,FALSE)</f>
        <v>#N/A</v>
      </c>
    </row>
    <row r="30" spans="1:5" s="97" customFormat="1" ht="174" x14ac:dyDescent="0.35">
      <c r="A30" s="118">
        <v>23</v>
      </c>
      <c r="B30" s="114" t="s">
        <v>12</v>
      </c>
      <c r="C30" s="109" t="str">
        <f>VLOOKUP(Table25755252691013434446474849[[#This Row],[PEG]],Table1016[#All],2,FALSE)</f>
        <v>SAP HANA – SAP01_GetMember
inputs:
idnumber = iIdnumber	T
idtype 	= iIdtype
outputs:
~ Billing Reference
~ Enrollment Details
~ Billing Details
~ Last Payment
~ Recurring Payment Method
~ Stored Payment Method</v>
      </c>
      <c r="D30" s="165" t="s">
        <v>371</v>
      </c>
      <c r="E30" s="125" t="str">
        <f>VLOOKUP(Table25755252691013434446474849[[#This Row],[PEG]],Table1016[#All],3,FALSE)</f>
        <v>DB</v>
      </c>
    </row>
    <row r="31" spans="1:5" ht="29" x14ac:dyDescent="0.35">
      <c r="A31" s="118">
        <v>24</v>
      </c>
      <c r="B31" s="114" t="s">
        <v>115</v>
      </c>
      <c r="C31" s="109" t="str">
        <f>VLOOKUP(Table25755252691013434446474849[[#This Row],[PEG]],Table1016[#All],2,FALSE)</f>
        <v>It seems you are having trouble. For future transactions you can also access your plan details, or manage your account online anytime at members.lacare.com. One moment while I get someone to help. Make sure to have your invoice available.</v>
      </c>
      <c r="D31" s="165" t="s">
        <v>361</v>
      </c>
      <c r="E31" s="125" t="str">
        <f>VLOOKUP(Table25755252691013434446474849[[#This Row],[PEG]],Table1016[#All],3,FALSE)</f>
        <v>Prompt</v>
      </c>
    </row>
    <row r="32" spans="1:5" x14ac:dyDescent="0.35">
      <c r="A32" s="118">
        <v>25</v>
      </c>
      <c r="B32" s="114" t="s">
        <v>13</v>
      </c>
      <c r="C32" s="109" t="s">
        <v>13</v>
      </c>
      <c r="D32" s="165"/>
      <c r="E32" s="125" t="e">
        <f>VLOOKUP(Table25755252691013434446474849[[#This Row],[PEG]],Table1016[#All],3,FALSE)</f>
        <v>#N/A</v>
      </c>
    </row>
    <row r="33" spans="3:4" x14ac:dyDescent="0.35">
      <c r="C33" s="26"/>
      <c r="D33" s="111" t="s">
        <v>0</v>
      </c>
    </row>
    <row r="34" spans="3:4" x14ac:dyDescent="0.35">
      <c r="C34" s="26"/>
    </row>
    <row r="35" spans="3:4" x14ac:dyDescent="0.35">
      <c r="C35" s="26"/>
    </row>
    <row r="36" spans="3:4" x14ac:dyDescent="0.35">
      <c r="C36" s="26"/>
    </row>
    <row r="37" spans="3:4" x14ac:dyDescent="0.35">
      <c r="C37" s="26"/>
    </row>
    <row r="38" spans="3:4" x14ac:dyDescent="0.35">
      <c r="C38" s="26"/>
    </row>
    <row r="39" spans="3:4" x14ac:dyDescent="0.35">
      <c r="C39" s="26"/>
    </row>
    <row r="40" spans="3:4" x14ac:dyDescent="0.35">
      <c r="C40" s="26"/>
    </row>
    <row r="41" spans="3:4" x14ac:dyDescent="0.35">
      <c r="C41" s="26"/>
    </row>
    <row r="42" spans="3:4" x14ac:dyDescent="0.35">
      <c r="C42" s="26"/>
    </row>
    <row r="43" spans="3:4" x14ac:dyDescent="0.35">
      <c r="C43" s="26"/>
    </row>
    <row r="44" spans="3:4" x14ac:dyDescent="0.35">
      <c r="C44" s="26"/>
    </row>
    <row r="45" spans="3:4" x14ac:dyDescent="0.35">
      <c r="C45" s="26"/>
    </row>
    <row r="46" spans="3:4" x14ac:dyDescent="0.35">
      <c r="C46" s="26"/>
    </row>
    <row r="47" spans="3:4" x14ac:dyDescent="0.35">
      <c r="C47" s="26"/>
    </row>
    <row r="48" spans="3:4" x14ac:dyDescent="0.35">
      <c r="C48" s="27"/>
    </row>
    <row r="49" spans="3:3" x14ac:dyDescent="0.35">
      <c r="C49" s="27"/>
    </row>
    <row r="50" spans="3:3" x14ac:dyDescent="0.35">
      <c r="C50" s="27"/>
    </row>
  </sheetData>
  <mergeCells count="1">
    <mergeCell ref="A1:B1"/>
  </mergeCells>
  <conditionalFormatting sqref="C33:C9989">
    <cfRule type="expression" dxfId="5518" priority="52">
      <formula>$B33="Dial"</formula>
    </cfRule>
    <cfRule type="expression" dxfId="5517" priority="54">
      <formula>$B33="HANGUP"</formula>
    </cfRule>
  </conditionalFormatting>
  <conditionalFormatting sqref="B9:B14 B16:B21 B23:B29 B31">
    <cfRule type="containsText" dxfId="5516" priority="36" operator="containsText" text="Hear">
      <formula>NOT(ISERROR(SEARCH("Hear",B9)))</formula>
    </cfRule>
  </conditionalFormatting>
  <conditionalFormatting sqref="C17 C20:C21 C9:C14 C23:C29 C31">
    <cfRule type="expression" dxfId="5515" priority="37">
      <formula>$B9="Dial"</formula>
    </cfRule>
    <cfRule type="expression" dxfId="5514" priority="39">
      <formula>$B9="HANGUP"</formula>
    </cfRule>
  </conditionalFormatting>
  <conditionalFormatting sqref="C17 C20:C21 C9:C14 C23:C29 C31">
    <cfRule type="expression" dxfId="5513" priority="38">
      <formula>$B9="Speak"</formula>
    </cfRule>
  </conditionalFormatting>
  <conditionalFormatting sqref="C16">
    <cfRule type="expression" dxfId="5512" priority="34">
      <formula>$B16="Dial"</formula>
    </cfRule>
    <cfRule type="expression" dxfId="5511" priority="35">
      <formula>$B16="HANGUP"</formula>
    </cfRule>
  </conditionalFormatting>
  <conditionalFormatting sqref="B8">
    <cfRule type="containsText" dxfId="5510" priority="31" operator="containsText" text="Hear">
      <formula>NOT(ISERROR(SEARCH("Hear",B8)))</formula>
    </cfRule>
  </conditionalFormatting>
  <conditionalFormatting sqref="C8">
    <cfRule type="expression" dxfId="5509" priority="29">
      <formula>$B8="Dial"</formula>
    </cfRule>
    <cfRule type="expression" dxfId="5508" priority="30">
      <formula>$B8="HANGUP"</formula>
    </cfRule>
  </conditionalFormatting>
  <conditionalFormatting sqref="C18">
    <cfRule type="expression" dxfId="5507" priority="22">
      <formula>$B18="Dial"</formula>
    </cfRule>
    <cfRule type="expression" dxfId="5506" priority="24">
      <formula>$B18="HANGUP"</formula>
    </cfRule>
  </conditionalFormatting>
  <conditionalFormatting sqref="C18">
    <cfRule type="expression" dxfId="5505" priority="23">
      <formula>$B18="Speak"</formula>
    </cfRule>
  </conditionalFormatting>
  <conditionalFormatting sqref="B32">
    <cfRule type="containsText" dxfId="5504" priority="18" operator="containsText" text="Hear">
      <formula>NOT(ISERROR(SEARCH("Hear",B32)))</formula>
    </cfRule>
  </conditionalFormatting>
  <conditionalFormatting sqref="C32">
    <cfRule type="expression" dxfId="5503" priority="19">
      <formula>$B32="Dial"</formula>
    </cfRule>
    <cfRule type="expression" dxfId="5502" priority="21">
      <formula>$B32="HANGUP"</formula>
    </cfRule>
  </conditionalFormatting>
  <conditionalFormatting sqref="C32">
    <cfRule type="expression" dxfId="5501" priority="20">
      <formula>$B32="Speak"</formula>
    </cfRule>
  </conditionalFormatting>
  <conditionalFormatting sqref="B15">
    <cfRule type="containsText" dxfId="5500" priority="14" operator="containsText" text="Hear">
      <formula>NOT(ISERROR(SEARCH("Hear",B15)))</formula>
    </cfRule>
  </conditionalFormatting>
  <conditionalFormatting sqref="C15">
    <cfRule type="expression" dxfId="5499" priority="15">
      <formula>$B15="Dial"</formula>
    </cfRule>
    <cfRule type="expression" dxfId="5498" priority="17">
      <formula>$B15="HANGUP"</formula>
    </cfRule>
  </conditionalFormatting>
  <conditionalFormatting sqref="C15">
    <cfRule type="expression" dxfId="5497" priority="16">
      <formula>$B15="Speak"</formula>
    </cfRule>
  </conditionalFormatting>
  <conditionalFormatting sqref="C19">
    <cfRule type="expression" dxfId="5496" priority="11">
      <formula>$B19="Dial"</formula>
    </cfRule>
    <cfRule type="expression" dxfId="5495" priority="13">
      <formula>$B19="HANGUP"</formula>
    </cfRule>
  </conditionalFormatting>
  <conditionalFormatting sqref="C19">
    <cfRule type="expression" dxfId="5494" priority="12">
      <formula>$B19="Speak"</formula>
    </cfRule>
  </conditionalFormatting>
  <conditionalFormatting sqref="B22">
    <cfRule type="containsText" dxfId="5493" priority="10" operator="containsText" text="Hear">
      <formula>NOT(ISERROR(SEARCH("Hear",B22)))</formula>
    </cfRule>
  </conditionalFormatting>
  <conditionalFormatting sqref="C22">
    <cfRule type="expression" dxfId="5492" priority="7">
      <formula>$B22="Dial"</formula>
    </cfRule>
    <cfRule type="expression" dxfId="5491" priority="9">
      <formula>$B22="HANGUP"</formula>
    </cfRule>
  </conditionalFormatting>
  <conditionalFormatting sqref="C22">
    <cfRule type="expression" dxfId="5490" priority="8">
      <formula>$B22="Speak"</formula>
    </cfRule>
  </conditionalFormatting>
  <conditionalFormatting sqref="B30">
    <cfRule type="containsText" dxfId="5489" priority="3" operator="containsText" text="Hear">
      <formula>NOT(ISERROR(SEARCH("Hear",B30)))</formula>
    </cfRule>
  </conditionalFormatting>
  <conditionalFormatting sqref="C30">
    <cfRule type="expression" dxfId="5488" priority="4">
      <formula>$B30="Dial"</formula>
    </cfRule>
    <cfRule type="expression" dxfId="5487" priority="6">
      <formula>$B30="HANGUP"</formula>
    </cfRule>
  </conditionalFormatting>
  <conditionalFormatting sqref="C30">
    <cfRule type="expression" dxfId="5486" priority="5">
      <formula>$B30="Speak"</formula>
    </cfRule>
  </conditionalFormatting>
  <hyperlinks>
    <hyperlink ref="A1" location="'Test Case Overview'!A1" display="Return to Test Case Overview" xr:uid="{00000000-0004-0000-1500-000000000000}"/>
  </hyperlinks>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containsText" priority="1" operator="containsText" text="WEB SERVICE" id="{0A4443F2-D17A-4193-B588-C13DEC9043A1}">
            <xm:f>NOT(ISERROR(SEARCH("WEB SERVICE",'TC1'!#REF!)))</xm:f>
            <x14:dxf>
              <font>
                <color rgb="FF9C0006"/>
              </font>
              <fill>
                <patternFill>
                  <bgColor rgb="FFFFC7CE"/>
                </patternFill>
              </fill>
            </x14:dxf>
          </x14:cfRule>
          <x14:cfRule type="containsText" priority="2" operator="containsText" text="DB" id="{1A541EC3-A832-49B6-AF19-9654081CB40F}">
            <xm:f>NOT(ISERROR(SEARCH("DB",'TC1'!#REF!)))</xm:f>
            <x14:dxf>
              <font>
                <color rgb="FF006100"/>
              </font>
              <fill>
                <patternFill>
                  <bgColor rgb="FFC6EFCE"/>
                </patternFill>
              </fill>
            </x14:dxf>
          </x14:cfRule>
          <xm:sqref>E9:E32</xm:sqref>
        </x14:conditionalFormatting>
      </x14:conditionalFormattings>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4"/>
  <dimension ref="A1:E45"/>
  <sheetViews>
    <sheetView topLeftCell="A16" zoomScaleNormal="100" workbookViewId="0">
      <selection activeCell="D24" sqref="D24"/>
    </sheetView>
  </sheetViews>
  <sheetFormatPr defaultRowHeight="14.5" x14ac:dyDescent="0.35"/>
  <cols>
    <col min="1" max="1" width="14.453125" style="97" bestFit="1" customWidth="1"/>
    <col min="2" max="2" width="42.6328125" style="97" customWidth="1"/>
    <col min="3" max="3" width="106.1796875" style="98" customWidth="1"/>
    <col min="4" max="4" width="21.81640625" style="111" bestFit="1" customWidth="1"/>
    <col min="5" max="5" width="20.6328125" style="97" customWidth="1"/>
  </cols>
  <sheetData>
    <row r="1" spans="1:5" ht="18.5" x14ac:dyDescent="0.35">
      <c r="A1" s="192" t="s">
        <v>4</v>
      </c>
      <c r="B1" s="192"/>
      <c r="C1" s="105"/>
    </row>
    <row r="2" spans="1:5" x14ac:dyDescent="0.35">
      <c r="A2" s="106" t="s">
        <v>5</v>
      </c>
      <c r="B2" s="107" t="str">
        <f ca="1">MID(CELL("filename",A1),FIND("]",CELL("filename",A1))+1,LEN(CELL("filename",A1))-FIND("]",CELL("filename",A1)))</f>
        <v>TC22</v>
      </c>
    </row>
    <row r="3" spans="1:5" x14ac:dyDescent="0.35">
      <c r="A3" s="104" t="s">
        <v>19</v>
      </c>
      <c r="B3" s="112">
        <f ca="1">VLOOKUP(B2,Table53[#All],2,FALSE)</f>
        <v>0</v>
      </c>
    </row>
    <row r="4" spans="1:5" ht="29" x14ac:dyDescent="0.35">
      <c r="A4" s="113" t="s">
        <v>20</v>
      </c>
      <c r="B4" s="99" t="str">
        <f ca="1">VLOOKUP(B2,Table53[#All],4,FALSE)</f>
        <v>No Recurring, Current Due, Checking, SMS No</v>
      </c>
    </row>
    <row r="5" spans="1:5" x14ac:dyDescent="0.35">
      <c r="A5" s="104" t="s">
        <v>6</v>
      </c>
      <c r="B5" s="93" t="str">
        <f ca="1">VLOOKUP(B2,Table53[#All],3,FALSE)</f>
        <v>Pay In Full -  Stored Mthd</v>
      </c>
    </row>
    <row r="7" spans="1:5" ht="15.5" x14ac:dyDescent="0.35">
      <c r="A7" s="100" t="s">
        <v>7</v>
      </c>
      <c r="B7" s="101" t="s">
        <v>8</v>
      </c>
      <c r="C7" s="102" t="s">
        <v>9</v>
      </c>
      <c r="D7" s="102" t="s">
        <v>14</v>
      </c>
      <c r="E7" s="103" t="s">
        <v>10</v>
      </c>
    </row>
    <row r="8" spans="1:5" x14ac:dyDescent="0.35">
      <c r="A8" s="118">
        <v>1</v>
      </c>
      <c r="B8" s="114" t="s">
        <v>114</v>
      </c>
      <c r="C8" s="127" t="s">
        <v>125</v>
      </c>
      <c r="D8" s="128"/>
      <c r="E8" s="125" t="s">
        <v>11</v>
      </c>
    </row>
    <row r="9" spans="1:5" x14ac:dyDescent="0.35">
      <c r="A9" s="118">
        <v>2</v>
      </c>
      <c r="B9" s="114" t="s">
        <v>115</v>
      </c>
      <c r="C9" s="109" t="str">
        <f>VLOOKUP(Table2575525269101343444647484956[[#This Row],[PEG]],Table1016[#All],2,FALSE)</f>
        <v>To get started, tell me your Account Number</v>
      </c>
      <c r="D9" s="141" t="s">
        <v>245</v>
      </c>
      <c r="E9" s="125" t="str">
        <f>VLOOKUP(Table2575525269101343444647484956[[#This Row],[PEG]],Table1016[#All],3,FALSE)</f>
        <v>Prompt</v>
      </c>
    </row>
    <row r="10" spans="1:5" x14ac:dyDescent="0.35">
      <c r="A10" s="118">
        <v>3</v>
      </c>
      <c r="B10" s="114" t="s">
        <v>114</v>
      </c>
      <c r="C10" s="109"/>
      <c r="D10" s="141"/>
      <c r="E10" s="125" t="e">
        <f>VLOOKUP(Table2575525269101343444647484956[[#This Row],[PEG]],Table1016[#All],3,FALSE)</f>
        <v>#N/A</v>
      </c>
    </row>
    <row r="11" spans="1:5" s="97" customFormat="1" ht="174" x14ac:dyDescent="0.35">
      <c r="A11" s="118">
        <v>4</v>
      </c>
      <c r="B11" s="114" t="s">
        <v>12</v>
      </c>
      <c r="C11" s="109" t="str">
        <f>VLOOKUP(Table2575525269101343444647484956[[#This Row],[PEG]],Table1016[#All],2,FALSE)</f>
        <v>SAP HANA – SAP01_GetMember
inputs:
idnumber = iIdnumber	T
idtype 	= iIdtype
outputs:
~ Billing Reference
~ Enrollment Details
~ Billing Details
~ Last Payment
~ Recurring Payment Method
~ Stored Payment Method</v>
      </c>
      <c r="D11" s="165" t="s">
        <v>371</v>
      </c>
      <c r="E11" s="125"/>
    </row>
    <row r="12" spans="1:5" x14ac:dyDescent="0.35">
      <c r="A12" s="118">
        <v>5</v>
      </c>
      <c r="B12" s="114" t="s">
        <v>115</v>
      </c>
      <c r="C12" s="109" t="str">
        <f>VLOOKUP(Table2575525269101343444647484956[[#This Row],[PEG]],Table1016[#All],2,FALSE)</f>
        <v>Thanks, I found your account!</v>
      </c>
      <c r="D12" s="141" t="s">
        <v>248</v>
      </c>
      <c r="E12" s="125" t="str">
        <f>VLOOKUP(Table2575525269101343444647484956[[#This Row],[PEG]],Table1016[#All],3,FALSE)</f>
        <v>Prompt</v>
      </c>
    </row>
    <row r="13" spans="1:5" x14ac:dyDescent="0.35">
      <c r="A13" s="118">
        <v>6</v>
      </c>
      <c r="B13" s="114" t="s">
        <v>115</v>
      </c>
      <c r="C13" s="109" t="str">
        <f>VLOOKUP(Table2575525269101343444647484956[[#This Row],[PEG]],Table1016[#All],2,FALSE)</f>
        <v>A current balance of &lt;SAP01_CurrentDue&gt; is due by &lt;SAP01_Duedate&gt;.</v>
      </c>
      <c r="D13" s="141" t="s">
        <v>258</v>
      </c>
      <c r="E13" s="125" t="str">
        <f>VLOOKUP(Table2575525269101343444647484956[[#This Row],[PEG]],Table1016[#All],3,FALSE)</f>
        <v>Prompt</v>
      </c>
    </row>
    <row r="14" spans="1:5" x14ac:dyDescent="0.35">
      <c r="A14" s="118">
        <v>7</v>
      </c>
      <c r="B14" s="114" t="s">
        <v>115</v>
      </c>
      <c r="C14" s="109" t="str">
        <f>VLOOKUP(Table2575525269101343444647484956[[#This Row],[PEG]],Table1016[#All],2,FALSE)</f>
        <v>Would you like to pay this in full today?</v>
      </c>
      <c r="D14" s="141" t="s">
        <v>260</v>
      </c>
      <c r="E14" s="125" t="str">
        <f>VLOOKUP(Table2575525269101343444647484956[[#This Row],[PEG]],Table1016[#All],3,FALSE)</f>
        <v>Prompt</v>
      </c>
    </row>
    <row r="15" spans="1:5" x14ac:dyDescent="0.35">
      <c r="A15" s="118">
        <v>8</v>
      </c>
      <c r="B15" s="114" t="s">
        <v>114</v>
      </c>
      <c r="C15" s="109">
        <v>1</v>
      </c>
      <c r="D15" s="141"/>
      <c r="E15" s="125" t="e">
        <f>VLOOKUP(Table2575525269101343444647484956[[#This Row],[PEG]],Table1016[#All],3,FALSE)</f>
        <v>#N/A</v>
      </c>
    </row>
    <row r="16" spans="1:5" x14ac:dyDescent="0.35">
      <c r="A16" s="118">
        <v>9</v>
      </c>
      <c r="B16" s="114" t="s">
        <v>115</v>
      </c>
      <c r="C16" s="109" t="str">
        <f>VLOOKUP(Table2575525269101343444647484956[[#This Row],[PEG]],Table1016[#All],2,FALSE)</f>
        <v>Do you want to use the checking account on file ending in &lt;SAP01_ivrStoredPmtLast4Digits&gt;.</v>
      </c>
      <c r="D16" s="164" t="s">
        <v>275</v>
      </c>
      <c r="E16" s="125" t="str">
        <f>VLOOKUP(Table2575525269101343444647484956[[#This Row],[PEG]],Table1016[#All],3,FALSE)</f>
        <v>Prompt</v>
      </c>
    </row>
    <row r="17" spans="1:5" x14ac:dyDescent="0.35">
      <c r="A17" s="118">
        <v>10</v>
      </c>
      <c r="B17" s="114" t="s">
        <v>114</v>
      </c>
      <c r="C17" s="109">
        <v>1</v>
      </c>
      <c r="D17" s="164"/>
      <c r="E17" s="125" t="e">
        <f>VLOOKUP(Table2575525269101343444647484956[[#This Row],[PEG]],Table1016[#All],3,FALSE)</f>
        <v>#N/A</v>
      </c>
    </row>
    <row r="18" spans="1:5" ht="29" x14ac:dyDescent="0.35">
      <c r="A18" s="118">
        <v>11</v>
      </c>
      <c r="B18" s="114" t="s">
        <v>115</v>
      </c>
      <c r="C18" s="130" t="str">
        <f>VLOOKUP(Table2575525269101343444647484956[[#This Row],[PEG]],Table1016[#All],2,FALSE)</f>
        <v>To confirm, you want to pay &lt;ivrPmtAmt&gt; with the account ending in &lt;SAP01_ivrStoredPmtLast4Digits&gt;
Is that right?</v>
      </c>
      <c r="D18" s="165" t="s">
        <v>391</v>
      </c>
      <c r="E18" s="125">
        <f>VLOOKUP(Table2575525269101343444647484956[[#This Row],[PEG]],Table1016[#All],3,FALSE)</f>
        <v>0</v>
      </c>
    </row>
    <row r="19" spans="1:5" x14ac:dyDescent="0.35">
      <c r="A19" s="118">
        <v>12</v>
      </c>
      <c r="B19" s="114" t="s">
        <v>114</v>
      </c>
      <c r="C19" s="109">
        <v>1</v>
      </c>
      <c r="D19" s="165"/>
      <c r="E19" s="125" t="e">
        <f>VLOOKUP(Table2575525269101343444647484956[[#This Row],[PEG]],Table1016[#All],3,FALSE)</f>
        <v>#N/A</v>
      </c>
    </row>
    <row r="20" spans="1:5" x14ac:dyDescent="0.35">
      <c r="A20" s="118">
        <v>13</v>
      </c>
      <c r="B20" s="114" t="s">
        <v>115</v>
      </c>
      <c r="C20" s="130" t="str">
        <f>VLOOKUP(Table2575525269101343444647484956[[#This Row],[PEG]],Table1016[#All],2,FALSE)</f>
        <v>Before I give you the confirmation number, would you like to use this account to setup recurring monthly payments?</v>
      </c>
      <c r="D20" s="165" t="s">
        <v>310</v>
      </c>
      <c r="E20" s="125" t="str">
        <f>VLOOKUP(Table2575525269101343444647484956[[#This Row],[PEG]],Table1016[#All],3,FALSE)</f>
        <v>Prompt</v>
      </c>
    </row>
    <row r="21" spans="1:5" x14ac:dyDescent="0.35">
      <c r="A21" s="118">
        <v>14</v>
      </c>
      <c r="B21" s="114" t="s">
        <v>114</v>
      </c>
      <c r="C21" s="109">
        <v>2</v>
      </c>
      <c r="D21" s="165"/>
      <c r="E21" s="125" t="e">
        <f>VLOOKUP(Table2575525269101343444647484956[[#This Row],[PEG]],Table1016[#All],3,FALSE)</f>
        <v>#N/A</v>
      </c>
    </row>
    <row r="22" spans="1:5" ht="188.5" x14ac:dyDescent="0.35">
      <c r="A22" s="118">
        <v>15</v>
      </c>
      <c r="B22" s="114" t="s">
        <v>12</v>
      </c>
      <c r="C22" s="109" t="str">
        <f>VLOOKUP(Table2575525269101343444647484956[[#This Row],[PEG]],Table1016[#All],2,FALSE)</f>
        <v xml:space="preserve">SAP HANA - SAP02_EFTPaymentNotification
inputs: 
Businesspartner = SAP01_Partner 
Insobject = SAP01_Insobject 
BankKey = ivrBankKey 
BankAcct = ivrBankAcct 
Accountholder = ivrAccountHolder 
BankAccountType = ivrBankAccountType 
RecurringBank = ivrRecurringBank  
StoredBank = ivrPmtMethodStored 
PaymentAmount = ivrPmtAmt 
outputs: 
SAP02_ConfirmationNum Payment Confirmation Number (i.e. 300000000105) </v>
      </c>
      <c r="D22" s="165" t="s">
        <v>373</v>
      </c>
      <c r="E22" s="125" t="str">
        <f>VLOOKUP(Table2575525269101343444647484956[[#This Row],[PEG]],Table1016[#All],3,FALSE)</f>
        <v>DB</v>
      </c>
    </row>
    <row r="23" spans="1:5" ht="29" x14ac:dyDescent="0.35">
      <c r="A23" s="118">
        <v>16</v>
      </c>
      <c r="B23" s="114" t="s">
        <v>115</v>
      </c>
      <c r="C23" s="109" t="str">
        <f>VLOOKUP(Table2575525269101343444647484956[[#This Row],[PEG]],Table1016[#All],2,FALSE)</f>
        <v>Today's payment in the amount of &lt;ivrPmtAmt&gt;, has been processed.  Your confirmation number is &lt;ivrConfirmationNum&gt;. Again, that confirmation number is &lt;ivrConfirmationNum&gt;.</v>
      </c>
      <c r="D23" s="165" t="s">
        <v>340</v>
      </c>
      <c r="E23" s="125" t="str">
        <f>VLOOKUP(Table2575525269101343444647484956[[#This Row],[PEG]],Table1016[#All],3,FALSE)</f>
        <v>Prompt</v>
      </c>
    </row>
    <row r="24" spans="1:5" x14ac:dyDescent="0.35">
      <c r="A24" s="118">
        <v>17</v>
      </c>
      <c r="B24" s="114" t="s">
        <v>115</v>
      </c>
      <c r="C24" s="109" t="str">
        <f>VLOOKUP(Table2575525269101343444647484956[[#This Row],[PEG]],Table1016[#All],2,FALSE)</f>
        <v>Would you like me to text the confirmation number?</v>
      </c>
      <c r="D24" s="165" t="s">
        <v>341</v>
      </c>
      <c r="E24" s="125" t="str">
        <f>VLOOKUP(Table2575525269101343444647484956[[#This Row],[PEG]],Table1016[#All],3,FALSE)</f>
        <v>Prompt</v>
      </c>
    </row>
    <row r="25" spans="1:5" x14ac:dyDescent="0.35">
      <c r="A25" s="118">
        <v>18</v>
      </c>
      <c r="B25" s="114" t="s">
        <v>114</v>
      </c>
      <c r="C25" s="109">
        <v>2</v>
      </c>
      <c r="D25" s="165"/>
      <c r="E25" s="125" t="e">
        <f>VLOOKUP(Table2575525269101343444647484956[[#This Row],[PEG]],Table1016[#All],3,FALSE)</f>
        <v>#N/A</v>
      </c>
    </row>
    <row r="26" spans="1:5" ht="29" x14ac:dyDescent="0.35">
      <c r="A26" s="118">
        <v>19</v>
      </c>
      <c r="B26" s="114" t="s">
        <v>115</v>
      </c>
      <c r="C26" s="109" t="str">
        <f>VLOOKUP(Table2575525269101343444647484956[[#This Row],[PEG]],Table1016[#All],2,FALSE)</f>
        <v>Thank you for your payment today.  For future transactions, you can access your plan details or manage your account anytime online at members.lacare.com.</v>
      </c>
      <c r="D26" s="165" t="s">
        <v>364</v>
      </c>
      <c r="E26" s="125" t="str">
        <f>VLOOKUP(Table2575525269101343444647484956[[#This Row],[PEG]],Table1016[#All],3,FALSE)</f>
        <v>Prompt</v>
      </c>
    </row>
    <row r="27" spans="1:5" x14ac:dyDescent="0.35">
      <c r="A27" s="118">
        <v>20</v>
      </c>
      <c r="B27" s="114" t="s">
        <v>13</v>
      </c>
      <c r="C27" s="109" t="s">
        <v>13</v>
      </c>
      <c r="D27" s="117"/>
      <c r="E27" s="125" t="e">
        <f>VLOOKUP(Table2575525269101343444647484956[[#This Row],[PEG]],Table1016[#All],3,FALSE)</f>
        <v>#N/A</v>
      </c>
    </row>
    <row r="28" spans="1:5" x14ac:dyDescent="0.35">
      <c r="C28" s="26"/>
      <c r="D28" s="111" t="s">
        <v>0</v>
      </c>
    </row>
    <row r="29" spans="1:5" x14ac:dyDescent="0.35">
      <c r="C29" s="26"/>
    </row>
    <row r="30" spans="1:5" x14ac:dyDescent="0.35">
      <c r="C30" s="26"/>
    </row>
    <row r="31" spans="1:5" x14ac:dyDescent="0.35">
      <c r="C31" s="26"/>
    </row>
    <row r="32" spans="1:5" x14ac:dyDescent="0.35">
      <c r="C32" s="26"/>
    </row>
    <row r="33" spans="3:3" x14ac:dyDescent="0.35">
      <c r="C33" s="26"/>
    </row>
    <row r="34" spans="3:3" x14ac:dyDescent="0.35">
      <c r="C34" s="26"/>
    </row>
    <row r="35" spans="3:3" x14ac:dyDescent="0.35">
      <c r="C35" s="26"/>
    </row>
    <row r="36" spans="3:3" x14ac:dyDescent="0.35">
      <c r="C36" s="26"/>
    </row>
    <row r="37" spans="3:3" x14ac:dyDescent="0.35">
      <c r="C37" s="26"/>
    </row>
    <row r="38" spans="3:3" x14ac:dyDescent="0.35">
      <c r="C38" s="26"/>
    </row>
    <row r="39" spans="3:3" x14ac:dyDescent="0.35">
      <c r="C39" s="26"/>
    </row>
    <row r="40" spans="3:3" x14ac:dyDescent="0.35">
      <c r="C40" s="26"/>
    </row>
    <row r="41" spans="3:3" x14ac:dyDescent="0.35">
      <c r="C41" s="26"/>
    </row>
    <row r="42" spans="3:3" x14ac:dyDescent="0.35">
      <c r="C42" s="26"/>
    </row>
    <row r="43" spans="3:3" x14ac:dyDescent="0.35">
      <c r="C43" s="27"/>
    </row>
    <row r="44" spans="3:3" x14ac:dyDescent="0.35">
      <c r="C44" s="27"/>
    </row>
    <row r="45" spans="3:3" x14ac:dyDescent="0.35">
      <c r="C45" s="27"/>
    </row>
  </sheetData>
  <mergeCells count="1">
    <mergeCell ref="A1:B1"/>
  </mergeCells>
  <conditionalFormatting sqref="C21:C9984">
    <cfRule type="expression" dxfId="5483" priority="27">
      <formula>$B21="Dial"</formula>
    </cfRule>
    <cfRule type="expression" dxfId="5482" priority="29">
      <formula>$B21="HANGUP"</formula>
    </cfRule>
  </conditionalFormatting>
  <conditionalFormatting sqref="B8:B10 B12:B27">
    <cfRule type="containsText" dxfId="5481" priority="11" operator="containsText" text="Hear">
      <formula>NOT(ISERROR(SEARCH("Hear",B8)))</formula>
    </cfRule>
  </conditionalFormatting>
  <conditionalFormatting sqref="C19 C9:C10 C12:C17">
    <cfRule type="expression" dxfId="5480" priority="12">
      <formula>$B9="Dial"</formula>
    </cfRule>
    <cfRule type="expression" dxfId="5479" priority="14">
      <formula>$B9="HANGUP"</formula>
    </cfRule>
  </conditionalFormatting>
  <conditionalFormatting sqref="C19 C9:C10 C21:C27 C12:C17">
    <cfRule type="expression" dxfId="5478" priority="13">
      <formula>$B9="Speak"</formula>
    </cfRule>
  </conditionalFormatting>
  <conditionalFormatting sqref="C18">
    <cfRule type="expression" dxfId="5477" priority="9">
      <formula>$B18="Dial"</formula>
    </cfRule>
    <cfRule type="expression" dxfId="5476" priority="10">
      <formula>$B18="HANGUP"</formula>
    </cfRule>
  </conditionalFormatting>
  <conditionalFormatting sqref="C8">
    <cfRule type="expression" dxfId="5475" priority="7">
      <formula>$B8="Dial"</formula>
    </cfRule>
    <cfRule type="expression" dxfId="5474" priority="8">
      <formula>$B8="HANGUP"</formula>
    </cfRule>
  </conditionalFormatting>
  <conditionalFormatting sqref="C20">
    <cfRule type="expression" dxfId="5473" priority="5">
      <formula>$B20="Dial"</formula>
    </cfRule>
    <cfRule type="expression" dxfId="5472" priority="6">
      <formula>$B20="HANGUP"</formula>
    </cfRule>
  </conditionalFormatting>
  <conditionalFormatting sqref="C11">
    <cfRule type="expression" dxfId="5471" priority="3">
      <formula>$B11="Dial"</formula>
    </cfRule>
    <cfRule type="expression" dxfId="5470" priority="4">
      <formula>$B11="HANGUP"</formula>
    </cfRule>
  </conditionalFormatting>
  <conditionalFormatting sqref="B11">
    <cfRule type="containsText" dxfId="5469" priority="1" operator="containsText" text="Hear">
      <formula>NOT(ISERROR(SEARCH("Hear",B11)))</formula>
    </cfRule>
  </conditionalFormatting>
  <conditionalFormatting sqref="C11">
    <cfRule type="expression" dxfId="5468" priority="2">
      <formula>$B11="Speak"</formula>
    </cfRule>
  </conditionalFormatting>
  <hyperlinks>
    <hyperlink ref="A1" location="'Test Case Overview'!A1" display="Return to Test Case Overview" xr:uid="{00000000-0004-0000-1600-000000000000}"/>
  </hyperlinks>
  <pageMargins left="0.7" right="0.7" top="0.75" bottom="0.75" header="0.3" footer="0.3"/>
  <pageSetup orientation="portrait" verticalDpi="0" r:id="rId1"/>
  <tableParts count="1">
    <tablePart r:id="rId2"/>
  </tableParts>
  <extLst>
    <ext xmlns:x14="http://schemas.microsoft.com/office/spreadsheetml/2009/9/main" uri="{78C0D931-6437-407d-A8EE-F0AAD7539E65}">
      <x14:conditionalFormattings>
        <x14:conditionalFormatting xmlns:xm="http://schemas.microsoft.com/office/excel/2006/main">
          <x14:cfRule type="containsText" priority="790" operator="containsText" text="WEB SERVICE" id="{A85F00F4-5F95-4995-97ED-E6E0DB595B09}">
            <xm:f>NOT(ISERROR(SEARCH("WEB SERVICE",'TC1'!#REF!)))</xm:f>
            <x14:dxf>
              <font>
                <color rgb="FF9C0006"/>
              </font>
              <fill>
                <patternFill>
                  <bgColor rgb="FFFFC7CE"/>
                </patternFill>
              </fill>
            </x14:dxf>
          </x14:cfRule>
          <x14:cfRule type="containsText" priority="791" operator="containsText" text="DB" id="{397A2AE7-3348-41CB-9E40-E296F5F8B4F1}">
            <xm:f>NOT(ISERROR(SEARCH("DB",'TC1'!#REF!)))</xm:f>
            <x14:dxf>
              <font>
                <color rgb="FF006100"/>
              </font>
              <fill>
                <patternFill>
                  <bgColor rgb="FFC6EFCE"/>
                </patternFill>
              </fill>
            </x14:dxf>
          </x14:cfRule>
          <xm:sqref>E18:E27</xm:sqref>
        </x14:conditionalFormatting>
        <x14:conditionalFormatting xmlns:xm="http://schemas.microsoft.com/office/excel/2006/main">
          <x14:cfRule type="containsText" priority="3643" operator="containsText" text="WEB SERVICE" id="{A85F00F4-5F95-4995-97ED-E6E0DB595B09}">
            <xm:f>NOT(ISERROR(SEARCH("WEB SERVICE",'TC1'!#REF!)))</xm:f>
            <x14:dxf>
              <font>
                <color rgb="FF9C0006"/>
              </font>
              <fill>
                <patternFill>
                  <bgColor rgb="FFFFC7CE"/>
                </patternFill>
              </fill>
            </x14:dxf>
          </x14:cfRule>
          <x14:cfRule type="containsText" priority="3644" operator="containsText" text="DB" id="{397A2AE7-3348-41CB-9E40-E296F5F8B4F1}">
            <xm:f>NOT(ISERROR(SEARCH("DB",'TC1'!#REF!)))</xm:f>
            <x14:dxf>
              <font>
                <color rgb="FF006100"/>
              </font>
              <fill>
                <patternFill>
                  <bgColor rgb="FFC6EFCE"/>
                </patternFill>
              </fill>
            </x14:dxf>
          </x14:cfRule>
          <xm:sqref>E9:E12</xm:sqref>
        </x14:conditionalFormatting>
        <x14:conditionalFormatting xmlns:xm="http://schemas.microsoft.com/office/excel/2006/main">
          <x14:cfRule type="containsText" priority="3645" operator="containsText" text="WEB SERVICE" id="{A85F00F4-5F95-4995-97ED-E6E0DB595B09}">
            <xm:f>NOT(ISERROR(SEARCH("WEB SERVICE",'TC1'!E9)))</xm:f>
            <x14:dxf>
              <font>
                <color rgb="FF9C0006"/>
              </font>
              <fill>
                <patternFill>
                  <bgColor rgb="FFFFC7CE"/>
                </patternFill>
              </fill>
            </x14:dxf>
          </x14:cfRule>
          <x14:cfRule type="containsText" priority="3646" operator="containsText" text="DB" id="{397A2AE7-3348-41CB-9E40-E296F5F8B4F1}">
            <xm:f>NOT(ISERROR(SEARCH("DB",'TC1'!E9)))</xm:f>
            <x14:dxf>
              <font>
                <color rgb="FF006100"/>
              </font>
              <fill>
                <patternFill>
                  <bgColor rgb="FFC6EFCE"/>
                </patternFill>
              </fill>
            </x14:dxf>
          </x14:cfRule>
          <xm:sqref>E13:E16</xm:sqref>
        </x14:conditionalFormatting>
        <x14:conditionalFormatting xmlns:xm="http://schemas.microsoft.com/office/excel/2006/main">
          <x14:cfRule type="containsText" priority="6215" operator="containsText" text="WEB SERVICE" id="{A85F00F4-5F95-4995-97ED-E6E0DB595B09}">
            <xm:f>NOT(ISERROR(SEARCH("WEB SERVICE",'TC1'!E15)))</xm:f>
            <x14:dxf>
              <font>
                <color rgb="FF9C0006"/>
              </font>
              <fill>
                <patternFill>
                  <bgColor rgb="FFFFC7CE"/>
                </patternFill>
              </fill>
            </x14:dxf>
          </x14:cfRule>
          <x14:cfRule type="containsText" priority="6216" operator="containsText" text="DB" id="{397A2AE7-3348-41CB-9E40-E296F5F8B4F1}">
            <xm:f>NOT(ISERROR(SEARCH("DB",'TC1'!E15)))</xm:f>
            <x14:dxf>
              <font>
                <color rgb="FF006100"/>
              </font>
              <fill>
                <patternFill>
                  <bgColor rgb="FFC6EFCE"/>
                </patternFill>
              </fill>
            </x14:dxf>
          </x14:cfRule>
          <xm:sqref>E17</xm:sqref>
        </x14:conditionalFormatting>
      </x14:conditionalFormattings>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5"/>
  <dimension ref="A1:E76"/>
  <sheetViews>
    <sheetView zoomScaleNormal="100" workbookViewId="0">
      <selection sqref="A1:B1"/>
    </sheetView>
  </sheetViews>
  <sheetFormatPr defaultRowHeight="14.5" x14ac:dyDescent="0.35"/>
  <cols>
    <col min="1" max="1" width="14.453125" style="97" bestFit="1" customWidth="1"/>
    <col min="2" max="2" width="42.6328125" style="97" customWidth="1"/>
    <col min="3" max="3" width="106.1796875" style="98" customWidth="1"/>
    <col min="4" max="4" width="21.81640625" style="111" bestFit="1" customWidth="1"/>
    <col min="5" max="5" width="20.6328125" style="97" customWidth="1"/>
  </cols>
  <sheetData>
    <row r="1" spans="1:5" ht="18.5" x14ac:dyDescent="0.35">
      <c r="A1" s="192" t="s">
        <v>4</v>
      </c>
      <c r="B1" s="192"/>
      <c r="C1" s="105"/>
    </row>
    <row r="2" spans="1:5" x14ac:dyDescent="0.35">
      <c r="A2" s="106" t="s">
        <v>5</v>
      </c>
      <c r="B2" s="107" t="str">
        <f ca="1">MID(CELL("filename",A1),FIND("]",CELL("filename",A1))+1,LEN(CELL("filename",A1))-FIND("]",CELL("filename",A1)))</f>
        <v>TC23</v>
      </c>
    </row>
    <row r="3" spans="1:5" x14ac:dyDescent="0.35">
      <c r="A3" s="104" t="s">
        <v>19</v>
      </c>
      <c r="B3" s="112">
        <f ca="1">VLOOKUP(B2,Table53[#All],2,FALSE)</f>
        <v>0</v>
      </c>
    </row>
    <row r="4" spans="1:5" ht="29" x14ac:dyDescent="0.35">
      <c r="A4" s="113" t="s">
        <v>20</v>
      </c>
      <c r="B4" s="99" t="str">
        <f ca="1">VLOOKUP(B2,Table53[#All],4,FALSE)</f>
        <v>No Recurring, Past Due, Credit Card, SMS Yes, 
Pay Remaining Debit Card</v>
      </c>
    </row>
    <row r="5" spans="1:5" x14ac:dyDescent="0.35">
      <c r="A5" s="104" t="s">
        <v>6</v>
      </c>
      <c r="B5" s="93" t="str">
        <f ca="1">VLOOKUP(B2,Table53[#All],3,FALSE)</f>
        <v>Partial Payment - Get Pmt Mthd</v>
      </c>
    </row>
    <row r="7" spans="1:5" ht="15.5" x14ac:dyDescent="0.35">
      <c r="A7" s="100" t="s">
        <v>7</v>
      </c>
      <c r="B7" s="101" t="s">
        <v>8</v>
      </c>
      <c r="C7" s="102" t="s">
        <v>9</v>
      </c>
      <c r="D7" s="102" t="s">
        <v>14</v>
      </c>
      <c r="E7" s="103" t="s">
        <v>10</v>
      </c>
    </row>
    <row r="8" spans="1:5" x14ac:dyDescent="0.35">
      <c r="A8" s="118">
        <v>1</v>
      </c>
      <c r="B8" s="114" t="s">
        <v>114</v>
      </c>
      <c r="C8" s="127" t="s">
        <v>125</v>
      </c>
      <c r="D8" s="128"/>
      <c r="E8" s="125" t="s">
        <v>11</v>
      </c>
    </row>
    <row r="9" spans="1:5" x14ac:dyDescent="0.35">
      <c r="A9" s="118">
        <v>2</v>
      </c>
      <c r="B9" s="114" t="s">
        <v>115</v>
      </c>
      <c r="C9" s="109" t="str">
        <f>VLOOKUP(Table257552526910134344464748495657[[#This Row],[PEG]],Table1016[#All],2,FALSE)</f>
        <v>To get started, tell me your Account Number</v>
      </c>
      <c r="D9" s="141" t="s">
        <v>245</v>
      </c>
      <c r="E9" s="125" t="str">
        <f>VLOOKUP(Table257552526910134344464748495657[[#This Row],[PEG]],Table1016[#All],3,FALSE)</f>
        <v>Prompt</v>
      </c>
    </row>
    <row r="10" spans="1:5" x14ac:dyDescent="0.35">
      <c r="A10" s="118">
        <v>3</v>
      </c>
      <c r="B10" s="114" t="s">
        <v>114</v>
      </c>
      <c r="C10" s="109" t="s">
        <v>412</v>
      </c>
      <c r="D10" s="141"/>
      <c r="E10" s="125" t="e">
        <f>VLOOKUP(Table257552526910134344464748495657[[#This Row],[PEG]],Table1016[#All],3,FALSE)</f>
        <v>#N/A</v>
      </c>
    </row>
    <row r="11" spans="1:5" s="97" customFormat="1" ht="174" x14ac:dyDescent="0.35">
      <c r="A11" s="118">
        <v>4</v>
      </c>
      <c r="B11" s="114" t="s">
        <v>12</v>
      </c>
      <c r="C11" s="109" t="str">
        <f>VLOOKUP(Table257552526910134344464748495657[[#This Row],[PEG]],Table1016[#All],2,FALSE)</f>
        <v>SAP HANA – SAP01_GetMember
inputs:
idnumber = iIdnumber	T
idtype 	= iIdtype
outputs:
~ Billing Reference
~ Enrollment Details
~ Billing Details
~ Last Payment
~ Recurring Payment Method
~ Stored Payment Method</v>
      </c>
      <c r="D11" s="141" t="s">
        <v>371</v>
      </c>
      <c r="E11" s="125" t="str">
        <f>VLOOKUP(Table257552526910134344464748495657[[#This Row],[PEG]],Table1016[#All],3,FALSE)</f>
        <v>DB</v>
      </c>
    </row>
    <row r="12" spans="1:5" x14ac:dyDescent="0.35">
      <c r="A12" s="118">
        <v>5</v>
      </c>
      <c r="B12" s="114" t="s">
        <v>115</v>
      </c>
      <c r="C12" s="109" t="str">
        <f>VLOOKUP(Table257552526910134344464748495657[[#This Row],[PEG]],Table1016[#All],2,FALSE)</f>
        <v>Thanks, I found your account!</v>
      </c>
      <c r="D12" s="141" t="s">
        <v>248</v>
      </c>
      <c r="E12" s="125" t="str">
        <f>VLOOKUP(Table257552526910134344464748495657[[#This Row],[PEG]],Table1016[#All],3,FALSE)</f>
        <v>Prompt</v>
      </c>
    </row>
    <row r="13" spans="1:5" x14ac:dyDescent="0.35">
      <c r="A13" s="118">
        <v>6</v>
      </c>
      <c r="B13" s="114" t="s">
        <v>115</v>
      </c>
      <c r="C13" s="109" t="str">
        <f>VLOOKUP(Table257552526910134344464748495657[[#This Row],[PEG]],Table1016[#All],2,FALSE)</f>
        <v>A current balance of &lt;SAP01_CurrentDue&gt; is due by &lt;SAP01_Duedate&gt;.</v>
      </c>
      <c r="D13" s="141" t="s">
        <v>258</v>
      </c>
      <c r="E13" s="125" t="str">
        <f>VLOOKUP(Table257552526910134344464748495657[[#This Row],[PEG]],Table1016[#All],3,FALSE)</f>
        <v>Prompt</v>
      </c>
    </row>
    <row r="14" spans="1:5" x14ac:dyDescent="0.35">
      <c r="A14" s="118">
        <v>7</v>
      </c>
      <c r="B14" s="114" t="s">
        <v>115</v>
      </c>
      <c r="C14" s="109" t="str">
        <f>VLOOKUP(Table257552526910134344464748495657[[#This Row],[PEG]],Table1016[#All],2,FALSE)</f>
        <v>This includes a past due amount of &lt;SAP01_PastDue&gt;.</v>
      </c>
      <c r="D14" s="141" t="s">
        <v>259</v>
      </c>
      <c r="E14" s="125" t="str">
        <f>VLOOKUP(Table257552526910134344464748495657[[#This Row],[PEG]],Table1016[#All],3,FALSE)</f>
        <v>Prompt</v>
      </c>
    </row>
    <row r="15" spans="1:5" x14ac:dyDescent="0.35">
      <c r="A15" s="118">
        <v>8</v>
      </c>
      <c r="B15" s="114" t="s">
        <v>115</v>
      </c>
      <c r="C15" s="109" t="str">
        <f>VLOOKUP(Table257552526910134344464748495657[[#This Row],[PEG]],Table1016[#All],2,FALSE)</f>
        <v>Would you like to pay this in full today?</v>
      </c>
      <c r="D15" s="141" t="s">
        <v>260</v>
      </c>
      <c r="E15" s="125" t="str">
        <f>VLOOKUP(Table257552526910134344464748495657[[#This Row],[PEG]],Table1016[#All],3,FALSE)</f>
        <v>Prompt</v>
      </c>
    </row>
    <row r="16" spans="1:5" x14ac:dyDescent="0.35">
      <c r="A16" s="118">
        <v>9</v>
      </c>
      <c r="B16" s="114" t="s">
        <v>114</v>
      </c>
      <c r="C16" s="109">
        <v>2</v>
      </c>
      <c r="D16" s="164"/>
      <c r="E16" s="125" t="e">
        <f>VLOOKUP(Table257552526910134344464748495657[[#This Row],[PEG]],Table1016[#All],3,FALSE)</f>
        <v>#N/A</v>
      </c>
    </row>
    <row r="17" spans="1:5" x14ac:dyDescent="0.35">
      <c r="A17" s="118">
        <v>10</v>
      </c>
      <c r="B17" s="114" t="s">
        <v>115</v>
      </c>
      <c r="C17" s="109" t="str">
        <f>VLOOKUP(Table257552526910134344464748495657[[#This Row],[PEG]],Table1016[#All],2,FALSE)</f>
        <v>Ok, what amount do you want to pay?</v>
      </c>
      <c r="D17" s="164" t="s">
        <v>263</v>
      </c>
      <c r="E17" s="125" t="str">
        <f>VLOOKUP(Table257552526910134344464748495657[[#This Row],[PEG]],Table1016[#All],3,FALSE)</f>
        <v>Prompt</v>
      </c>
    </row>
    <row r="18" spans="1:5" x14ac:dyDescent="0.35">
      <c r="A18" s="118">
        <v>11</v>
      </c>
      <c r="B18" s="114" t="s">
        <v>114</v>
      </c>
      <c r="C18" s="130" t="s">
        <v>434</v>
      </c>
      <c r="D18" s="165"/>
      <c r="E18" s="125" t="e">
        <f>VLOOKUP(Table257552526910134344464748495657[[#This Row],[PEG]],Table1016[#All],3,FALSE)</f>
        <v>#N/A</v>
      </c>
    </row>
    <row r="19" spans="1:5" x14ac:dyDescent="0.35">
      <c r="A19" s="118">
        <v>12</v>
      </c>
      <c r="B19" s="114" t="s">
        <v>115</v>
      </c>
      <c r="C19" s="109" t="str">
        <f>VLOOKUP(Table257552526910134344464748495657[[#This Row],[PEG]],Table1016[#All],2,FALSE)</f>
        <v>Ok, are you using Credit, Debit, Checking or Savings?</v>
      </c>
      <c r="D19" s="165" t="s">
        <v>286</v>
      </c>
      <c r="E19" s="125" t="str">
        <f>VLOOKUP(Table257552526910134344464748495657[[#This Row],[PEG]],Table1016[#All],3,FALSE)</f>
        <v>Prompt</v>
      </c>
    </row>
    <row r="20" spans="1:5" x14ac:dyDescent="0.35">
      <c r="A20" s="118">
        <v>13</v>
      </c>
      <c r="B20" s="114" t="s">
        <v>114</v>
      </c>
      <c r="C20" s="127">
        <v>1</v>
      </c>
      <c r="D20" s="165"/>
      <c r="E20" s="125" t="e">
        <f>VLOOKUP(Table257552526910134344464748495657[[#This Row],[PEG]],Table1016[#All],3,FALSE)</f>
        <v>#N/A</v>
      </c>
    </row>
    <row r="21" spans="1:5" x14ac:dyDescent="0.35">
      <c r="A21" s="118">
        <v>14</v>
      </c>
      <c r="B21" s="114" t="s">
        <v>115</v>
      </c>
      <c r="C21" s="109" t="str">
        <f>VLOOKUP(Table257552526910134344464748495657[[#This Row],[PEG]],Table1016[#All],2,FALSE)</f>
        <v>Tell me the card number you wish to use.</v>
      </c>
      <c r="D21" s="165" t="s">
        <v>318</v>
      </c>
      <c r="E21" s="125" t="str">
        <f>VLOOKUP(Table257552526910134344464748495657[[#This Row],[PEG]],Table1016[#All],3,FALSE)</f>
        <v>Prompt</v>
      </c>
    </row>
    <row r="22" spans="1:5" x14ac:dyDescent="0.35">
      <c r="A22" s="118">
        <v>15</v>
      </c>
      <c r="B22" s="114" t="s">
        <v>114</v>
      </c>
      <c r="C22" s="109" t="s">
        <v>487</v>
      </c>
      <c r="D22" s="165"/>
      <c r="E22" s="125" t="e">
        <f>VLOOKUP(Table257552526910134344464748495657[[#This Row],[PEG]],Table1016[#All],3,FALSE)</f>
        <v>#N/A</v>
      </c>
    </row>
    <row r="23" spans="1:5" x14ac:dyDescent="0.35">
      <c r="A23" s="118">
        <v>16</v>
      </c>
      <c r="B23" s="114" t="s">
        <v>115</v>
      </c>
      <c r="C23" s="109" t="str">
        <f>VLOOKUP(Table257552526910134344464748495657[[#This Row],[PEG]],Table1016[#All],2,FALSE)</f>
        <v>Is &lt;ivrCardNbr&gt; the right number?</v>
      </c>
      <c r="D23" s="165" t="s">
        <v>320</v>
      </c>
      <c r="E23" s="125">
        <f>VLOOKUP(Table257552526910134344464748495657[[#This Row],[PEG]],Table1016[#All],3,FALSE)</f>
        <v>0</v>
      </c>
    </row>
    <row r="24" spans="1:5" x14ac:dyDescent="0.35">
      <c r="A24" s="118">
        <v>17</v>
      </c>
      <c r="B24" s="114" t="s">
        <v>114</v>
      </c>
      <c r="C24" s="109">
        <v>1</v>
      </c>
      <c r="D24" s="165"/>
      <c r="E24" s="125" t="e">
        <f>VLOOKUP(Table257552526910134344464748495657[[#This Row],[PEG]],Table1016[#All],3,FALSE)</f>
        <v>#N/A</v>
      </c>
    </row>
    <row r="25" spans="1:5" ht="29" x14ac:dyDescent="0.35">
      <c r="A25" s="118">
        <v>18</v>
      </c>
      <c r="B25" s="114" t="s">
        <v>115</v>
      </c>
      <c r="C25" s="109" t="str">
        <f>VLOOKUP(Table257552526910134344464748495657[[#This Row],[PEG]],Table1016[#All],2,FALSE)</f>
        <v>Now, what is the expiration date?  Just say it like this, March &lt;Current Year +3&gt; 
Now go ahead.</v>
      </c>
      <c r="D25" s="165" t="s">
        <v>323</v>
      </c>
      <c r="E25" s="125" t="str">
        <f>VLOOKUP(Table257552526910134344464748495657[[#This Row],[PEG]],Table1016[#All],3,FALSE)</f>
        <v>Prompt</v>
      </c>
    </row>
    <row r="26" spans="1:5" x14ac:dyDescent="0.35">
      <c r="A26" s="118">
        <v>19</v>
      </c>
      <c r="B26" s="114" t="s">
        <v>114</v>
      </c>
      <c r="C26" s="109" t="s">
        <v>488</v>
      </c>
      <c r="D26" s="165"/>
      <c r="E26" s="125" t="e">
        <f>VLOOKUP(Table257552526910134344464748495657[[#This Row],[PEG]],Table1016[#All],3,FALSE)</f>
        <v>#N/A</v>
      </c>
    </row>
    <row r="27" spans="1:5" ht="29" x14ac:dyDescent="0.35">
      <c r="A27" s="118">
        <v>20</v>
      </c>
      <c r="B27" s="114" t="s">
        <v>115</v>
      </c>
      <c r="C27" s="109" t="str">
        <f>VLOOKUP(Table257552526910134344464748495657[[#This Row],[PEG]],Table1016[#All],2,FALSE)</f>
        <v>To confirm, you want to pay &lt;ivrPmtAmt&gt; with a card ending in &lt;last 4 digits of ivrCardNbr&gt;.
Is that right?</v>
      </c>
      <c r="D27" s="165" t="s">
        <v>326</v>
      </c>
      <c r="E27" s="125" t="str">
        <f>VLOOKUP(Table257552526910134344464748495657[[#This Row],[PEG]],Table1016[#All],3,FALSE)</f>
        <v>Prompt</v>
      </c>
    </row>
    <row r="28" spans="1:5" x14ac:dyDescent="0.35">
      <c r="A28" s="118">
        <v>21</v>
      </c>
      <c r="B28" s="114" t="s">
        <v>114</v>
      </c>
      <c r="C28" s="109">
        <v>1</v>
      </c>
      <c r="D28" s="165"/>
      <c r="E28" s="125" t="e">
        <f>VLOOKUP(Table257552526910134344464748495657[[#This Row],[PEG]],Table1016[#All],3,FALSE)</f>
        <v>#N/A</v>
      </c>
    </row>
    <row r="29" spans="1:5" ht="333.5" x14ac:dyDescent="0.35">
      <c r="A29" s="118">
        <v>22</v>
      </c>
      <c r="B29" s="114" t="s">
        <v>12</v>
      </c>
      <c r="C29" s="130" t="str">
        <f>VLOOKUP(Table257552526910134344464748495657[[#This Row],[PEG]],Table1016[#All],2,FALSE)</f>
        <v xml:space="preserve">CyberSource – CYB02_AuthCard
Input a card_tokenId or a card_number.
inputs:
clientReference_code = IVR.sessionid+"-" +paymentCount
card_tokenId = ivrStoredCardTokenId	
card_number = ivrCardNbr
card_expirationMonth	= ivrCardExpMM		
card_expirationYear = ivrCardExpYYYY			
totalAmount = ivrPmtAmt		
first_name =
last_name =
actionTokenizeFlag = true		
outputs:
CYB02_submitTimeUtc	
CYB02_id	
CYB02_status	
CYB02_approvalCode					
CYB02_responseCode	
CYB02_errorReason
CYB02_errorMesssage
CYB02_cardTokenId	</v>
      </c>
      <c r="D29" s="165" t="s">
        <v>382</v>
      </c>
      <c r="E29" s="125" t="str">
        <f>VLOOKUP(Table257552526910134344464748495657[[#This Row],[PEG]],Table1016[#All],3,FALSE)</f>
        <v>DB</v>
      </c>
    </row>
    <row r="30" spans="1:5" ht="29" x14ac:dyDescent="0.35">
      <c r="A30" s="118">
        <v>23</v>
      </c>
      <c r="B30" s="114" t="s">
        <v>115</v>
      </c>
      <c r="C30" s="109" t="str">
        <f>VLOOKUP(Table257552526910134344464748495657[[#This Row],[PEG]],Table1016[#All],2,FALSE)</f>
        <v>Today's payment in the amount of &lt;ivrPmtAmt&gt;, has been processed.  Your confirmation number is &lt;ivrConfirmationNum&gt;. Again, that confirmation number is &lt;ivrConfirmationNum&gt;.</v>
      </c>
      <c r="D30" s="165" t="s">
        <v>340</v>
      </c>
      <c r="E30" s="125" t="str">
        <f>VLOOKUP(Table257552526910134344464748495657[[#This Row],[PEG]],Table1016[#All],3,FALSE)</f>
        <v>Prompt</v>
      </c>
    </row>
    <row r="31" spans="1:5" x14ac:dyDescent="0.35">
      <c r="A31" s="118">
        <v>24</v>
      </c>
      <c r="B31" s="114" t="s">
        <v>115</v>
      </c>
      <c r="C31" s="109" t="str">
        <f>VLOOKUP(Table257552526910134344464748495657[[#This Row],[PEG]],Table1016[#All],2,FALSE)</f>
        <v>Would you like me to text the confirmation number?</v>
      </c>
      <c r="D31" s="165" t="s">
        <v>341</v>
      </c>
      <c r="E31" s="125" t="str">
        <f>VLOOKUP(Table257552526910134344464748495657[[#This Row],[PEG]],Table1016[#All],3,FALSE)</f>
        <v>Prompt</v>
      </c>
    </row>
    <row r="32" spans="1:5" s="97" customFormat="1" x14ac:dyDescent="0.35">
      <c r="A32" s="118">
        <v>25</v>
      </c>
      <c r="B32" s="114" t="s">
        <v>114</v>
      </c>
      <c r="C32" s="109">
        <v>1</v>
      </c>
      <c r="D32" s="165"/>
      <c r="E32" s="125" t="e">
        <f>VLOOKUP(Table257552526910134344464748495657[[#This Row],[PEG]],Table1016[#All],3,FALSE)</f>
        <v>#N/A</v>
      </c>
    </row>
    <row r="33" spans="1:5" s="97" customFormat="1" x14ac:dyDescent="0.35">
      <c r="A33" s="118">
        <v>26</v>
      </c>
      <c r="B33" s="114" t="s">
        <v>115</v>
      </c>
      <c r="C33" s="109" t="str">
        <f>VLOOKUP(Table257552526910134344464748495657[[#This Row],[PEG]],Table1016[#All],2,FALSE)</f>
        <v>Tell me the phone number you would like to use.</v>
      </c>
      <c r="D33" s="165" t="s">
        <v>350</v>
      </c>
      <c r="E33" s="125" t="str">
        <f>VLOOKUP(Table257552526910134344464748495657[[#This Row],[PEG]],Table1016[#All],3,FALSE)</f>
        <v>Prompt</v>
      </c>
    </row>
    <row r="34" spans="1:5" s="97" customFormat="1" x14ac:dyDescent="0.35">
      <c r="A34" s="118">
        <v>27</v>
      </c>
      <c r="B34" s="114" t="s">
        <v>114</v>
      </c>
      <c r="C34" s="109" t="s">
        <v>489</v>
      </c>
      <c r="D34" s="165"/>
      <c r="E34" s="125" t="e">
        <f>VLOOKUP(Table257552526910134344464748495657[[#This Row],[PEG]],Table1016[#All],3,FALSE)</f>
        <v>#N/A</v>
      </c>
    </row>
    <row r="35" spans="1:5" s="97" customFormat="1" ht="29" x14ac:dyDescent="0.35">
      <c r="A35" s="118">
        <v>28</v>
      </c>
      <c r="B35" s="114" t="s">
        <v>115</v>
      </c>
      <c r="C35" s="109" t="str">
        <f>VLOOKUP(Table257552526910134344464748495657[[#This Row],[PEG]],Table1016[#All],2,FALSE)</f>
        <v>That was &lt;iSMSPhoneNbr&gt;.
Is that right?</v>
      </c>
      <c r="D35" s="165" t="s">
        <v>353</v>
      </c>
      <c r="E35" s="125" t="str">
        <f>VLOOKUP(Table257552526910134344464748495657[[#This Row],[PEG]],Table1016[#All],3,FALSE)</f>
        <v>Prompt</v>
      </c>
    </row>
    <row r="36" spans="1:5" s="97" customFormat="1" x14ac:dyDescent="0.35">
      <c r="A36" s="118">
        <v>29</v>
      </c>
      <c r="B36" s="114" t="s">
        <v>114</v>
      </c>
      <c r="C36" s="127">
        <v>1</v>
      </c>
      <c r="D36" s="165"/>
      <c r="E36" s="125" t="e">
        <f>VLOOKUP(Table257552526910134344464748495657[[#This Row],[PEG]],Table1016[#All],3,FALSE)</f>
        <v>#N/A</v>
      </c>
    </row>
    <row r="37" spans="1:5" s="97" customFormat="1" ht="29" x14ac:dyDescent="0.35">
      <c r="A37" s="118">
        <v>30</v>
      </c>
      <c r="B37" s="114" t="s">
        <v>12</v>
      </c>
      <c r="C37" s="109" t="str">
        <f>VLOOKUP(Table257552526910134344464748495657[[#This Row],[PEG]],Table1016[#All],2,FALSE)</f>
        <v>Set ivrSMSMsg=
Your payment confirmation is &lt;ivrConfirmationNum&gt;</v>
      </c>
      <c r="D37" s="165">
        <v>2600</v>
      </c>
      <c r="E37" s="125">
        <f>VLOOKUP(Table257552526910134344464748495657[[#This Row],[PEG]],Table1016[#All],3,FALSE)</f>
        <v>0</v>
      </c>
    </row>
    <row r="38" spans="1:5" s="97" customFormat="1" ht="72.5" x14ac:dyDescent="0.35">
      <c r="A38" s="118">
        <v>31</v>
      </c>
      <c r="B38" s="114" t="s">
        <v>12</v>
      </c>
      <c r="C38" s="109" t="str">
        <f>VLOOKUP(Table257552526910134344464748495657[[#This Row],[PEG]],Table1016[#All],2,FALSE)</f>
        <v xml:space="preserve">SMS - SMS01_SendSMSMsg
inputs: 	
from			= CFG02_BillingSMSFromPhone
to 			= ivrSMSPhoneNbr_x000B_body 		= ivrSMSMsg
outputs: </v>
      </c>
      <c r="D38" s="165" t="s">
        <v>425</v>
      </c>
      <c r="E38" s="125">
        <f>VLOOKUP(Table257552526910134344464748495657[[#This Row],[PEG]],Table1016[#All],3,FALSE)</f>
        <v>0</v>
      </c>
    </row>
    <row r="39" spans="1:5" s="97" customFormat="1" ht="29" x14ac:dyDescent="0.35">
      <c r="A39" s="118">
        <v>32</v>
      </c>
      <c r="B39" s="114" t="s">
        <v>115</v>
      </c>
      <c r="C39" s="109" t="str">
        <f>VLOOKUP(Table257552526910134344464748495657[[#This Row],[PEG]],Table1016[#All],2,FALSE)</f>
        <v>Would you like to use a different account to pay the remaining balance?  Your account will be suspended if payment is not received within 60 days.</v>
      </c>
      <c r="D39" s="165" t="s">
        <v>357</v>
      </c>
      <c r="E39" s="125" t="str">
        <f>VLOOKUP(Table257552526910134344464748495657[[#This Row],[PEG]],Table1016[#All],3,FALSE)</f>
        <v>Prompt</v>
      </c>
    </row>
    <row r="40" spans="1:5" s="97" customFormat="1" x14ac:dyDescent="0.35">
      <c r="A40" s="118">
        <v>33</v>
      </c>
      <c r="B40" s="114" t="s">
        <v>114</v>
      </c>
      <c r="C40" s="109">
        <v>1</v>
      </c>
      <c r="D40" s="165"/>
      <c r="E40" s="125" t="e">
        <f>VLOOKUP(Table257552526910134344464748495657[[#This Row],[PEG]],Table1016[#All],3,FALSE)</f>
        <v>#N/A</v>
      </c>
    </row>
    <row r="41" spans="1:5" s="97" customFormat="1" x14ac:dyDescent="0.35">
      <c r="A41" s="118">
        <v>34</v>
      </c>
      <c r="B41" s="114" t="s">
        <v>115</v>
      </c>
      <c r="C41" s="109" t="str">
        <f>VLOOKUP(Table257552526910134344464748495657[[#This Row],[PEG]],Table1016[#All],2,FALSE)</f>
        <v>Ok, are you using Credit, Debit, Checking or Savings?</v>
      </c>
      <c r="D41" s="165" t="s">
        <v>286</v>
      </c>
      <c r="E41" s="125" t="str">
        <f>VLOOKUP(Table257552526910134344464748495657[[#This Row],[PEG]],Table1016[#All],3,FALSE)</f>
        <v>Prompt</v>
      </c>
    </row>
    <row r="42" spans="1:5" s="97" customFormat="1" x14ac:dyDescent="0.35">
      <c r="A42" s="118">
        <v>35</v>
      </c>
      <c r="B42" s="114" t="s">
        <v>114</v>
      </c>
      <c r="C42" s="109">
        <v>2</v>
      </c>
      <c r="D42" s="165"/>
      <c r="E42" s="125" t="e">
        <f>VLOOKUP(Table257552526910134344464748495657[[#This Row],[PEG]],Table1016[#All],3,FALSE)</f>
        <v>#N/A</v>
      </c>
    </row>
    <row r="43" spans="1:5" s="97" customFormat="1" x14ac:dyDescent="0.35">
      <c r="A43" s="118">
        <v>36</v>
      </c>
      <c r="B43" s="114" t="s">
        <v>115</v>
      </c>
      <c r="C43" s="109" t="str">
        <f>VLOOKUP(Table257552526910134344464748495657[[#This Row],[PEG]],Table1016[#All],2,FALSE)</f>
        <v>Tell me the card number you wish to use.</v>
      </c>
      <c r="D43" s="165" t="s">
        <v>318</v>
      </c>
      <c r="E43" s="125" t="str">
        <f>VLOOKUP(Table257552526910134344464748495657[[#This Row],[PEG]],Table1016[#All],3,FALSE)</f>
        <v>Prompt</v>
      </c>
    </row>
    <row r="44" spans="1:5" s="97" customFormat="1" x14ac:dyDescent="0.35">
      <c r="A44" s="118">
        <v>37</v>
      </c>
      <c r="B44" s="114" t="s">
        <v>114</v>
      </c>
      <c r="C44" s="109" t="s">
        <v>490</v>
      </c>
      <c r="D44" s="165"/>
      <c r="E44" s="125" t="e">
        <f>VLOOKUP(Table257552526910134344464748495657[[#This Row],[PEG]],Table1016[#All],3,FALSE)</f>
        <v>#N/A</v>
      </c>
    </row>
    <row r="45" spans="1:5" s="97" customFormat="1" x14ac:dyDescent="0.35">
      <c r="A45" s="118">
        <v>38</v>
      </c>
      <c r="B45" s="114" t="s">
        <v>115</v>
      </c>
      <c r="C45" s="130" t="str">
        <f>VLOOKUP(Table257552526910134344464748495657[[#This Row],[PEG]],Table1016[#All],2,FALSE)</f>
        <v>Is &lt;ivrCardNbr&gt; the right number?</v>
      </c>
      <c r="D45" s="165" t="s">
        <v>320</v>
      </c>
      <c r="E45" s="125">
        <f>VLOOKUP(Table257552526910134344464748495657[[#This Row],[PEG]],Table1016[#All],3,FALSE)</f>
        <v>0</v>
      </c>
    </row>
    <row r="46" spans="1:5" s="97" customFormat="1" x14ac:dyDescent="0.35">
      <c r="A46" s="118">
        <v>39</v>
      </c>
      <c r="B46" s="114" t="s">
        <v>114</v>
      </c>
      <c r="C46" s="109">
        <v>1</v>
      </c>
      <c r="D46" s="165"/>
      <c r="E46" s="125" t="e">
        <f>VLOOKUP(Table257552526910134344464748495657[[#This Row],[PEG]],Table1016[#All],3,FALSE)</f>
        <v>#N/A</v>
      </c>
    </row>
    <row r="47" spans="1:5" s="97" customFormat="1" ht="29" x14ac:dyDescent="0.35">
      <c r="A47" s="118">
        <v>40</v>
      </c>
      <c r="B47" s="114" t="s">
        <v>115</v>
      </c>
      <c r="C47" s="109" t="str">
        <f>VLOOKUP(Table257552526910134344464748495657[[#This Row],[PEG]],Table1016[#All],2,FALSE)</f>
        <v>Now, what is the expiration date?  Just say it like this, March &lt;Current Year +3&gt; 
Now go ahead.</v>
      </c>
      <c r="D47" s="165" t="s">
        <v>323</v>
      </c>
      <c r="E47" s="125" t="str">
        <f>VLOOKUP(Table257552526910134344464748495657[[#This Row],[PEG]],Table1016[#All],3,FALSE)</f>
        <v>Prompt</v>
      </c>
    </row>
    <row r="48" spans="1:5" s="97" customFormat="1" x14ac:dyDescent="0.35">
      <c r="A48" s="118">
        <v>41</v>
      </c>
      <c r="B48" s="114" t="s">
        <v>114</v>
      </c>
      <c r="C48" s="109" t="s">
        <v>488</v>
      </c>
      <c r="D48" s="165"/>
      <c r="E48" s="125" t="e">
        <f>VLOOKUP(Table257552526910134344464748495657[[#This Row],[PEG]],Table1016[#All],3,FALSE)</f>
        <v>#N/A</v>
      </c>
    </row>
    <row r="49" spans="1:5" s="97" customFormat="1" ht="29" x14ac:dyDescent="0.35">
      <c r="A49" s="118">
        <v>42</v>
      </c>
      <c r="B49" s="114" t="s">
        <v>115</v>
      </c>
      <c r="C49" s="109" t="str">
        <f>VLOOKUP(Table257552526910134344464748495657[[#This Row],[PEG]],Table1016[#All],2,FALSE)</f>
        <v>To confirm, you want to pay &lt;ivrPmtAmt&gt; with a card ending in &lt;last 4 digits of ivrCardNbr&gt;.
Is that right?</v>
      </c>
      <c r="D49" s="165" t="s">
        <v>326</v>
      </c>
      <c r="E49" s="125" t="str">
        <f>VLOOKUP(Table257552526910134344464748495657[[#This Row],[PEG]],Table1016[#All],3,FALSE)</f>
        <v>Prompt</v>
      </c>
    </row>
    <row r="50" spans="1:5" s="97" customFormat="1" x14ac:dyDescent="0.35">
      <c r="A50" s="118">
        <v>43</v>
      </c>
      <c r="B50" s="114" t="s">
        <v>114</v>
      </c>
      <c r="C50" s="109">
        <v>1</v>
      </c>
      <c r="D50" s="165"/>
      <c r="E50" s="125" t="e">
        <f>VLOOKUP(Table257552526910134344464748495657[[#This Row],[PEG]],Table1016[#All],3,FALSE)</f>
        <v>#N/A</v>
      </c>
    </row>
    <row r="51" spans="1:5" s="97" customFormat="1" ht="333.5" x14ac:dyDescent="0.35">
      <c r="A51" s="118">
        <v>44</v>
      </c>
      <c r="B51" s="114" t="s">
        <v>12</v>
      </c>
      <c r="C51" s="109" t="str">
        <f>VLOOKUP(Table257552526910134344464748495657[[#This Row],[PEG]],Table1016[#All],2,FALSE)</f>
        <v xml:space="preserve">CyberSource – CYB02_AuthCard
Input a card_tokenId or a card_number.
inputs:
clientReference_code = IVR.sessionid+"-" +paymentCount
card_tokenId = ivrStoredCardTokenId	
card_number = ivrCardNbr
card_expirationMonth	= ivrCardExpMM		
card_expirationYear = ivrCardExpYYYY			
totalAmount = ivrPmtAmt		
first_name =
last_name =
actionTokenizeFlag = true		
outputs:
CYB02_submitTimeUtc	
CYB02_id	
CYB02_status	
CYB02_approvalCode					
CYB02_responseCode	
CYB02_errorReason
CYB02_errorMesssage
CYB02_cardTokenId	</v>
      </c>
      <c r="D51" s="165" t="s">
        <v>382</v>
      </c>
      <c r="E51" s="125" t="str">
        <f>VLOOKUP(Table257552526910134344464748495657[[#This Row],[PEG]],Table1016[#All],3,FALSE)</f>
        <v>DB</v>
      </c>
    </row>
    <row r="52" spans="1:5" s="97" customFormat="1" ht="29" x14ac:dyDescent="0.35">
      <c r="A52" s="118">
        <v>45</v>
      </c>
      <c r="B52" s="114" t="s">
        <v>115</v>
      </c>
      <c r="C52" s="109" t="str">
        <f>VLOOKUP(Table257552526910134344464748495657[[#This Row],[PEG]],Table1016[#All],2,FALSE)</f>
        <v>Today's payment in the amount of &lt;ivrPmtAmt&gt;, has been processed.  Your confirmation number is &lt;ivrConfirmationNum&gt;. Again, that confirmation number is &lt;ivrConfirmationNum&gt;.</v>
      </c>
      <c r="D52" s="165" t="s">
        <v>340</v>
      </c>
      <c r="E52" s="125" t="str">
        <f>VLOOKUP(Table257552526910134344464748495657[[#This Row],[PEG]],Table1016[#All],3,FALSE)</f>
        <v>Prompt</v>
      </c>
    </row>
    <row r="53" spans="1:5" s="97" customFormat="1" x14ac:dyDescent="0.35">
      <c r="A53" s="118">
        <v>46</v>
      </c>
      <c r="B53" s="114" t="s">
        <v>115</v>
      </c>
      <c r="C53" s="109" t="str">
        <f>VLOOKUP(Table257552526910134344464748495657[[#This Row],[PEG]],Table1016[#All],2,FALSE)</f>
        <v>Would you like me to text the confirmation to the phone number ending in &lt;Last 4 ANI digits&gt;?</v>
      </c>
      <c r="D53" s="165" t="s">
        <v>344</v>
      </c>
      <c r="E53" s="125" t="str">
        <f>VLOOKUP(Table257552526910134344464748495657[[#This Row],[PEG]],Table1016[#All],3,FALSE)</f>
        <v>Prompt</v>
      </c>
    </row>
    <row r="54" spans="1:5" s="97" customFormat="1" x14ac:dyDescent="0.35">
      <c r="A54" s="118">
        <v>47</v>
      </c>
      <c r="B54" s="114" t="s">
        <v>114</v>
      </c>
      <c r="C54" s="109">
        <v>1</v>
      </c>
      <c r="D54" s="165"/>
      <c r="E54" s="125" t="e">
        <f>VLOOKUP(Table257552526910134344464748495657[[#This Row],[PEG]],Table1016[#All],3,FALSE)</f>
        <v>#N/A</v>
      </c>
    </row>
    <row r="55" spans="1:5" s="97" customFormat="1" ht="29" x14ac:dyDescent="0.35">
      <c r="A55" s="118">
        <v>48</v>
      </c>
      <c r="B55" s="114" t="s">
        <v>12</v>
      </c>
      <c r="C55" s="109" t="str">
        <f>VLOOKUP(Table257552526910134344464748495657[[#This Row],[PEG]],Table1016[#All],2,FALSE)</f>
        <v>Set ivrSMSMsg=
Your payment confirmation is &lt;ivrConfirmationNum&gt;</v>
      </c>
      <c r="D55" s="165">
        <v>2600</v>
      </c>
      <c r="E55" s="125">
        <f>VLOOKUP(Table257552526910134344464748495657[[#This Row],[PEG]],Table1016[#All],3,FALSE)</f>
        <v>0</v>
      </c>
    </row>
    <row r="56" spans="1:5" ht="72.5" x14ac:dyDescent="0.35">
      <c r="A56" s="118">
        <v>49</v>
      </c>
      <c r="B56" s="114" t="s">
        <v>12</v>
      </c>
      <c r="C56" s="130" t="str">
        <f>VLOOKUP(Table257552526910134344464748495657[[#This Row],[PEG]],Table1016[#All],2,FALSE)</f>
        <v xml:space="preserve">SMS - SMS01_SendSMSMsg
inputs: 	
from			= CFG02_BillingSMSFromPhone
to 			= ivrSMSPhoneNbr_x000B_body 		= ivrSMSMsg
outputs: </v>
      </c>
      <c r="D56" s="165" t="s">
        <v>425</v>
      </c>
      <c r="E56" s="125">
        <f>VLOOKUP(Table257552526910134344464748495657[[#This Row],[PEG]],Table1016[#All],3,FALSE)</f>
        <v>0</v>
      </c>
    </row>
    <row r="57" spans="1:5" ht="29" x14ac:dyDescent="0.35">
      <c r="A57" s="118">
        <v>50</v>
      </c>
      <c r="B57" s="114" t="s">
        <v>115</v>
      </c>
      <c r="C57" s="109" t="str">
        <f>VLOOKUP(Table257552526910134344464748495657[[#This Row],[PEG]],Table1016[#All],2,FALSE)</f>
        <v>Thank you for your payment today.  For future transactions, you can access your plan details or manage your account anytime online at members.lacare.com.</v>
      </c>
      <c r="D57" s="165" t="s">
        <v>364</v>
      </c>
      <c r="E57" s="125" t="str">
        <f>VLOOKUP(Table257552526910134344464748495657[[#This Row],[PEG]],Table1016[#All],3,FALSE)</f>
        <v>Prompt</v>
      </c>
    </row>
    <row r="58" spans="1:5" x14ac:dyDescent="0.35">
      <c r="A58" s="118">
        <v>51</v>
      </c>
      <c r="B58" s="114" t="s">
        <v>13</v>
      </c>
      <c r="C58" s="109" t="s">
        <v>13</v>
      </c>
      <c r="D58" s="165"/>
      <c r="E58" s="125" t="e">
        <f>VLOOKUP(Table257552526910134344464748495657[[#This Row],[PEG]],Table1016[#All],3,FALSE)</f>
        <v>#N/A</v>
      </c>
    </row>
    <row r="59" spans="1:5" x14ac:dyDescent="0.35">
      <c r="C59" s="26"/>
      <c r="D59" s="111" t="s">
        <v>0</v>
      </c>
    </row>
    <row r="60" spans="1:5" x14ac:dyDescent="0.35">
      <c r="C60" s="26"/>
    </row>
    <row r="61" spans="1:5" x14ac:dyDescent="0.35">
      <c r="C61" s="26"/>
    </row>
    <row r="62" spans="1:5" x14ac:dyDescent="0.35">
      <c r="C62" s="26"/>
    </row>
    <row r="63" spans="1:5" x14ac:dyDescent="0.35">
      <c r="C63" s="26"/>
    </row>
    <row r="64" spans="1:5" x14ac:dyDescent="0.35">
      <c r="C64" s="26"/>
    </row>
    <row r="65" spans="3:3" x14ac:dyDescent="0.35">
      <c r="C65" s="26"/>
    </row>
    <row r="66" spans="3:3" x14ac:dyDescent="0.35">
      <c r="C66" s="26"/>
    </row>
    <row r="67" spans="3:3" x14ac:dyDescent="0.35">
      <c r="C67" s="26"/>
    </row>
    <row r="68" spans="3:3" x14ac:dyDescent="0.35">
      <c r="C68" s="26"/>
    </row>
    <row r="69" spans="3:3" x14ac:dyDescent="0.35">
      <c r="C69" s="26"/>
    </row>
    <row r="70" spans="3:3" x14ac:dyDescent="0.35">
      <c r="C70" s="26"/>
    </row>
    <row r="71" spans="3:3" x14ac:dyDescent="0.35">
      <c r="C71" s="26"/>
    </row>
    <row r="72" spans="3:3" x14ac:dyDescent="0.35">
      <c r="C72" s="26"/>
    </row>
    <row r="73" spans="3:3" x14ac:dyDescent="0.35">
      <c r="C73" s="26"/>
    </row>
    <row r="74" spans="3:3" x14ac:dyDescent="0.35">
      <c r="C74" s="27"/>
    </row>
    <row r="75" spans="3:3" x14ac:dyDescent="0.35">
      <c r="C75" s="27"/>
    </row>
    <row r="76" spans="3:3" x14ac:dyDescent="0.35">
      <c r="C76" s="27"/>
    </row>
  </sheetData>
  <mergeCells count="1">
    <mergeCell ref="A1:B1"/>
  </mergeCells>
  <conditionalFormatting sqref="C58:C10015">
    <cfRule type="expression" dxfId="5459" priority="54">
      <formula>$B58="Dial"</formula>
    </cfRule>
    <cfRule type="expression" dxfId="5458" priority="56">
      <formula>$B58="HANGUP"</formula>
    </cfRule>
  </conditionalFormatting>
  <conditionalFormatting sqref="B8:B10 B12:B58">
    <cfRule type="containsText" dxfId="5457" priority="20" operator="containsText" text="Hear">
      <formula>NOT(ISERROR(SEARCH("Hear",B8)))</formula>
    </cfRule>
  </conditionalFormatting>
  <conditionalFormatting sqref="C19 C46 C9:C10 C37:C44 C31:C35 C21:C28 C48:C55 C12:C17">
    <cfRule type="expression" dxfId="5456" priority="21">
      <formula>$B9="Dial"</formula>
    </cfRule>
    <cfRule type="expression" dxfId="5455" priority="23">
      <formula>$B9="HANGUP"</formula>
    </cfRule>
  </conditionalFormatting>
  <conditionalFormatting sqref="C19 C46 C9:C10 C37:C44 C31:C35 C21:C28 C48:C55 C58 C12:C17">
    <cfRule type="expression" dxfId="5454" priority="22">
      <formula>$B9="Speak"</formula>
    </cfRule>
  </conditionalFormatting>
  <conditionalFormatting sqref="C18 C45 C29 C56">
    <cfRule type="expression" dxfId="5453" priority="18">
      <formula>$B18="Dial"</formula>
    </cfRule>
    <cfRule type="expression" dxfId="5452" priority="19">
      <formula>$B18="HANGUP"</formula>
    </cfRule>
  </conditionalFormatting>
  <conditionalFormatting sqref="C8 C36 C20">
    <cfRule type="expression" dxfId="5451" priority="16">
      <formula>$B8="Dial"</formula>
    </cfRule>
    <cfRule type="expression" dxfId="5450" priority="17">
      <formula>$B8="HANGUP"</formula>
    </cfRule>
  </conditionalFormatting>
  <conditionalFormatting sqref="C30">
    <cfRule type="expression" dxfId="5449" priority="13">
      <formula>$B30="Dial"</formula>
    </cfRule>
    <cfRule type="expression" dxfId="5448" priority="15">
      <formula>$B30="HANGUP"</formula>
    </cfRule>
  </conditionalFormatting>
  <conditionalFormatting sqref="C30">
    <cfRule type="expression" dxfId="5447" priority="14">
      <formula>$B30="Speak"</formula>
    </cfRule>
  </conditionalFormatting>
  <conditionalFormatting sqref="C47">
    <cfRule type="expression" dxfId="5446" priority="10">
      <formula>$B47="Dial"</formula>
    </cfRule>
    <cfRule type="expression" dxfId="5445" priority="12">
      <formula>$B47="HANGUP"</formula>
    </cfRule>
  </conditionalFormatting>
  <conditionalFormatting sqref="C47">
    <cfRule type="expression" dxfId="5444" priority="11">
      <formula>$B47="Speak"</formula>
    </cfRule>
  </conditionalFormatting>
  <conditionalFormatting sqref="C57">
    <cfRule type="expression" dxfId="5443" priority="7">
      <formula>$B57="Dial"</formula>
    </cfRule>
    <cfRule type="expression" dxfId="5442" priority="9">
      <formula>$B57="HANGUP"</formula>
    </cfRule>
  </conditionalFormatting>
  <conditionalFormatting sqref="C57">
    <cfRule type="expression" dxfId="5441" priority="8">
      <formula>$B57="Speak"</formula>
    </cfRule>
  </conditionalFormatting>
  <conditionalFormatting sqref="B11">
    <cfRule type="containsText" dxfId="5440" priority="1" operator="containsText" text="Hear">
      <formula>NOT(ISERROR(SEARCH("Hear",B11)))</formula>
    </cfRule>
  </conditionalFormatting>
  <conditionalFormatting sqref="C11">
    <cfRule type="expression" dxfId="5439" priority="2">
      <formula>$B11="Dial"</formula>
    </cfRule>
    <cfRule type="expression" dxfId="5438" priority="4">
      <formula>$B11="HANGUP"</formula>
    </cfRule>
  </conditionalFormatting>
  <conditionalFormatting sqref="C11">
    <cfRule type="expression" dxfId="5437" priority="3">
      <formula>$B11="Speak"</formula>
    </cfRule>
  </conditionalFormatting>
  <hyperlinks>
    <hyperlink ref="A1" location="'Test Case Overview'!A1" display="Return to Test Case Overview" xr:uid="{00000000-0004-0000-1700-000000000000}"/>
  </hyperlinks>
  <pageMargins left="0.7" right="0.7" top="0.75" bottom="0.75" header="0.3" footer="0.3"/>
  <pageSetup orientation="portrait" verticalDpi="0" r:id="rId1"/>
  <tableParts count="1">
    <tablePart r:id="rId2"/>
  </tableParts>
  <extLst>
    <ext xmlns:x14="http://schemas.microsoft.com/office/spreadsheetml/2009/9/main" uri="{78C0D931-6437-407d-A8EE-F0AAD7539E65}">
      <x14:conditionalFormattings>
        <x14:conditionalFormatting xmlns:xm="http://schemas.microsoft.com/office/excel/2006/main">
          <x14:cfRule type="containsText" priority="803" operator="containsText" text="WEB SERVICE" id="{D2F87869-A5B1-42E9-B1CF-93475DDD08E5}">
            <xm:f>NOT(ISERROR(SEARCH("WEB SERVICE",'TC1'!E16)))</xm:f>
            <x14:dxf>
              <font>
                <color rgb="FF9C0006"/>
              </font>
              <fill>
                <patternFill>
                  <bgColor rgb="FFFFC7CE"/>
                </patternFill>
              </fill>
            </x14:dxf>
          </x14:cfRule>
          <x14:cfRule type="containsText" priority="804" operator="containsText" text="DB" id="{D004E50E-44FC-4D49-8A16-ED7DFF60F622}">
            <xm:f>NOT(ISERROR(SEARCH("DB",'TC1'!E16)))</xm:f>
            <x14:dxf>
              <font>
                <color rgb="FF006100"/>
              </font>
              <fill>
                <patternFill>
                  <bgColor rgb="FFC6EFCE"/>
                </patternFill>
              </fill>
            </x14:dxf>
          </x14:cfRule>
          <xm:sqref>E35:E58</xm:sqref>
        </x14:conditionalFormatting>
        <x14:conditionalFormatting xmlns:xm="http://schemas.microsoft.com/office/excel/2006/main">
          <x14:cfRule type="containsText" priority="805" operator="containsText" text="WEB SERVICE" id="{D2F87869-A5B1-42E9-B1CF-93475DDD08E5}">
            <xm:f>NOT(ISERROR(SEARCH("WEB SERVICE",'TC1'!#REF!)))</xm:f>
            <x14:dxf>
              <font>
                <color rgb="FF9C0006"/>
              </font>
              <fill>
                <patternFill>
                  <bgColor rgb="FFFFC7CE"/>
                </patternFill>
              </fill>
            </x14:dxf>
          </x14:cfRule>
          <x14:cfRule type="containsText" priority="806" operator="containsText" text="DB" id="{D004E50E-44FC-4D49-8A16-ED7DFF60F622}">
            <xm:f>NOT(ISERROR(SEARCH("DB",'TC1'!#REF!)))</xm:f>
            <x14:dxf>
              <font>
                <color rgb="FF006100"/>
              </font>
              <fill>
                <patternFill>
                  <bgColor rgb="FFC6EFCE"/>
                </patternFill>
              </fill>
            </x14:dxf>
          </x14:cfRule>
          <xm:sqref>E18:E34</xm:sqref>
        </x14:conditionalFormatting>
        <x14:conditionalFormatting xmlns:xm="http://schemas.microsoft.com/office/excel/2006/main">
          <x14:cfRule type="containsText" priority="3656" operator="containsText" text="WEB SERVICE" id="{D2F87869-A5B1-42E9-B1CF-93475DDD08E5}">
            <xm:f>NOT(ISERROR(SEARCH("WEB SERVICE",'TC1'!#REF!)))</xm:f>
            <x14:dxf>
              <font>
                <color rgb="FF9C0006"/>
              </font>
              <fill>
                <patternFill>
                  <bgColor rgb="FFFFC7CE"/>
                </patternFill>
              </fill>
            </x14:dxf>
          </x14:cfRule>
          <x14:cfRule type="containsText" priority="3657" operator="containsText" text="DB" id="{D004E50E-44FC-4D49-8A16-ED7DFF60F622}">
            <xm:f>NOT(ISERROR(SEARCH("DB",'TC1'!#REF!)))</xm:f>
            <x14:dxf>
              <font>
                <color rgb="FF006100"/>
              </font>
              <fill>
                <patternFill>
                  <bgColor rgb="FFC6EFCE"/>
                </patternFill>
              </fill>
            </x14:dxf>
          </x14:cfRule>
          <xm:sqref>E9:E10 E12</xm:sqref>
        </x14:conditionalFormatting>
        <x14:conditionalFormatting xmlns:xm="http://schemas.microsoft.com/office/excel/2006/main">
          <x14:cfRule type="containsText" priority="3658" operator="containsText" text="WEB SERVICE" id="{D2F87869-A5B1-42E9-B1CF-93475DDD08E5}">
            <xm:f>NOT(ISERROR(SEARCH("WEB SERVICE",'TC1'!E9)))</xm:f>
            <x14:dxf>
              <font>
                <color rgb="FF9C0006"/>
              </font>
              <fill>
                <patternFill>
                  <bgColor rgb="FFFFC7CE"/>
                </patternFill>
              </fill>
            </x14:dxf>
          </x14:cfRule>
          <x14:cfRule type="containsText" priority="3659" operator="containsText" text="DB" id="{D004E50E-44FC-4D49-8A16-ED7DFF60F622}">
            <xm:f>NOT(ISERROR(SEARCH("DB",'TC1'!E9)))</xm:f>
            <x14:dxf>
              <font>
                <color rgb="FF006100"/>
              </font>
              <fill>
                <patternFill>
                  <bgColor rgb="FFC6EFCE"/>
                </patternFill>
              </fill>
            </x14:dxf>
          </x14:cfRule>
          <xm:sqref>E13:E16</xm:sqref>
        </x14:conditionalFormatting>
        <x14:conditionalFormatting xmlns:xm="http://schemas.microsoft.com/office/excel/2006/main">
          <x14:cfRule type="containsText" priority="6228" operator="containsText" text="WEB SERVICE" id="{D2F87869-A5B1-42E9-B1CF-93475DDD08E5}">
            <xm:f>NOT(ISERROR(SEARCH("WEB SERVICE",'TC1'!E15)))</xm:f>
            <x14:dxf>
              <font>
                <color rgb="FF9C0006"/>
              </font>
              <fill>
                <patternFill>
                  <bgColor rgb="FFFFC7CE"/>
                </patternFill>
              </fill>
            </x14:dxf>
          </x14:cfRule>
          <x14:cfRule type="containsText" priority="6229" operator="containsText" text="DB" id="{D004E50E-44FC-4D49-8A16-ED7DFF60F622}">
            <xm:f>NOT(ISERROR(SEARCH("DB",'TC1'!E15)))</xm:f>
            <x14:dxf>
              <font>
                <color rgb="FF006100"/>
              </font>
              <fill>
                <patternFill>
                  <bgColor rgb="FFC6EFCE"/>
                </patternFill>
              </fill>
            </x14:dxf>
          </x14:cfRule>
          <xm:sqref>E17</xm:sqref>
        </x14:conditionalFormatting>
        <x14:conditionalFormatting xmlns:xm="http://schemas.microsoft.com/office/excel/2006/main">
          <x14:cfRule type="containsText" priority="5" operator="containsText" text="WEB SERVICE" id="{E020905E-357E-421E-A0CB-2DE72A60DA18}">
            <xm:f>NOT(ISERROR(SEARCH("WEB SERVICE",'TC1'!#REF!)))</xm:f>
            <x14:dxf>
              <font>
                <color rgb="FF9C0006"/>
              </font>
              <fill>
                <patternFill>
                  <bgColor rgb="FFFFC7CE"/>
                </patternFill>
              </fill>
            </x14:dxf>
          </x14:cfRule>
          <x14:cfRule type="containsText" priority="6" operator="containsText" text="DB" id="{F20ECBAA-5D68-46D7-A512-94EF9461BE7B}">
            <xm:f>NOT(ISERROR(SEARCH("DB",'TC1'!#REF!)))</xm:f>
            <x14:dxf>
              <font>
                <color rgb="FF006100"/>
              </font>
              <fill>
                <patternFill>
                  <bgColor rgb="FFC6EFCE"/>
                </patternFill>
              </fill>
            </x14:dxf>
          </x14:cfRule>
          <xm:sqref>E11</xm:sqref>
        </x14:conditionalFormatting>
      </x14:conditionalFormattings>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26"/>
  <dimension ref="A1:E49"/>
  <sheetViews>
    <sheetView topLeftCell="A7" zoomScaleNormal="100" workbookViewId="0">
      <selection activeCell="D28" sqref="D28"/>
    </sheetView>
  </sheetViews>
  <sheetFormatPr defaultRowHeight="14.5" x14ac:dyDescent="0.35"/>
  <cols>
    <col min="1" max="1" width="14.453125" style="97" bestFit="1" customWidth="1"/>
    <col min="2" max="2" width="42.6328125" style="97" customWidth="1"/>
    <col min="3" max="3" width="106.1796875" style="98" customWidth="1"/>
    <col min="4" max="4" width="21.81640625" style="111" bestFit="1" customWidth="1"/>
    <col min="5" max="5" width="20.6328125" style="97" customWidth="1"/>
  </cols>
  <sheetData>
    <row r="1" spans="1:5" ht="18.5" x14ac:dyDescent="0.35">
      <c r="A1" s="192" t="s">
        <v>4</v>
      </c>
      <c r="B1" s="192"/>
      <c r="C1" s="105"/>
    </row>
    <row r="2" spans="1:5" x14ac:dyDescent="0.35">
      <c r="A2" s="106" t="s">
        <v>5</v>
      </c>
      <c r="B2" s="107" t="str">
        <f ca="1">MID(CELL("filename",A1),FIND("]",CELL("filename",A1))+1,LEN(CELL("filename",A1))-FIND("]",CELL("filename",A1)))</f>
        <v>TC24</v>
      </c>
    </row>
    <row r="3" spans="1:5" x14ac:dyDescent="0.35">
      <c r="A3" s="104" t="s">
        <v>19</v>
      </c>
      <c r="B3" s="112">
        <f ca="1">VLOOKUP(B2,Table53[#All],2,FALSE)</f>
        <v>0</v>
      </c>
    </row>
    <row r="4" spans="1:5" ht="29" x14ac:dyDescent="0.35">
      <c r="A4" s="113" t="s">
        <v>20</v>
      </c>
      <c r="B4" s="99" t="str">
        <f ca="1">VLOOKUP(B2,Table53[#All],4,FALSE)</f>
        <v>Current Due, No Past Due, No Input at all entries</v>
      </c>
    </row>
    <row r="5" spans="1:5" ht="14.5" customHeight="1" x14ac:dyDescent="0.35">
      <c r="A5" s="104" t="s">
        <v>6</v>
      </c>
      <c r="B5" s="93" t="str">
        <f ca="1">VLOOKUP(B2,Table53[#All],3,FALSE)</f>
        <v>Pay In Full/Get Amt No Input x3</v>
      </c>
    </row>
    <row r="7" spans="1:5" ht="15.5" x14ac:dyDescent="0.35">
      <c r="A7" s="100" t="s">
        <v>7</v>
      </c>
      <c r="B7" s="101" t="s">
        <v>8</v>
      </c>
      <c r="C7" s="102" t="s">
        <v>9</v>
      </c>
      <c r="D7" s="102" t="s">
        <v>14</v>
      </c>
      <c r="E7" s="103" t="s">
        <v>10</v>
      </c>
    </row>
    <row r="8" spans="1:5" x14ac:dyDescent="0.35">
      <c r="A8" s="118">
        <v>1</v>
      </c>
      <c r="B8" s="114" t="s">
        <v>114</v>
      </c>
      <c r="C8" s="127" t="s">
        <v>125</v>
      </c>
      <c r="D8" s="128"/>
      <c r="E8" s="125" t="s">
        <v>11</v>
      </c>
    </row>
    <row r="9" spans="1:5" x14ac:dyDescent="0.35">
      <c r="A9" s="118">
        <v>2</v>
      </c>
      <c r="B9" s="114" t="s">
        <v>115</v>
      </c>
      <c r="C9" s="109" t="str">
        <f>VLOOKUP(Table25755252691013434446474849565758[[#This Row],[PEG]],Table1016[#All],2,FALSE)</f>
        <v>To get started, tell me your Account Number</v>
      </c>
      <c r="D9" s="141" t="s">
        <v>245</v>
      </c>
      <c r="E9" s="125" t="str">
        <f>VLOOKUP(Table25755252691013434446474849565758[[#This Row],[PEG]],Table1016[#All],3,FALSE)</f>
        <v>Prompt</v>
      </c>
    </row>
    <row r="10" spans="1:5" x14ac:dyDescent="0.35">
      <c r="A10" s="118">
        <v>3</v>
      </c>
      <c r="B10" s="114" t="s">
        <v>114</v>
      </c>
      <c r="C10" s="109" t="s">
        <v>412</v>
      </c>
      <c r="D10" s="141"/>
      <c r="E10" s="125" t="e">
        <f>VLOOKUP(Table25755252691013434446474849565758[[#This Row],[PEG]],Table1016[#All],3,FALSE)</f>
        <v>#N/A</v>
      </c>
    </row>
    <row r="11" spans="1:5" s="97" customFormat="1" ht="174" x14ac:dyDescent="0.35">
      <c r="A11" s="118">
        <v>4</v>
      </c>
      <c r="B11" s="114" t="s">
        <v>12</v>
      </c>
      <c r="C11" s="109" t="str">
        <f>VLOOKUP(Table25755252691013434446474849565758[[#This Row],[PEG]],Table1016[#All],2,FALSE)</f>
        <v>SAP HANA – SAP01_GetMember
inputs:
idnumber = iIdnumber	T
idtype 	= iIdtype
outputs:
~ Billing Reference
~ Enrollment Details
~ Billing Details
~ Last Payment
~ Recurring Payment Method
~ Stored Payment Method</v>
      </c>
      <c r="D11" s="141" t="s">
        <v>371</v>
      </c>
      <c r="E11" s="125"/>
    </row>
    <row r="12" spans="1:5" x14ac:dyDescent="0.35">
      <c r="A12" s="118">
        <v>5</v>
      </c>
      <c r="B12" s="114" t="s">
        <v>115</v>
      </c>
      <c r="C12" s="109" t="str">
        <f>VLOOKUP(Table25755252691013434446474849565758[[#This Row],[PEG]],Table1016[#All],2,FALSE)</f>
        <v>Thanks, I found your account!</v>
      </c>
      <c r="D12" s="141" t="s">
        <v>248</v>
      </c>
      <c r="E12" s="125" t="str">
        <f>VLOOKUP(Table25755252691013434446474849565758[[#This Row],[PEG]],Table1016[#All],3,FALSE)</f>
        <v>Prompt</v>
      </c>
    </row>
    <row r="13" spans="1:5" s="97" customFormat="1" x14ac:dyDescent="0.35">
      <c r="A13" s="118">
        <v>6</v>
      </c>
      <c r="B13" s="114" t="s">
        <v>115</v>
      </c>
      <c r="C13" s="109" t="str">
        <f>VLOOKUP(Table25755252691013434446474849565758[[#This Row],[PEG]],Table1016[#All],2,FALSE)</f>
        <v>A current balance of &lt;SAP01_CurrentDue&gt; is due by &lt;SAP01_Duedate&gt;.</v>
      </c>
      <c r="D13" s="141" t="s">
        <v>258</v>
      </c>
      <c r="E13" s="125"/>
    </row>
    <row r="14" spans="1:5" x14ac:dyDescent="0.35">
      <c r="A14" s="118">
        <v>7</v>
      </c>
      <c r="B14" s="114" t="s">
        <v>115</v>
      </c>
      <c r="C14" s="109" t="str">
        <f>VLOOKUP(Table25755252691013434446474849565758[[#This Row],[PEG]],Table1016[#All],2,FALSE)</f>
        <v>Would you like to pay this in full today?</v>
      </c>
      <c r="D14" s="141" t="s">
        <v>260</v>
      </c>
      <c r="E14" s="125" t="str">
        <f>VLOOKUP(Table25755252691013434446474849565758[[#This Row],[PEG]],Table1016[#All],3,FALSE)</f>
        <v>Prompt</v>
      </c>
    </row>
    <row r="15" spans="1:5" x14ac:dyDescent="0.35">
      <c r="A15" s="118">
        <v>8</v>
      </c>
      <c r="B15" s="114" t="s">
        <v>114</v>
      </c>
      <c r="C15" s="109" t="s">
        <v>478</v>
      </c>
      <c r="D15" s="141"/>
      <c r="E15" s="125" t="e">
        <f>VLOOKUP(Table25755252691013434446474849565758[[#This Row],[PEG]],Table1016[#All],3,FALSE)</f>
        <v>#N/A</v>
      </c>
    </row>
    <row r="16" spans="1:5" x14ac:dyDescent="0.35">
      <c r="A16" s="118">
        <v>9</v>
      </c>
      <c r="B16" s="114" t="s">
        <v>115</v>
      </c>
      <c r="C16" s="109" t="str">
        <f>VLOOKUP(Table25755252691013434446474849565758[[#This Row],[PEG]],Table1016[#All],2,FALSE)</f>
        <v>I didn’t get that.</v>
      </c>
      <c r="D16" s="141" t="s">
        <v>365</v>
      </c>
      <c r="E16" s="125" t="str">
        <f>VLOOKUP(Table25755252691013434446474849565758[[#This Row],[PEG]],Table1016[#All],3,FALSE)</f>
        <v>Prompt</v>
      </c>
    </row>
    <row r="17" spans="1:5" x14ac:dyDescent="0.35">
      <c r="A17" s="118">
        <v>10</v>
      </c>
      <c r="B17" s="114" t="s">
        <v>115</v>
      </c>
      <c r="C17" s="109" t="str">
        <f>VLOOKUP(Table25755252691013434446474849565758[[#This Row],[PEG]],Table1016[#All],2,FALSE)</f>
        <v>Would you like to pay this in full today?  Just say yes or no.</v>
      </c>
      <c r="D17" s="164" t="s">
        <v>261</v>
      </c>
      <c r="E17" s="125" t="str">
        <f>VLOOKUP(Table25755252691013434446474849565758[[#This Row],[PEG]],Table1016[#All],3,FALSE)</f>
        <v>Prompt</v>
      </c>
    </row>
    <row r="18" spans="1:5" x14ac:dyDescent="0.35">
      <c r="A18" s="118">
        <v>11</v>
      </c>
      <c r="B18" s="114" t="s">
        <v>114</v>
      </c>
      <c r="C18" s="109" t="s">
        <v>478</v>
      </c>
      <c r="D18" s="164"/>
      <c r="E18" s="125" t="e">
        <f>VLOOKUP(Table25755252691013434446474849565758[[#This Row],[PEG]],Table1016[#All],3,FALSE)</f>
        <v>#N/A</v>
      </c>
    </row>
    <row r="19" spans="1:5" x14ac:dyDescent="0.35">
      <c r="A19" s="118">
        <v>12</v>
      </c>
      <c r="B19" s="114" t="s">
        <v>115</v>
      </c>
      <c r="C19" s="130" t="str">
        <f>VLOOKUP(Table25755252691013434446474849565758[[#This Row],[PEG]],Table1016[#All],2,FALSE)</f>
        <v>I still didn’t get that.</v>
      </c>
      <c r="D19" s="165" t="s">
        <v>366</v>
      </c>
      <c r="E19" s="125" t="str">
        <f>VLOOKUP(Table25755252691013434446474849565758[[#This Row],[PEG]],Table1016[#All],3,FALSE)</f>
        <v>Prompt</v>
      </c>
    </row>
    <row r="20" spans="1:5" x14ac:dyDescent="0.35">
      <c r="A20" s="118">
        <v>13</v>
      </c>
      <c r="B20" s="114" t="s">
        <v>115</v>
      </c>
      <c r="C20" s="109" t="str">
        <f>VLOOKUP(Table25755252691013434446474849565758[[#This Row],[PEG]],Table1016[#All],2,FALSE)</f>
        <v>Just say yes or press 1 to pay in full. Otherwise say no, or press 2</v>
      </c>
      <c r="D20" s="165" t="s">
        <v>262</v>
      </c>
      <c r="E20" s="125" t="str">
        <f>VLOOKUP(Table25755252691013434446474849565758[[#This Row],[PEG]],Table1016[#All],3,FALSE)</f>
        <v>Prompt</v>
      </c>
    </row>
    <row r="21" spans="1:5" x14ac:dyDescent="0.35">
      <c r="A21" s="118">
        <v>14</v>
      </c>
      <c r="B21" s="114" t="s">
        <v>114</v>
      </c>
      <c r="C21" s="127" t="s">
        <v>478</v>
      </c>
      <c r="D21" s="165"/>
      <c r="E21" s="125" t="e">
        <f>VLOOKUP(Table25755252691013434446474849565758[[#This Row],[PEG]],Table1016[#All],3,FALSE)</f>
        <v>#N/A</v>
      </c>
    </row>
    <row r="22" spans="1:5" x14ac:dyDescent="0.35">
      <c r="A22" s="118">
        <v>15</v>
      </c>
      <c r="B22" s="114" t="s">
        <v>115</v>
      </c>
      <c r="C22" s="109" t="str">
        <f>VLOOKUP(Table25755252691013434446474849565758[[#This Row],[PEG]],Table1016[#All],2,FALSE)</f>
        <v>Ok, what amount do you want to pay?</v>
      </c>
      <c r="D22" s="165" t="s">
        <v>263</v>
      </c>
      <c r="E22" s="125" t="str">
        <f>VLOOKUP(Table25755252691013434446474849565758[[#This Row],[PEG]],Table1016[#All],3,FALSE)</f>
        <v>Prompt</v>
      </c>
    </row>
    <row r="23" spans="1:5" x14ac:dyDescent="0.35">
      <c r="A23" s="118">
        <v>16</v>
      </c>
      <c r="B23" s="114" t="s">
        <v>114</v>
      </c>
      <c r="C23" s="109" t="s">
        <v>478</v>
      </c>
      <c r="D23" s="165"/>
      <c r="E23" s="125" t="e">
        <f>VLOOKUP(Table25755252691013434446474849565758[[#This Row],[PEG]],Table1016[#All],3,FALSE)</f>
        <v>#N/A</v>
      </c>
    </row>
    <row r="24" spans="1:5" x14ac:dyDescent="0.35">
      <c r="A24" s="118">
        <v>17</v>
      </c>
      <c r="B24" s="114" t="s">
        <v>115</v>
      </c>
      <c r="C24" s="109" t="str">
        <f>VLOOKUP(Table25755252691013434446474849565758[[#This Row],[PEG]],Table1016[#All],2,FALSE)</f>
        <v>I didn’t get that.</v>
      </c>
      <c r="D24" s="165" t="s">
        <v>365</v>
      </c>
      <c r="E24" s="125" t="str">
        <f>VLOOKUP(Table25755252691013434446474849565758[[#This Row],[PEG]],Table1016[#All],3,FALSE)</f>
        <v>Prompt</v>
      </c>
    </row>
    <row r="25" spans="1:5" x14ac:dyDescent="0.35">
      <c r="A25" s="118">
        <v>18</v>
      </c>
      <c r="B25" s="114" t="s">
        <v>115</v>
      </c>
      <c r="C25" s="109" t="str">
        <f>VLOOKUP(Table25755252691013434446474849565758[[#This Row],[PEG]],Table1016[#All],2,FALSE)</f>
        <v>What amount do you want to pay?  Just say the amount like this “forty dollars and fifty cents.  Now go ahead.</v>
      </c>
      <c r="D25" s="165" t="s">
        <v>264</v>
      </c>
      <c r="E25" s="125" t="str">
        <f>VLOOKUP(Table25755252691013434446474849565758[[#This Row],[PEG]],Table1016[#All],3,FALSE)</f>
        <v>Prompt</v>
      </c>
    </row>
    <row r="26" spans="1:5" x14ac:dyDescent="0.35">
      <c r="A26" s="118">
        <v>19</v>
      </c>
      <c r="B26" s="114" t="s">
        <v>114</v>
      </c>
      <c r="C26" s="109" t="s">
        <v>478</v>
      </c>
      <c r="D26" s="165"/>
      <c r="E26" s="125" t="e">
        <f>VLOOKUP(Table25755252691013434446474849565758[[#This Row],[PEG]],Table1016[#All],3,FALSE)</f>
        <v>#N/A</v>
      </c>
    </row>
    <row r="27" spans="1:5" x14ac:dyDescent="0.35">
      <c r="A27" s="118">
        <v>20</v>
      </c>
      <c r="B27" s="114" t="s">
        <v>115</v>
      </c>
      <c r="C27" s="109" t="str">
        <f>VLOOKUP(Table25755252691013434446474849565758[[#This Row],[PEG]],Table1016[#All],2,FALSE)</f>
        <v>I still didn’t get that.</v>
      </c>
      <c r="D27" s="165" t="s">
        <v>366</v>
      </c>
      <c r="E27" s="125" t="str">
        <f>VLOOKUP(Table25755252691013434446474849565758[[#This Row],[PEG]],Table1016[#All],3,FALSE)</f>
        <v>Prompt</v>
      </c>
    </row>
    <row r="28" spans="1:5" ht="29" x14ac:dyDescent="0.35">
      <c r="A28" s="118">
        <v>21</v>
      </c>
      <c r="B28" s="114" t="s">
        <v>115</v>
      </c>
      <c r="C28" s="109" t="str">
        <f>VLOOKUP(Table25755252691013434446474849565758[[#This Row],[PEG]],Table1016[#All],2,FALSE)</f>
        <v xml:space="preserve">Just tell me the amount you want to pay today or enter it on your telephone keypad in dollars and cents.  For example, to enter forty dollars and fifty cents enter 4-5-5-0.  Now go ahead.  </v>
      </c>
      <c r="D28" s="165" t="s">
        <v>265</v>
      </c>
      <c r="E28" s="125" t="str">
        <f>VLOOKUP(Table25755252691013434446474849565758[[#This Row],[PEG]],Table1016[#All],3,FALSE)</f>
        <v>Prompt</v>
      </c>
    </row>
    <row r="29" spans="1:5" x14ac:dyDescent="0.35">
      <c r="A29" s="118">
        <v>22</v>
      </c>
      <c r="B29" s="114" t="s">
        <v>114</v>
      </c>
      <c r="C29" s="109" t="s">
        <v>478</v>
      </c>
      <c r="D29" s="165"/>
      <c r="E29" s="125" t="e">
        <f>VLOOKUP(Table25755252691013434446474849565758[[#This Row],[PEG]],Table1016[#All],3,FALSE)</f>
        <v>#N/A</v>
      </c>
    </row>
    <row r="30" spans="1:5" ht="29" x14ac:dyDescent="0.35">
      <c r="A30" s="118">
        <v>23</v>
      </c>
      <c r="B30" s="114" t="s">
        <v>115</v>
      </c>
      <c r="C30" s="130" t="str">
        <f>VLOOKUP(Table25755252691013434446474849565758[[#This Row],[PEG]],Table1016[#All],2,FALSE)</f>
        <v>It seems you are having trouble. For future transactions you can also access your plan details, or manage your account online anytime at members.lacare.com. One moment while I get someone to help. Make sure to have your invoice available.</v>
      </c>
      <c r="D30" s="165" t="s">
        <v>361</v>
      </c>
      <c r="E30" s="125" t="str">
        <f>VLOOKUP(Table25755252691013434446474849565758[[#This Row],[PEG]],Table1016[#All],3,FALSE)</f>
        <v>Prompt</v>
      </c>
    </row>
    <row r="31" spans="1:5" x14ac:dyDescent="0.35">
      <c r="A31" s="118">
        <v>24</v>
      </c>
      <c r="B31" s="114" t="s">
        <v>13</v>
      </c>
      <c r="C31" s="127" t="s">
        <v>13</v>
      </c>
      <c r="D31" s="117"/>
      <c r="E31" s="125" t="e">
        <f>VLOOKUP(Table25755252691013434446474849565758[[#This Row],[PEG]],Table1016[#All],3,FALSE)</f>
        <v>#N/A</v>
      </c>
    </row>
    <row r="32" spans="1:5" x14ac:dyDescent="0.35">
      <c r="C32" s="26"/>
      <c r="D32" s="111" t="s">
        <v>0</v>
      </c>
    </row>
    <row r="33" spans="3:3" x14ac:dyDescent="0.35">
      <c r="C33" s="26"/>
    </row>
    <row r="34" spans="3:3" x14ac:dyDescent="0.35">
      <c r="C34" s="26"/>
    </row>
    <row r="35" spans="3:3" x14ac:dyDescent="0.35">
      <c r="C35" s="26"/>
    </row>
    <row r="36" spans="3:3" x14ac:dyDescent="0.35">
      <c r="C36" s="26"/>
    </row>
    <row r="37" spans="3:3" x14ac:dyDescent="0.35">
      <c r="C37" s="26"/>
    </row>
    <row r="38" spans="3:3" x14ac:dyDescent="0.35">
      <c r="C38" s="26"/>
    </row>
    <row r="39" spans="3:3" x14ac:dyDescent="0.35">
      <c r="C39" s="26"/>
    </row>
    <row r="40" spans="3:3" x14ac:dyDescent="0.35">
      <c r="C40" s="26"/>
    </row>
    <row r="41" spans="3:3" x14ac:dyDescent="0.35">
      <c r="C41" s="26"/>
    </row>
    <row r="42" spans="3:3" x14ac:dyDescent="0.35">
      <c r="C42" s="26"/>
    </row>
    <row r="43" spans="3:3" x14ac:dyDescent="0.35">
      <c r="C43" s="26"/>
    </row>
    <row r="44" spans="3:3" x14ac:dyDescent="0.35">
      <c r="C44" s="26"/>
    </row>
    <row r="45" spans="3:3" x14ac:dyDescent="0.35">
      <c r="C45" s="26"/>
    </row>
    <row r="46" spans="3:3" x14ac:dyDescent="0.35">
      <c r="C46" s="26"/>
    </row>
    <row r="47" spans="3:3" x14ac:dyDescent="0.35">
      <c r="C47" s="27"/>
    </row>
    <row r="48" spans="3:3" x14ac:dyDescent="0.35">
      <c r="C48" s="27"/>
    </row>
    <row r="49" spans="3:3" x14ac:dyDescent="0.35">
      <c r="C49" s="27"/>
    </row>
  </sheetData>
  <mergeCells count="1">
    <mergeCell ref="A1:B1"/>
  </mergeCells>
  <conditionalFormatting sqref="C32:C9988">
    <cfRule type="expression" dxfId="5424" priority="42">
      <formula>$B32="Dial"</formula>
    </cfRule>
    <cfRule type="expression" dxfId="5423" priority="44">
      <formula>$B32="HANGUP"</formula>
    </cfRule>
  </conditionalFormatting>
  <conditionalFormatting sqref="B8:B12 B14:B31">
    <cfRule type="containsText" dxfId="5422" priority="9" operator="containsText" text="Hear">
      <formula>NOT(ISERROR(SEARCH("Hear",B8)))</formula>
    </cfRule>
  </conditionalFormatting>
  <conditionalFormatting sqref="C20 C22:C29 C14:C18 C9:C12">
    <cfRule type="expression" dxfId="5421" priority="10">
      <formula>$B9="Dial"</formula>
    </cfRule>
    <cfRule type="expression" dxfId="5420" priority="12">
      <formula>$B9="HANGUP"</formula>
    </cfRule>
  </conditionalFormatting>
  <conditionalFormatting sqref="C20 C22:C29 C14:C18 C9:C12">
    <cfRule type="expression" dxfId="5419" priority="11">
      <formula>$B9="Speak"</formula>
    </cfRule>
  </conditionalFormatting>
  <conditionalFormatting sqref="C19 C30">
    <cfRule type="expression" dxfId="5418" priority="7">
      <formula>$B19="Dial"</formula>
    </cfRule>
    <cfRule type="expression" dxfId="5417" priority="8">
      <formula>$B19="HANGUP"</formula>
    </cfRule>
  </conditionalFormatting>
  <conditionalFormatting sqref="C8 C31 C21">
    <cfRule type="expression" dxfId="5416" priority="5">
      <formula>$B8="Dial"</formula>
    </cfRule>
    <cfRule type="expression" dxfId="5415" priority="6">
      <formula>$B8="HANGUP"</formula>
    </cfRule>
  </conditionalFormatting>
  <conditionalFormatting sqref="B13">
    <cfRule type="containsText" dxfId="5414" priority="1" operator="containsText" text="Hear">
      <formula>NOT(ISERROR(SEARCH("Hear",B13)))</formula>
    </cfRule>
  </conditionalFormatting>
  <conditionalFormatting sqref="C13">
    <cfRule type="expression" dxfId="5413" priority="2">
      <formula>$B13="Dial"</formula>
    </cfRule>
    <cfRule type="expression" dxfId="5412" priority="4">
      <formula>$B13="HANGUP"</formula>
    </cfRule>
  </conditionalFormatting>
  <conditionalFormatting sqref="C13">
    <cfRule type="expression" dxfId="5411" priority="3">
      <formula>$B13="Speak"</formula>
    </cfRule>
  </conditionalFormatting>
  <hyperlinks>
    <hyperlink ref="A1" location="'Test Case Overview'!A1" display="Return to Test Case Overview" xr:uid="{00000000-0004-0000-1800-000000000000}"/>
  </hyperlinks>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containsText" priority="800" operator="containsText" text="WEB SERVICE" id="{4C5A4FE1-4C9C-4452-A242-A8CDE0F06113}">
            <xm:f>NOT(ISERROR(SEARCH("WEB SERVICE",'TC1'!#REF!)))</xm:f>
            <x14:dxf>
              <font>
                <color rgb="FF9C0006"/>
              </font>
              <fill>
                <patternFill>
                  <bgColor rgb="FFFFC7CE"/>
                </patternFill>
              </fill>
            </x14:dxf>
          </x14:cfRule>
          <x14:cfRule type="containsText" priority="801" operator="containsText" text="DB" id="{C8AE5034-1900-49B8-B106-E9AE4E7AEADF}">
            <xm:f>NOT(ISERROR(SEARCH("DB",'TC1'!#REF!)))</xm:f>
            <x14:dxf>
              <font>
                <color rgb="FF006100"/>
              </font>
              <fill>
                <patternFill>
                  <bgColor rgb="FFC6EFCE"/>
                </patternFill>
              </fill>
            </x14:dxf>
          </x14:cfRule>
          <xm:sqref>E19:E31</xm:sqref>
        </x14:conditionalFormatting>
        <x14:conditionalFormatting xmlns:xm="http://schemas.microsoft.com/office/excel/2006/main">
          <x14:cfRule type="containsText" priority="3649" operator="containsText" text="WEB SERVICE" id="{4C5A4FE1-4C9C-4452-A242-A8CDE0F06113}">
            <xm:f>NOT(ISERROR(SEARCH("WEB SERVICE",'TC1'!#REF!)))</xm:f>
            <x14:dxf>
              <font>
                <color rgb="FF9C0006"/>
              </font>
              <fill>
                <patternFill>
                  <bgColor rgb="FFFFC7CE"/>
                </patternFill>
              </fill>
            </x14:dxf>
          </x14:cfRule>
          <x14:cfRule type="containsText" priority="3650" operator="containsText" text="DB" id="{C8AE5034-1900-49B8-B106-E9AE4E7AEADF}">
            <xm:f>NOT(ISERROR(SEARCH("DB",'TC1'!#REF!)))</xm:f>
            <x14:dxf>
              <font>
                <color rgb="FF006100"/>
              </font>
              <fill>
                <patternFill>
                  <bgColor rgb="FFC6EFCE"/>
                </patternFill>
              </fill>
            </x14:dxf>
          </x14:cfRule>
          <xm:sqref>E9:E13</xm:sqref>
        </x14:conditionalFormatting>
        <x14:conditionalFormatting xmlns:xm="http://schemas.microsoft.com/office/excel/2006/main">
          <x14:cfRule type="containsText" priority="3651" operator="containsText" text="WEB SERVICE" id="{4C5A4FE1-4C9C-4452-A242-A8CDE0F06113}">
            <xm:f>NOT(ISERROR(SEARCH("WEB SERVICE",'TC1'!E9)))</xm:f>
            <x14:dxf>
              <font>
                <color rgb="FF9C0006"/>
              </font>
              <fill>
                <patternFill>
                  <bgColor rgb="FFFFC7CE"/>
                </patternFill>
              </fill>
            </x14:dxf>
          </x14:cfRule>
          <x14:cfRule type="containsText" priority="3652" operator="containsText" text="DB" id="{C8AE5034-1900-49B8-B106-E9AE4E7AEADF}">
            <xm:f>NOT(ISERROR(SEARCH("DB",'TC1'!E9)))</xm:f>
            <x14:dxf>
              <font>
                <color rgb="FF006100"/>
              </font>
              <fill>
                <patternFill>
                  <bgColor rgb="FFC6EFCE"/>
                </patternFill>
              </fill>
            </x14:dxf>
          </x14:cfRule>
          <xm:sqref>E14:E17</xm:sqref>
        </x14:conditionalFormatting>
        <x14:conditionalFormatting xmlns:xm="http://schemas.microsoft.com/office/excel/2006/main">
          <x14:cfRule type="containsText" priority="6221" operator="containsText" text="WEB SERVICE" id="{4C5A4FE1-4C9C-4452-A242-A8CDE0F06113}">
            <xm:f>NOT(ISERROR(SEARCH("WEB SERVICE",'TC1'!E15)))</xm:f>
            <x14:dxf>
              <font>
                <color rgb="FF9C0006"/>
              </font>
              <fill>
                <patternFill>
                  <bgColor rgb="FFFFC7CE"/>
                </patternFill>
              </fill>
            </x14:dxf>
          </x14:cfRule>
          <x14:cfRule type="containsText" priority="6222" operator="containsText" text="DB" id="{C8AE5034-1900-49B8-B106-E9AE4E7AEADF}">
            <xm:f>NOT(ISERROR(SEARCH("DB",'TC1'!E15)))</xm:f>
            <x14:dxf>
              <font>
                <color rgb="FF006100"/>
              </font>
              <fill>
                <patternFill>
                  <bgColor rgb="FFC6EFCE"/>
                </patternFill>
              </fill>
            </x14:dxf>
          </x14:cfRule>
          <xm:sqref>E18</xm:sqref>
        </x14:conditionalFormatting>
      </x14:conditionalFormattings>
    </ext>
  </extLs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7"/>
  <dimension ref="A1:E59"/>
  <sheetViews>
    <sheetView zoomScaleNormal="100" workbookViewId="0">
      <selection sqref="A1:B1"/>
    </sheetView>
  </sheetViews>
  <sheetFormatPr defaultRowHeight="14.5" x14ac:dyDescent="0.35"/>
  <cols>
    <col min="1" max="1" width="14.453125" style="97" bestFit="1" customWidth="1"/>
    <col min="2" max="2" width="42.6328125" style="97" customWidth="1"/>
    <col min="3" max="3" width="106.1796875" style="98" customWidth="1"/>
    <col min="4" max="4" width="21.81640625" style="111" bestFit="1" customWidth="1"/>
    <col min="5" max="5" width="20.6328125" style="97" customWidth="1"/>
  </cols>
  <sheetData>
    <row r="1" spans="1:5" ht="18.5" x14ac:dyDescent="0.35">
      <c r="A1" s="192" t="s">
        <v>4</v>
      </c>
      <c r="B1" s="192"/>
      <c r="C1" s="105"/>
    </row>
    <row r="2" spans="1:5" x14ac:dyDescent="0.35">
      <c r="A2" s="106" t="s">
        <v>5</v>
      </c>
      <c r="B2" s="107" t="str">
        <f ca="1">MID(CELL("filename",A1),FIND("]",CELL("filename",A1))+1,LEN(CELL("filename",A1))-FIND("]",CELL("filename",A1)))</f>
        <v>TC25</v>
      </c>
    </row>
    <row r="3" spans="1:5" x14ac:dyDescent="0.35">
      <c r="A3" s="104" t="s">
        <v>19</v>
      </c>
      <c r="B3" s="112">
        <f ca="1">VLOOKUP(B2,Table53[#All],2,FALSE)</f>
        <v>0</v>
      </c>
    </row>
    <row r="4" spans="1:5" ht="43.5" x14ac:dyDescent="0.35">
      <c r="A4" s="113" t="s">
        <v>20</v>
      </c>
      <c r="B4" s="99" t="str">
        <f ca="1">VLOOKUP(B2,Table53[#All],4,FALSE)</f>
        <v>Current Due, No Past Due, No match except for last request
Stored Savings, SMS No</v>
      </c>
    </row>
    <row r="5" spans="1:5" x14ac:dyDescent="0.35">
      <c r="A5" s="104" t="s">
        <v>6</v>
      </c>
      <c r="B5" s="93" t="str">
        <f ca="1">VLOOKUP(B2,Table53[#All],3,FALSE)</f>
        <v>Pay in Full/Get Amt No Match x2</v>
      </c>
    </row>
    <row r="7" spans="1:5" ht="15.5" x14ac:dyDescent="0.35">
      <c r="A7" s="100" t="s">
        <v>7</v>
      </c>
      <c r="B7" s="101" t="s">
        <v>8</v>
      </c>
      <c r="C7" s="102" t="s">
        <v>9</v>
      </c>
      <c r="D7" s="102" t="s">
        <v>14</v>
      </c>
      <c r="E7" s="103" t="s">
        <v>10</v>
      </c>
    </row>
    <row r="8" spans="1:5" x14ac:dyDescent="0.35">
      <c r="A8" s="118">
        <v>1</v>
      </c>
      <c r="B8" s="114" t="s">
        <v>114</v>
      </c>
      <c r="C8" s="109" t="s">
        <v>125</v>
      </c>
      <c r="D8" s="128"/>
      <c r="E8" s="125" t="s">
        <v>11</v>
      </c>
    </row>
    <row r="9" spans="1:5" x14ac:dyDescent="0.35">
      <c r="A9" s="118">
        <v>2</v>
      </c>
      <c r="B9" s="114" t="s">
        <v>115</v>
      </c>
      <c r="C9" s="109" t="str">
        <f>VLOOKUP(Table2575525269101343444647484956575859[[#This Row],[PEG]],Table1016[#All],2,FALSE)</f>
        <v>To get started, tell me your Account Number</v>
      </c>
      <c r="D9" s="141" t="s">
        <v>245</v>
      </c>
      <c r="E9" s="125" t="str">
        <f>VLOOKUP(Table2575525269101343444647484956575859[[#This Row],[PEG]],Table1016[#All],3,FALSE)</f>
        <v>Prompt</v>
      </c>
    </row>
    <row r="10" spans="1:5" x14ac:dyDescent="0.35">
      <c r="A10" s="118">
        <v>3</v>
      </c>
      <c r="B10" s="114" t="s">
        <v>114</v>
      </c>
      <c r="C10" s="109" t="s">
        <v>412</v>
      </c>
      <c r="D10" s="141"/>
      <c r="E10" s="125" t="e">
        <f>VLOOKUP(Table2575525269101343444647484956575859[[#This Row],[PEG]],Table1016[#All],3,FALSE)</f>
        <v>#N/A</v>
      </c>
    </row>
    <row r="11" spans="1:5" s="97" customFormat="1" ht="174" x14ac:dyDescent="0.35">
      <c r="A11" s="118">
        <v>4</v>
      </c>
      <c r="B11" s="114" t="s">
        <v>12</v>
      </c>
      <c r="C11" s="109" t="str">
        <f>VLOOKUP(Table2575525269101343444647484956575859[[#This Row],[PEG]],Table1016[#All],2,FALSE)</f>
        <v>SAP HANA – SAP01_GetMember
inputs:
idnumber = iIdnumber	T
idtype 	= iIdtype
outputs:
~ Billing Reference
~ Enrollment Details
~ Billing Details
~ Last Payment
~ Recurring Payment Method
~ Stored Payment Method</v>
      </c>
      <c r="D11" s="141" t="s">
        <v>371</v>
      </c>
      <c r="E11" s="125"/>
    </row>
    <row r="12" spans="1:5" x14ac:dyDescent="0.35">
      <c r="A12" s="118">
        <v>5</v>
      </c>
      <c r="B12" s="114" t="s">
        <v>115</v>
      </c>
      <c r="C12" s="109" t="str">
        <f>VLOOKUP(Table2575525269101343444647484956575859[[#This Row],[PEG]],Table1016[#All],2,FALSE)</f>
        <v>Thanks, I found your account!</v>
      </c>
      <c r="D12" s="141" t="s">
        <v>248</v>
      </c>
      <c r="E12" s="125" t="str">
        <f>VLOOKUP(Table2575525269101343444647484956575859[[#This Row],[PEG]],Table1016[#All],3,FALSE)</f>
        <v>Prompt</v>
      </c>
    </row>
    <row r="13" spans="1:5" x14ac:dyDescent="0.35">
      <c r="A13" s="118">
        <v>6</v>
      </c>
      <c r="B13" s="114" t="s">
        <v>115</v>
      </c>
      <c r="C13" s="109" t="str">
        <f>VLOOKUP(Table2575525269101343444647484956575859[[#This Row],[PEG]],Table1016[#All],2,FALSE)</f>
        <v>A current balance of &lt;SAP01_CurrentDue&gt; is due by &lt;SAP01_Duedate&gt;.</v>
      </c>
      <c r="D13" s="141" t="s">
        <v>258</v>
      </c>
      <c r="E13" s="125" t="str">
        <f>VLOOKUP(Table2575525269101343444647484956575859[[#This Row],[PEG]],Table1016[#All],3,FALSE)</f>
        <v>Prompt</v>
      </c>
    </row>
    <row r="14" spans="1:5" x14ac:dyDescent="0.35">
      <c r="A14" s="118">
        <v>7</v>
      </c>
      <c r="B14" s="114" t="s">
        <v>115</v>
      </c>
      <c r="C14" s="109" t="str">
        <f>VLOOKUP(Table2575525269101343444647484956575859[[#This Row],[PEG]],Table1016[#All],2,FALSE)</f>
        <v>Would you like to pay this in full today?</v>
      </c>
      <c r="D14" s="141" t="s">
        <v>260</v>
      </c>
      <c r="E14" s="125" t="str">
        <f>VLOOKUP(Table2575525269101343444647484956575859[[#This Row],[PEG]],Table1016[#All],3,FALSE)</f>
        <v>Prompt</v>
      </c>
    </row>
    <row r="15" spans="1:5" x14ac:dyDescent="0.35">
      <c r="A15" s="118">
        <v>8</v>
      </c>
      <c r="B15" s="114" t="s">
        <v>114</v>
      </c>
      <c r="C15" s="109">
        <v>3</v>
      </c>
      <c r="D15" s="141"/>
      <c r="E15" s="125" t="e">
        <f>VLOOKUP(Table2575525269101343444647484956575859[[#This Row],[PEG]],Table1016[#All],3,FALSE)</f>
        <v>#N/A</v>
      </c>
    </row>
    <row r="16" spans="1:5" x14ac:dyDescent="0.35">
      <c r="A16" s="118">
        <v>9</v>
      </c>
      <c r="B16" s="114" t="s">
        <v>115</v>
      </c>
      <c r="C16" s="109" t="str">
        <f>VLOOKUP(Table2575525269101343444647484956575859[[#This Row],[PEG]],Table1016[#All],2,FALSE)</f>
        <v>Sorry, I didn’t understand.</v>
      </c>
      <c r="D16" s="141" t="s">
        <v>367</v>
      </c>
      <c r="E16" s="125" t="str">
        <f>VLOOKUP(Table2575525269101343444647484956575859[[#This Row],[PEG]],Table1016[#All],3,FALSE)</f>
        <v>Prompt</v>
      </c>
    </row>
    <row r="17" spans="1:5" x14ac:dyDescent="0.35">
      <c r="A17" s="118">
        <v>10</v>
      </c>
      <c r="B17" s="114" t="s">
        <v>115</v>
      </c>
      <c r="C17" s="109" t="str">
        <f>VLOOKUP(Table2575525269101343444647484956575859[[#This Row],[PEG]],Table1016[#All],2,FALSE)</f>
        <v>Would you like to pay this in full today?  Just say yes or no.</v>
      </c>
      <c r="D17" s="164" t="s">
        <v>261</v>
      </c>
      <c r="E17" s="125" t="str">
        <f>VLOOKUP(Table2575525269101343444647484956575859[[#This Row],[PEG]],Table1016[#All],3,FALSE)</f>
        <v>Prompt</v>
      </c>
    </row>
    <row r="18" spans="1:5" x14ac:dyDescent="0.35">
      <c r="A18" s="118">
        <v>11</v>
      </c>
      <c r="B18" s="114" t="s">
        <v>114</v>
      </c>
      <c r="C18" s="109">
        <v>3</v>
      </c>
      <c r="D18" s="164"/>
      <c r="E18" s="125" t="e">
        <f>VLOOKUP(Table2575525269101343444647484956575859[[#This Row],[PEG]],Table1016[#All],3,FALSE)</f>
        <v>#N/A</v>
      </c>
    </row>
    <row r="19" spans="1:5" x14ac:dyDescent="0.35">
      <c r="A19" s="118">
        <v>12</v>
      </c>
      <c r="B19" s="114" t="s">
        <v>115</v>
      </c>
      <c r="C19" s="109" t="str">
        <f>VLOOKUP(Table2575525269101343444647484956575859[[#This Row],[PEG]],Table1016[#All],2,FALSE)</f>
        <v>Let’s try that one more time.</v>
      </c>
      <c r="D19" s="141" t="s">
        <v>368</v>
      </c>
      <c r="E19" s="125" t="str">
        <f>VLOOKUP(Table2575525269101343444647484956575859[[#This Row],[PEG]],Table1016[#All],3,FALSE)</f>
        <v>Prompt</v>
      </c>
    </row>
    <row r="20" spans="1:5" x14ac:dyDescent="0.35">
      <c r="A20" s="118">
        <v>13</v>
      </c>
      <c r="B20" s="114" t="s">
        <v>115</v>
      </c>
      <c r="C20" s="109" t="str">
        <f>VLOOKUP(Table2575525269101343444647484956575859[[#This Row],[PEG]],Table1016[#All],2,FALSE)</f>
        <v>Just say yes or press 1 to pay in full. Otherwise say no, or press 2</v>
      </c>
      <c r="D20" s="165" t="s">
        <v>262</v>
      </c>
      <c r="E20" s="125" t="str">
        <f>VLOOKUP(Table2575525269101343444647484956575859[[#This Row],[PEG]],Table1016[#All],3,FALSE)</f>
        <v>Prompt</v>
      </c>
    </row>
    <row r="21" spans="1:5" x14ac:dyDescent="0.35">
      <c r="A21" s="118">
        <v>14</v>
      </c>
      <c r="B21" s="114" t="s">
        <v>114</v>
      </c>
      <c r="C21" s="109">
        <v>3</v>
      </c>
      <c r="D21" s="165"/>
      <c r="E21" s="125" t="e">
        <f>VLOOKUP(Table2575525269101343444647484956575859[[#This Row],[PEG]],Table1016[#All],3,FALSE)</f>
        <v>#N/A</v>
      </c>
    </row>
    <row r="22" spans="1:5" x14ac:dyDescent="0.35">
      <c r="A22" s="118">
        <v>15</v>
      </c>
      <c r="B22" s="114" t="s">
        <v>115</v>
      </c>
      <c r="C22" s="109" t="str">
        <f>VLOOKUP(Table2575525269101343444647484956575859[[#This Row],[PEG]],Table1016[#All],2,FALSE)</f>
        <v>Ok, what amount do you want to pay?</v>
      </c>
      <c r="D22" s="165" t="s">
        <v>263</v>
      </c>
      <c r="E22" s="125" t="str">
        <f>VLOOKUP(Table2575525269101343444647484956575859[[#This Row],[PEG]],Table1016[#All],3,FALSE)</f>
        <v>Prompt</v>
      </c>
    </row>
    <row r="23" spans="1:5" x14ac:dyDescent="0.35">
      <c r="A23" s="118">
        <v>16</v>
      </c>
      <c r="B23" s="114" t="s">
        <v>114</v>
      </c>
      <c r="C23" s="109">
        <v>4</v>
      </c>
      <c r="D23" s="165"/>
      <c r="E23" s="125" t="e">
        <f>VLOOKUP(Table2575525269101343444647484956575859[[#This Row],[PEG]],Table1016[#All],3,FALSE)</f>
        <v>#N/A</v>
      </c>
    </row>
    <row r="24" spans="1:5" x14ac:dyDescent="0.35">
      <c r="A24" s="118">
        <v>17</v>
      </c>
      <c r="B24" s="114" t="s">
        <v>115</v>
      </c>
      <c r="C24" s="109" t="str">
        <f>VLOOKUP(Table2575525269101343444647484956575859[[#This Row],[PEG]],Table1016[#All],2,FALSE)</f>
        <v>Sorry, I didn’t understand.</v>
      </c>
      <c r="D24" s="141" t="s">
        <v>367</v>
      </c>
      <c r="E24" s="125" t="str">
        <f>VLOOKUP(Table2575525269101343444647484956575859[[#This Row],[PEG]],Table1016[#All],3,FALSE)</f>
        <v>Prompt</v>
      </c>
    </row>
    <row r="25" spans="1:5" x14ac:dyDescent="0.35">
      <c r="A25" s="118">
        <v>18</v>
      </c>
      <c r="B25" s="114" t="s">
        <v>115</v>
      </c>
      <c r="C25" s="109" t="str">
        <f>VLOOKUP(Table2575525269101343444647484956575859[[#This Row],[PEG]],Table1016[#All],2,FALSE)</f>
        <v>What amount do you want to pay?  Just say the amount like this “forty dollars and fifty cents.  Now go ahead.</v>
      </c>
      <c r="D25" s="165" t="s">
        <v>264</v>
      </c>
      <c r="E25" s="125" t="str">
        <f>VLOOKUP(Table2575525269101343444647484956575859[[#This Row],[PEG]],Table1016[#All],3,FALSE)</f>
        <v>Prompt</v>
      </c>
    </row>
    <row r="26" spans="1:5" x14ac:dyDescent="0.35">
      <c r="A26" s="118">
        <v>19</v>
      </c>
      <c r="B26" s="114" t="s">
        <v>114</v>
      </c>
      <c r="C26" s="109">
        <v>4</v>
      </c>
      <c r="D26" s="165"/>
      <c r="E26" s="125" t="e">
        <f>VLOOKUP(Table2575525269101343444647484956575859[[#This Row],[PEG]],Table1016[#All],3,FALSE)</f>
        <v>#N/A</v>
      </c>
    </row>
    <row r="27" spans="1:5" x14ac:dyDescent="0.35">
      <c r="A27" s="118">
        <v>20</v>
      </c>
      <c r="B27" s="114" t="s">
        <v>115</v>
      </c>
      <c r="C27" s="109" t="str">
        <f>VLOOKUP(Table2575525269101343444647484956575859[[#This Row],[PEG]],Table1016[#All],2,FALSE)</f>
        <v>Let’s try that one more time.</v>
      </c>
      <c r="D27" s="141" t="s">
        <v>368</v>
      </c>
      <c r="E27" s="125" t="str">
        <f>VLOOKUP(Table2575525269101343444647484956575859[[#This Row],[PEG]],Table1016[#All],3,FALSE)</f>
        <v>Prompt</v>
      </c>
    </row>
    <row r="28" spans="1:5" ht="29" x14ac:dyDescent="0.35">
      <c r="A28" s="118">
        <v>21</v>
      </c>
      <c r="B28" s="114" t="s">
        <v>115</v>
      </c>
      <c r="C28" s="109" t="str">
        <f>VLOOKUP(Table2575525269101343444647484956575859[[#This Row],[PEG]],Table1016[#All],2,FALSE)</f>
        <v xml:space="preserve">Just tell me the amount you want to pay today or enter it on your telephone keypad in dollars and cents.  For example, to enter forty dollars and fifty cents enter 4-5-5-0.  Now go ahead.  </v>
      </c>
      <c r="D28" s="165" t="s">
        <v>265</v>
      </c>
      <c r="E28" s="125" t="str">
        <f>VLOOKUP(Table2575525269101343444647484956575859[[#This Row],[PEG]],Table1016[#All],3,FALSE)</f>
        <v>Prompt</v>
      </c>
    </row>
    <row r="29" spans="1:5" x14ac:dyDescent="0.35">
      <c r="A29" s="118">
        <v>22</v>
      </c>
      <c r="B29" s="114" t="s">
        <v>114</v>
      </c>
      <c r="C29" s="109" t="s">
        <v>495</v>
      </c>
      <c r="D29" s="165"/>
      <c r="E29" s="125" t="e">
        <f>VLOOKUP(Table2575525269101343444647484956575859[[#This Row],[PEG]],Table1016[#All],3,FALSE)</f>
        <v>#N/A</v>
      </c>
    </row>
    <row r="30" spans="1:5" x14ac:dyDescent="0.35">
      <c r="A30" s="118">
        <v>23</v>
      </c>
      <c r="B30" s="114" t="s">
        <v>115</v>
      </c>
      <c r="C30" s="109" t="str">
        <f>VLOOKUP(Table2575525269101343444647484956575859[[#This Row],[PEG]],Table1016[#All],2,FALSE)</f>
        <v>Do you want to use the savings account on file ending in &lt;SAP01_ivrStoredPmtLast4Digits&gt;.</v>
      </c>
      <c r="D30" s="165" t="s">
        <v>276</v>
      </c>
      <c r="E30" s="125" t="str">
        <f>VLOOKUP(Table2575525269101343444647484956575859[[#This Row],[PEG]],Table1016[#All],3,FALSE)</f>
        <v>Prompt</v>
      </c>
    </row>
    <row r="31" spans="1:5" x14ac:dyDescent="0.35">
      <c r="A31" s="118">
        <v>24</v>
      </c>
      <c r="B31" s="114" t="s">
        <v>114</v>
      </c>
      <c r="C31" s="109">
        <v>1</v>
      </c>
      <c r="D31" s="117"/>
      <c r="E31" s="125" t="e">
        <f>VLOOKUP(Table2575525269101343444647484956575859[[#This Row],[PEG]],Table1016[#All],3,FALSE)</f>
        <v>#N/A</v>
      </c>
    </row>
    <row r="32" spans="1:5" ht="29" x14ac:dyDescent="0.35">
      <c r="A32" s="118">
        <v>25</v>
      </c>
      <c r="B32" s="114" t="s">
        <v>115</v>
      </c>
      <c r="C32" s="109" t="str">
        <f>VLOOKUP(Table2575525269101343444647484956575859[[#This Row],[PEG]],Table1016[#All],2,FALSE)</f>
        <v>To confirm, you want to pay &lt;ivrPmtAmt&gt; with the account ending in &lt;SAP01_ivrStoredPmtLast4Digits&gt;
Is that right?</v>
      </c>
      <c r="D32" s="143" t="s">
        <v>391</v>
      </c>
      <c r="E32" s="125">
        <f>VLOOKUP(Table2575525269101343444647484956575859[[#This Row],[PEG]],Table1016[#All],3,FALSE)</f>
        <v>0</v>
      </c>
    </row>
    <row r="33" spans="1:5" x14ac:dyDescent="0.35">
      <c r="A33" s="118">
        <v>26</v>
      </c>
      <c r="B33" s="114" t="s">
        <v>114</v>
      </c>
      <c r="C33" s="109">
        <v>1</v>
      </c>
      <c r="D33" s="143"/>
      <c r="E33" s="125" t="e">
        <f>VLOOKUP(Table2575525269101343444647484956575859[[#This Row],[PEG]],Table1016[#All],3,FALSE)</f>
        <v>#N/A</v>
      </c>
    </row>
    <row r="34" spans="1:5" ht="188.5" x14ac:dyDescent="0.35">
      <c r="A34" s="118">
        <v>27</v>
      </c>
      <c r="B34" s="114" t="s">
        <v>12</v>
      </c>
      <c r="C34" s="109" t="str">
        <f>VLOOKUP(Table2575525269101343444647484956575859[[#This Row],[PEG]],Table1016[#All],2,FALSE)</f>
        <v xml:space="preserve">SAP HANA - SAP02_EFTPaymentNotification
inputs: 
Businesspartner = SAP01_Partner 
Insobject = SAP01_Insobject 
BankKey = ivrBankKey 
BankAcct = ivrBankAcct 
Accountholder = ivrAccountHolder 
BankAccountType = ivrBankAccountType 
RecurringBank = ivrRecurringBank  
StoredBank = ivrPmtMethodStored 
PaymentAmount = ivrPmtAmt 
outputs: 
SAP02_ConfirmationNum Payment Confirmation Number (i.e. 300000000105) </v>
      </c>
      <c r="D34" s="143" t="s">
        <v>373</v>
      </c>
      <c r="E34" s="125" t="str">
        <f>VLOOKUP(Table2575525269101343444647484956575859[[#This Row],[PEG]],Table1016[#All],3,FALSE)</f>
        <v>DB</v>
      </c>
    </row>
    <row r="35" spans="1:5" ht="29" x14ac:dyDescent="0.35">
      <c r="A35" s="118">
        <v>28</v>
      </c>
      <c r="B35" s="114" t="s">
        <v>115</v>
      </c>
      <c r="C35" s="109" t="str">
        <f>VLOOKUP(Table2575525269101343444647484956575859[[#This Row],[PEG]],Table1016[#All],2,FALSE)</f>
        <v>Today's payment in the amount of &lt;ivrPmtAmt&gt;, has been processed.  Your confirmation number is &lt;ivrConfirmationNum&gt;. Again, that confirmation number is &lt;ivrConfirmationNum&gt;.</v>
      </c>
      <c r="D35" s="143" t="s">
        <v>340</v>
      </c>
      <c r="E35" s="125" t="str">
        <f>VLOOKUP(Table2575525269101343444647484956575859[[#This Row],[PEG]],Table1016[#All],3,FALSE)</f>
        <v>Prompt</v>
      </c>
    </row>
    <row r="36" spans="1:5" x14ac:dyDescent="0.35">
      <c r="A36" s="118">
        <v>29</v>
      </c>
      <c r="B36" s="114" t="s">
        <v>115</v>
      </c>
      <c r="C36" s="109" t="str">
        <f>VLOOKUP(Table2575525269101343444647484956575859[[#This Row],[PEG]],Table1016[#All],2,FALSE)</f>
        <v>Would you like me to text the confirmation number?</v>
      </c>
      <c r="D36" s="143" t="s">
        <v>341</v>
      </c>
      <c r="E36" s="125" t="str">
        <f>VLOOKUP(Table2575525269101343444647484956575859[[#This Row],[PEG]],Table1016[#All],3,FALSE)</f>
        <v>Prompt</v>
      </c>
    </row>
    <row r="37" spans="1:5" x14ac:dyDescent="0.35">
      <c r="A37" s="118">
        <v>30</v>
      </c>
      <c r="B37" s="114" t="s">
        <v>114</v>
      </c>
      <c r="C37" s="109">
        <v>2</v>
      </c>
      <c r="D37" s="143"/>
      <c r="E37" s="125" t="e">
        <f>VLOOKUP(Table2575525269101343444647484956575859[[#This Row],[PEG]],Table1016[#All],3,FALSE)</f>
        <v>#N/A</v>
      </c>
    </row>
    <row r="38" spans="1:5" ht="29" x14ac:dyDescent="0.35">
      <c r="A38" s="118">
        <v>31</v>
      </c>
      <c r="B38" s="114" t="s">
        <v>115</v>
      </c>
      <c r="C38" s="109" t="str">
        <f>VLOOKUP(Table2575525269101343444647484956575859[[#This Row],[PEG]],Table1016[#All],2,FALSE)</f>
        <v>Would you like to use a different account to pay the remaining balance?  Your account will be suspended if payment is not received within 60 days.</v>
      </c>
      <c r="D38" s="143" t="s">
        <v>357</v>
      </c>
      <c r="E38" s="125" t="str">
        <f>VLOOKUP(Table2575525269101343444647484956575859[[#This Row],[PEG]],Table1016[#All],3,FALSE)</f>
        <v>Prompt</v>
      </c>
    </row>
    <row r="39" spans="1:5" x14ac:dyDescent="0.35">
      <c r="A39" s="118">
        <v>32</v>
      </c>
      <c r="B39" s="114" t="s">
        <v>114</v>
      </c>
      <c r="C39" s="109">
        <v>2</v>
      </c>
      <c r="D39" s="143"/>
      <c r="E39" s="125" t="e">
        <f>VLOOKUP(Table2575525269101343444647484956575859[[#This Row],[PEG]],Table1016[#All],3,FALSE)</f>
        <v>#N/A</v>
      </c>
    </row>
    <row r="40" spans="1:5" ht="29" x14ac:dyDescent="0.35">
      <c r="A40" s="118">
        <v>33</v>
      </c>
      <c r="B40" s="114" t="s">
        <v>115</v>
      </c>
      <c r="C40" s="109" t="str">
        <f>VLOOKUP(Table2575525269101343444647484956575859[[#This Row],[PEG]],Table1016[#All],2,FALSE)</f>
        <v>Thank you for your payment today.  For future transactions, you can access your plan details or manage your account anytime online at members.lacare.com.</v>
      </c>
      <c r="D40" s="143" t="s">
        <v>364</v>
      </c>
      <c r="E40" s="125" t="str">
        <f>VLOOKUP(Table2575525269101343444647484956575859[[#This Row],[PEG]],Table1016[#All],3,FALSE)</f>
        <v>Prompt</v>
      </c>
    </row>
    <row r="41" spans="1:5" x14ac:dyDescent="0.35">
      <c r="A41" s="118">
        <v>34</v>
      </c>
      <c r="B41" s="114" t="s">
        <v>13</v>
      </c>
      <c r="C41" s="18" t="s">
        <v>13</v>
      </c>
      <c r="D41" s="153"/>
      <c r="E41" s="32"/>
    </row>
    <row r="42" spans="1:5" x14ac:dyDescent="0.35">
      <c r="C42" s="26"/>
      <c r="D42" s="111" t="s">
        <v>0</v>
      </c>
    </row>
    <row r="43" spans="1:5" x14ac:dyDescent="0.35">
      <c r="C43" s="26"/>
    </row>
    <row r="44" spans="1:5" x14ac:dyDescent="0.35">
      <c r="C44" s="26"/>
    </row>
    <row r="45" spans="1:5" x14ac:dyDescent="0.35">
      <c r="C45" s="26"/>
    </row>
    <row r="46" spans="1:5" x14ac:dyDescent="0.35">
      <c r="C46" s="26"/>
    </row>
    <row r="47" spans="1:5" x14ac:dyDescent="0.35">
      <c r="C47" s="26"/>
    </row>
    <row r="48" spans="1:5" x14ac:dyDescent="0.35">
      <c r="C48" s="26"/>
    </row>
    <row r="49" spans="3:3" x14ac:dyDescent="0.35">
      <c r="C49" s="26"/>
    </row>
    <row r="50" spans="3:3" x14ac:dyDescent="0.35">
      <c r="C50" s="26"/>
    </row>
    <row r="51" spans="3:3" x14ac:dyDescent="0.35">
      <c r="C51" s="26"/>
    </row>
    <row r="52" spans="3:3" x14ac:dyDescent="0.35">
      <c r="C52" s="26"/>
    </row>
    <row r="53" spans="3:3" x14ac:dyDescent="0.35">
      <c r="C53" s="26"/>
    </row>
    <row r="54" spans="3:3" x14ac:dyDescent="0.35">
      <c r="C54" s="26"/>
    </row>
    <row r="55" spans="3:3" x14ac:dyDescent="0.35">
      <c r="C55" s="26"/>
    </row>
    <row r="56" spans="3:3" x14ac:dyDescent="0.35">
      <c r="C56" s="26"/>
    </row>
    <row r="57" spans="3:3" x14ac:dyDescent="0.35">
      <c r="C57" s="27"/>
    </row>
    <row r="58" spans="3:3" x14ac:dyDescent="0.35">
      <c r="C58" s="27"/>
    </row>
    <row r="59" spans="3:3" x14ac:dyDescent="0.35">
      <c r="C59" s="27"/>
    </row>
  </sheetData>
  <mergeCells count="1">
    <mergeCell ref="A1:B1"/>
  </mergeCells>
  <conditionalFormatting sqref="B26:B31 B41">
    <cfRule type="containsText" dxfId="5402" priority="74" operator="containsText" text="Hear">
      <formula>NOT(ISERROR(SEARCH("Hear",B26)))</formula>
    </cfRule>
  </conditionalFormatting>
  <conditionalFormatting sqref="E41">
    <cfRule type="containsText" dxfId="5401" priority="72" operator="containsText" text="WEB SERVICE">
      <formula>NOT(ISERROR(SEARCH("WEB SERVICE",E41)))</formula>
    </cfRule>
    <cfRule type="containsText" dxfId="5400" priority="73" operator="containsText" text="DB">
      <formula>NOT(ISERROR(SEARCH("DB",E41)))</formula>
    </cfRule>
  </conditionalFormatting>
  <conditionalFormatting sqref="C41:C9998">
    <cfRule type="expression" dxfId="5399" priority="75">
      <formula>$B41="Dial"</formula>
    </cfRule>
    <cfRule type="expression" dxfId="5398" priority="77">
      <formula>$B41="HANGUP"</formula>
    </cfRule>
  </conditionalFormatting>
  <conditionalFormatting sqref="C41">
    <cfRule type="expression" dxfId="5397" priority="76">
      <formula>$B41="Speak"</formula>
    </cfRule>
  </conditionalFormatting>
  <conditionalFormatting sqref="B32:B40">
    <cfRule type="containsText" dxfId="5396" priority="61" operator="containsText" text="Hear">
      <formula>NOT(ISERROR(SEARCH("Hear",B32)))</formula>
    </cfRule>
  </conditionalFormatting>
  <conditionalFormatting sqref="B8:B25">
    <cfRule type="containsText" dxfId="5395" priority="46" operator="containsText" text="Hear">
      <formula>NOT(ISERROR(SEARCH("Hear",B8)))</formula>
    </cfRule>
  </conditionalFormatting>
  <conditionalFormatting sqref="C10">
    <cfRule type="expression" dxfId="5394" priority="40">
      <formula>$B10="Dial"</formula>
    </cfRule>
    <cfRule type="expression" dxfId="5393" priority="42">
      <formula>$B10="HANGUP"</formula>
    </cfRule>
  </conditionalFormatting>
  <conditionalFormatting sqref="C10">
    <cfRule type="expression" dxfId="5392" priority="41">
      <formula>$B10="Speak"</formula>
    </cfRule>
  </conditionalFormatting>
  <conditionalFormatting sqref="C14">
    <cfRule type="expression" dxfId="5391" priority="37">
      <formula>$B14="Dial"</formula>
    </cfRule>
    <cfRule type="expression" dxfId="5390" priority="39">
      <formula>$B14="HANGUP"</formula>
    </cfRule>
  </conditionalFormatting>
  <conditionalFormatting sqref="C14">
    <cfRule type="expression" dxfId="5389" priority="38">
      <formula>$B14="Speak"</formula>
    </cfRule>
  </conditionalFormatting>
  <conditionalFormatting sqref="C15">
    <cfRule type="expression" dxfId="5388" priority="31">
      <formula>$B15="Dial"</formula>
    </cfRule>
    <cfRule type="expression" dxfId="5387" priority="33">
      <formula>$B15="HANGUP"</formula>
    </cfRule>
  </conditionalFormatting>
  <conditionalFormatting sqref="C15">
    <cfRule type="expression" dxfId="5386" priority="32">
      <formula>$B15="Speak"</formula>
    </cfRule>
  </conditionalFormatting>
  <conditionalFormatting sqref="C18">
    <cfRule type="expression" dxfId="5385" priority="28">
      <formula>$B18="Dial"</formula>
    </cfRule>
    <cfRule type="expression" dxfId="5384" priority="30">
      <formula>$B18="HANGUP"</formula>
    </cfRule>
  </conditionalFormatting>
  <conditionalFormatting sqref="C18">
    <cfRule type="expression" dxfId="5383" priority="29">
      <formula>$B18="Speak"</formula>
    </cfRule>
  </conditionalFormatting>
  <conditionalFormatting sqref="C21">
    <cfRule type="expression" dxfId="5382" priority="25">
      <formula>$B21="Dial"</formula>
    </cfRule>
    <cfRule type="expression" dxfId="5381" priority="27">
      <formula>$B21="HANGUP"</formula>
    </cfRule>
  </conditionalFormatting>
  <conditionalFormatting sqref="C21">
    <cfRule type="expression" dxfId="5380" priority="26">
      <formula>$B21="Speak"</formula>
    </cfRule>
  </conditionalFormatting>
  <conditionalFormatting sqref="C23">
    <cfRule type="expression" dxfId="5379" priority="22">
      <formula>$B23="Dial"</formula>
    </cfRule>
    <cfRule type="expression" dxfId="5378" priority="24">
      <formula>$B23="HANGUP"</formula>
    </cfRule>
  </conditionalFormatting>
  <conditionalFormatting sqref="C23">
    <cfRule type="expression" dxfId="5377" priority="23">
      <formula>$B23="Speak"</formula>
    </cfRule>
  </conditionalFormatting>
  <conditionalFormatting sqref="C26">
    <cfRule type="expression" dxfId="5376" priority="19">
      <formula>$B26="Dial"</formula>
    </cfRule>
    <cfRule type="expression" dxfId="5375" priority="21">
      <formula>$B26="HANGUP"</formula>
    </cfRule>
  </conditionalFormatting>
  <conditionalFormatting sqref="C26">
    <cfRule type="expression" dxfId="5374" priority="20">
      <formula>$B26="Speak"</formula>
    </cfRule>
  </conditionalFormatting>
  <conditionalFormatting sqref="C29">
    <cfRule type="expression" dxfId="5373" priority="16">
      <formula>$B29="Dial"</formula>
    </cfRule>
    <cfRule type="expression" dxfId="5372" priority="18">
      <formula>$B29="HANGUP"</formula>
    </cfRule>
  </conditionalFormatting>
  <conditionalFormatting sqref="C29">
    <cfRule type="expression" dxfId="5371" priority="17">
      <formula>$B29="Speak"</formula>
    </cfRule>
  </conditionalFormatting>
  <conditionalFormatting sqref="C31">
    <cfRule type="expression" dxfId="5370" priority="13">
      <formula>$B31="Dial"</formula>
    </cfRule>
    <cfRule type="expression" dxfId="5369" priority="15">
      <formula>$B31="HANGUP"</formula>
    </cfRule>
  </conditionalFormatting>
  <conditionalFormatting sqref="C31">
    <cfRule type="expression" dxfId="5368" priority="14">
      <formula>$B31="Speak"</formula>
    </cfRule>
  </conditionalFormatting>
  <conditionalFormatting sqref="C33">
    <cfRule type="expression" dxfId="5367" priority="10">
      <formula>$B33="Dial"</formula>
    </cfRule>
    <cfRule type="expression" dxfId="5366" priority="12">
      <formula>$B33="HANGUP"</formula>
    </cfRule>
  </conditionalFormatting>
  <conditionalFormatting sqref="C33">
    <cfRule type="expression" dxfId="5365" priority="11">
      <formula>$B33="Speak"</formula>
    </cfRule>
  </conditionalFormatting>
  <conditionalFormatting sqref="C37">
    <cfRule type="expression" dxfId="5364" priority="7">
      <formula>$B37="Dial"</formula>
    </cfRule>
    <cfRule type="expression" dxfId="5363" priority="9">
      <formula>$B37="HANGUP"</formula>
    </cfRule>
  </conditionalFormatting>
  <conditionalFormatting sqref="C37">
    <cfRule type="expression" dxfId="5362" priority="8">
      <formula>$B37="Speak"</formula>
    </cfRule>
  </conditionalFormatting>
  <conditionalFormatting sqref="C39">
    <cfRule type="expression" dxfId="5361" priority="4">
      <formula>$B39="Dial"</formula>
    </cfRule>
    <cfRule type="expression" dxfId="5360" priority="6">
      <formula>$B39="HANGUP"</formula>
    </cfRule>
  </conditionalFormatting>
  <conditionalFormatting sqref="C39">
    <cfRule type="expression" dxfId="5359" priority="5">
      <formula>$B39="Speak"</formula>
    </cfRule>
  </conditionalFormatting>
  <hyperlinks>
    <hyperlink ref="A1" location="'Test Case Overview'!A1" display="Return to Test Case Overview" xr:uid="{00000000-0004-0000-1900-000000000000}"/>
  </hyperlinks>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expression" priority="68" id="{D03AE9F9-5461-47F9-BD14-B421098462BB}">
            <xm:f>'TC1'!$B8="Dial"</xm:f>
            <x14:dxf>
              <font>
                <b/>
                <i val="0"/>
                <color rgb="FFFF0000"/>
              </font>
            </x14:dxf>
          </x14:cfRule>
          <x14:cfRule type="expression" priority="70" id="{183CC0EE-9551-4426-94DA-5DABDB1F2ECF}">
            <xm:f>'TC1'!$B8="HANGUP"</xm:f>
            <x14:dxf>
              <font>
                <b/>
                <i val="0"/>
              </font>
            </x14:dxf>
          </x14:cfRule>
          <xm:sqref>C8</xm:sqref>
        </x14:conditionalFormatting>
        <x14:conditionalFormatting xmlns:xm="http://schemas.microsoft.com/office/excel/2006/main">
          <x14:cfRule type="expression" priority="69" id="{AC860627-C72C-47D0-A098-A6F83C681827}">
            <xm:f>'TC1'!$B8="Speak"</xm:f>
            <x14:dxf>
              <font>
                <b/>
                <i val="0"/>
                <color rgb="FFFF0000"/>
              </font>
            </x14:dxf>
          </x14:cfRule>
          <xm:sqref>C8</xm:sqref>
        </x14:conditionalFormatting>
        <x14:conditionalFormatting xmlns:xm="http://schemas.microsoft.com/office/excel/2006/main">
          <x14:cfRule type="expression" priority="845" id="{D03AE9F9-5461-47F9-BD14-B421098462BB}">
            <xm:f>'TC1'!$B16="Dial"</xm:f>
            <x14:dxf>
              <font>
                <b/>
                <i val="0"/>
                <color rgb="FFFF0000"/>
              </font>
            </x14:dxf>
          </x14:cfRule>
          <x14:cfRule type="expression" priority="846" id="{183CC0EE-9551-4426-94DA-5DABDB1F2ECF}">
            <xm:f>'TC1'!$B16="HANGUP"</xm:f>
            <x14:dxf>
              <font>
                <b/>
                <i val="0"/>
              </font>
            </x14:dxf>
          </x14:cfRule>
          <xm:sqref>C35:C36 C38 C40</xm:sqref>
        </x14:conditionalFormatting>
        <x14:conditionalFormatting xmlns:xm="http://schemas.microsoft.com/office/excel/2006/main">
          <x14:cfRule type="expression" priority="847" id="{D03AE9F9-5461-47F9-BD14-B421098462BB}">
            <xm:f>'TC1'!#REF!="Dial"</xm:f>
            <x14:dxf>
              <font>
                <b/>
                <i val="0"/>
                <color rgb="FFFF0000"/>
              </font>
            </x14:dxf>
          </x14:cfRule>
          <x14:cfRule type="expression" priority="848" id="{183CC0EE-9551-4426-94DA-5DABDB1F2ECF}">
            <xm:f>'TC1'!#REF!="HANGUP"</xm:f>
            <x14:dxf>
              <font>
                <b/>
                <i val="0"/>
              </font>
            </x14:dxf>
          </x14:cfRule>
          <xm:sqref>C19:C20 C22 C24:C25 C27:C28 C30 C32 C34</xm:sqref>
        </x14:conditionalFormatting>
        <x14:conditionalFormatting xmlns:xm="http://schemas.microsoft.com/office/excel/2006/main">
          <x14:cfRule type="expression" priority="852" id="{AC860627-C72C-47D0-A098-A6F83C681827}">
            <xm:f>'TC1'!$B16="Speak"</xm:f>
            <x14:dxf>
              <font>
                <b/>
                <i val="0"/>
                <color rgb="FFFF0000"/>
              </font>
            </x14:dxf>
          </x14:cfRule>
          <xm:sqref>C35:C36 C38 C40</xm:sqref>
        </x14:conditionalFormatting>
        <x14:conditionalFormatting xmlns:xm="http://schemas.microsoft.com/office/excel/2006/main">
          <x14:cfRule type="expression" priority="853" id="{AC860627-C72C-47D0-A098-A6F83C681827}">
            <xm:f>'TC1'!#REF!="Speak"</xm:f>
            <x14:dxf>
              <font>
                <b/>
                <i val="0"/>
                <color rgb="FFFF0000"/>
              </font>
            </x14:dxf>
          </x14:cfRule>
          <xm:sqref>C19:C20 C22 C24:C25 C27:C28 C30 C32 C34</xm:sqref>
        </x14:conditionalFormatting>
        <x14:conditionalFormatting xmlns:xm="http://schemas.microsoft.com/office/excel/2006/main">
          <x14:cfRule type="containsText" priority="857" operator="containsText" text="WEB SERVICE" id="{9C98EE57-675D-4973-9744-D0BE6EF09514}">
            <xm:f>NOT(ISERROR(SEARCH("WEB SERVICE",'TC1'!E16)))</xm:f>
            <x14:dxf>
              <font>
                <color rgb="FF9C0006"/>
              </font>
              <fill>
                <patternFill>
                  <bgColor rgb="FFFFC7CE"/>
                </patternFill>
              </fill>
            </x14:dxf>
          </x14:cfRule>
          <x14:cfRule type="containsText" priority="858" operator="containsText" text="DB" id="{F3E335EC-0878-4A4B-9650-347AED63F068}">
            <xm:f>NOT(ISERROR(SEARCH("DB",'TC1'!E16)))</xm:f>
            <x14:dxf>
              <font>
                <color rgb="FF006100"/>
              </font>
              <fill>
                <patternFill>
                  <bgColor rgb="FFC6EFCE"/>
                </patternFill>
              </fill>
            </x14:dxf>
          </x14:cfRule>
          <xm:sqref>E35:E40</xm:sqref>
        </x14:conditionalFormatting>
        <x14:conditionalFormatting xmlns:xm="http://schemas.microsoft.com/office/excel/2006/main">
          <x14:cfRule type="containsText" priority="859" operator="containsText" text="WEB SERVICE" id="{9C98EE57-675D-4973-9744-D0BE6EF09514}">
            <xm:f>NOT(ISERROR(SEARCH("WEB SERVICE",'TC1'!#REF!)))</xm:f>
            <x14:dxf>
              <font>
                <color rgb="FF9C0006"/>
              </font>
              <fill>
                <patternFill>
                  <bgColor rgb="FFFFC7CE"/>
                </patternFill>
              </fill>
            </x14:dxf>
          </x14:cfRule>
          <x14:cfRule type="containsText" priority="860" operator="containsText" text="DB" id="{F3E335EC-0878-4A4B-9650-347AED63F068}">
            <xm:f>NOT(ISERROR(SEARCH("DB",'TC1'!#REF!)))</xm:f>
            <x14:dxf>
              <font>
                <color rgb="FF006100"/>
              </font>
              <fill>
                <patternFill>
                  <bgColor rgb="FFC6EFCE"/>
                </patternFill>
              </fill>
            </x14:dxf>
          </x14:cfRule>
          <xm:sqref>E18:E34</xm:sqref>
        </x14:conditionalFormatting>
        <x14:conditionalFormatting xmlns:xm="http://schemas.microsoft.com/office/excel/2006/main">
          <x14:cfRule type="expression" priority="3696" id="{D03AE9F9-5461-47F9-BD14-B421098462BB}">
            <xm:f>'TC1'!$B9="Dial"</xm:f>
            <x14:dxf>
              <font>
                <b/>
                <i val="0"/>
                <color rgb="FFFF0000"/>
              </font>
            </x14:dxf>
          </x14:cfRule>
          <x14:cfRule type="expression" priority="3697" id="{183CC0EE-9551-4426-94DA-5DABDB1F2ECF}">
            <xm:f>'TC1'!$B9="HANGUP"</xm:f>
            <x14:dxf>
              <font>
                <b/>
                <i val="0"/>
              </font>
            </x14:dxf>
          </x14:cfRule>
          <xm:sqref>C13 C16:C17</xm:sqref>
        </x14:conditionalFormatting>
        <x14:conditionalFormatting xmlns:xm="http://schemas.microsoft.com/office/excel/2006/main">
          <x14:cfRule type="expression" priority="3698" id="{D03AE9F9-5461-47F9-BD14-B421098462BB}">
            <xm:f>'TC1'!#REF!="Dial"</xm:f>
            <x14:dxf>
              <font>
                <b/>
                <i val="0"/>
                <color rgb="FFFF0000"/>
              </font>
            </x14:dxf>
          </x14:cfRule>
          <x14:cfRule type="expression" priority="3699" id="{183CC0EE-9551-4426-94DA-5DABDB1F2ECF}">
            <xm:f>'TC1'!#REF!="HANGUP"</xm:f>
            <x14:dxf>
              <font>
                <b/>
                <i val="0"/>
              </font>
            </x14:dxf>
          </x14:cfRule>
          <xm:sqref>C9 C12</xm:sqref>
        </x14:conditionalFormatting>
        <x14:conditionalFormatting xmlns:xm="http://schemas.microsoft.com/office/excel/2006/main">
          <x14:cfRule type="expression" priority="3703" id="{AC860627-C72C-47D0-A098-A6F83C681827}">
            <xm:f>'TC1'!$B9="Speak"</xm:f>
            <x14:dxf>
              <font>
                <b/>
                <i val="0"/>
                <color rgb="FFFF0000"/>
              </font>
            </x14:dxf>
          </x14:cfRule>
          <xm:sqref>C13 C16:C17</xm:sqref>
        </x14:conditionalFormatting>
        <x14:conditionalFormatting xmlns:xm="http://schemas.microsoft.com/office/excel/2006/main">
          <x14:cfRule type="expression" priority="3704" id="{AC860627-C72C-47D0-A098-A6F83C681827}">
            <xm:f>'TC1'!#REF!="Speak"</xm:f>
            <x14:dxf>
              <font>
                <b/>
                <i val="0"/>
                <color rgb="FFFF0000"/>
              </font>
            </x14:dxf>
          </x14:cfRule>
          <xm:sqref>C9 C12</xm:sqref>
        </x14:conditionalFormatting>
        <x14:conditionalFormatting xmlns:xm="http://schemas.microsoft.com/office/excel/2006/main">
          <x14:cfRule type="containsText" priority="3706" operator="containsText" text="WEB SERVICE" id="{9C98EE57-675D-4973-9744-D0BE6EF09514}">
            <xm:f>NOT(ISERROR(SEARCH("WEB SERVICE",'TC1'!#REF!)))</xm:f>
            <x14:dxf>
              <font>
                <color rgb="FF9C0006"/>
              </font>
              <fill>
                <patternFill>
                  <bgColor rgb="FFFFC7CE"/>
                </patternFill>
              </fill>
            </x14:dxf>
          </x14:cfRule>
          <x14:cfRule type="containsText" priority="3707" operator="containsText" text="DB" id="{F3E335EC-0878-4A4B-9650-347AED63F068}">
            <xm:f>NOT(ISERROR(SEARCH("DB",'TC1'!#REF!)))</xm:f>
            <x14:dxf>
              <font>
                <color rgb="FF006100"/>
              </font>
              <fill>
                <patternFill>
                  <bgColor rgb="FFC6EFCE"/>
                </patternFill>
              </fill>
            </x14:dxf>
          </x14:cfRule>
          <xm:sqref>E9:E12</xm:sqref>
        </x14:conditionalFormatting>
        <x14:conditionalFormatting xmlns:xm="http://schemas.microsoft.com/office/excel/2006/main">
          <x14:cfRule type="containsText" priority="3708" operator="containsText" text="WEB SERVICE" id="{9C98EE57-675D-4973-9744-D0BE6EF09514}">
            <xm:f>NOT(ISERROR(SEARCH("WEB SERVICE",'TC1'!E9)))</xm:f>
            <x14:dxf>
              <font>
                <color rgb="FF9C0006"/>
              </font>
              <fill>
                <patternFill>
                  <bgColor rgb="FFFFC7CE"/>
                </patternFill>
              </fill>
            </x14:dxf>
          </x14:cfRule>
          <x14:cfRule type="containsText" priority="3709" operator="containsText" text="DB" id="{F3E335EC-0878-4A4B-9650-347AED63F068}">
            <xm:f>NOT(ISERROR(SEARCH("DB",'TC1'!E9)))</xm:f>
            <x14:dxf>
              <font>
                <color rgb="FF006100"/>
              </font>
              <fill>
                <patternFill>
                  <bgColor rgb="FFC6EFCE"/>
                </patternFill>
              </fill>
            </x14:dxf>
          </x14:cfRule>
          <xm:sqref>E13:E16</xm:sqref>
        </x14:conditionalFormatting>
        <x14:conditionalFormatting xmlns:xm="http://schemas.microsoft.com/office/excel/2006/main">
          <x14:cfRule type="containsText" priority="6275" operator="containsText" text="WEB SERVICE" id="{9C98EE57-675D-4973-9744-D0BE6EF09514}">
            <xm:f>NOT(ISERROR(SEARCH("WEB SERVICE",'TC1'!E15)))</xm:f>
            <x14:dxf>
              <font>
                <color rgb="FF9C0006"/>
              </font>
              <fill>
                <patternFill>
                  <bgColor rgb="FFFFC7CE"/>
                </patternFill>
              </fill>
            </x14:dxf>
          </x14:cfRule>
          <x14:cfRule type="containsText" priority="6276" operator="containsText" text="DB" id="{F3E335EC-0878-4A4B-9650-347AED63F068}">
            <xm:f>NOT(ISERROR(SEARCH("DB",'TC1'!E15)))</xm:f>
            <x14:dxf>
              <font>
                <color rgb="FF006100"/>
              </font>
              <fill>
                <patternFill>
                  <bgColor rgb="FFC6EFCE"/>
                </patternFill>
              </fill>
            </x14:dxf>
          </x14:cfRule>
          <xm:sqref>E17</xm:sqref>
        </x14:conditionalFormatting>
        <x14:conditionalFormatting xmlns:xm="http://schemas.microsoft.com/office/excel/2006/main">
          <x14:cfRule type="expression" priority="1" id="{0D520BD8-D4EB-4071-966A-6E7099828FC6}">
            <xm:f>'TC1'!#REF!="Dial"</xm:f>
            <x14:dxf>
              <font>
                <b/>
                <i val="0"/>
                <color rgb="FFFF0000"/>
              </font>
            </x14:dxf>
          </x14:cfRule>
          <x14:cfRule type="expression" priority="2" id="{3DDE9FF5-C11D-4580-95C8-9E7CC8F394E9}">
            <xm:f>'TC1'!#REF!="HANGUP"</xm:f>
            <x14:dxf>
              <font>
                <b/>
                <i val="0"/>
              </font>
            </x14:dxf>
          </x14:cfRule>
          <xm:sqref>C11</xm:sqref>
        </x14:conditionalFormatting>
        <x14:conditionalFormatting xmlns:xm="http://schemas.microsoft.com/office/excel/2006/main">
          <x14:cfRule type="expression" priority="3" id="{389E2D50-BDDC-460F-9E8D-32B6D4944109}">
            <xm:f>'TC1'!#REF!="Speak"</xm:f>
            <x14:dxf>
              <font>
                <b/>
                <i val="0"/>
                <color rgb="FFFF0000"/>
              </font>
            </x14:dxf>
          </x14:cfRule>
          <xm:sqref>C11</xm:sqref>
        </x14:conditionalFormatting>
      </x14:conditionalFormattings>
    </ext>
  </extLs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28"/>
  <dimension ref="A1:E54"/>
  <sheetViews>
    <sheetView zoomScaleNormal="100" workbookViewId="0">
      <selection activeCell="D33" sqref="D33"/>
    </sheetView>
  </sheetViews>
  <sheetFormatPr defaultRowHeight="14.5" x14ac:dyDescent="0.35"/>
  <cols>
    <col min="1" max="1" width="14.453125" style="97" bestFit="1" customWidth="1"/>
    <col min="2" max="2" width="42.6328125" style="97" customWidth="1"/>
    <col min="3" max="3" width="106.1796875" style="98" customWidth="1"/>
    <col min="4" max="4" width="21.81640625" style="111" bestFit="1" customWidth="1"/>
    <col min="5" max="5" width="20.6328125" style="97" customWidth="1"/>
  </cols>
  <sheetData>
    <row r="1" spans="1:5" ht="18.5" x14ac:dyDescent="0.35">
      <c r="A1" s="193" t="s">
        <v>4</v>
      </c>
      <c r="B1" s="194"/>
      <c r="C1" s="105"/>
    </row>
    <row r="2" spans="1:5" x14ac:dyDescent="0.35">
      <c r="A2" s="106" t="s">
        <v>5</v>
      </c>
      <c r="B2" s="107" t="str">
        <f ca="1">MID(CELL("filename",A1),FIND("]",CELL("filename",A1))+1,LEN(CELL("filename",A1))-FIND("]",CELL("filename",A1)))</f>
        <v>TC26</v>
      </c>
    </row>
    <row r="3" spans="1:5" x14ac:dyDescent="0.35">
      <c r="A3" s="104" t="s">
        <v>19</v>
      </c>
      <c r="B3" s="112">
        <f ca="1">VLOOKUP(B2,Table53[#All],2,FALSE)</f>
        <v>0</v>
      </c>
    </row>
    <row r="4" spans="1:5" ht="29" x14ac:dyDescent="0.35">
      <c r="A4" s="113" t="s">
        <v>20</v>
      </c>
      <c r="B4" s="99" t="str">
        <f ca="1">VLOOKUP(B2,Table53[#All],4,FALSE)</f>
        <v>Recurring, Last Pmt Declined, Make Pmt -Checking, SMS No</v>
      </c>
    </row>
    <row r="5" spans="1:5" x14ac:dyDescent="0.35">
      <c r="A5" s="104" t="s">
        <v>6</v>
      </c>
      <c r="B5" s="93" t="str">
        <f ca="1">VLOOKUP(B2,Table53[#All],3,FALSE)</f>
        <v>Last Payment Declined -Make Pmt</v>
      </c>
    </row>
    <row r="7" spans="1:5" ht="15.5" x14ac:dyDescent="0.35">
      <c r="A7" s="100" t="s">
        <v>7</v>
      </c>
      <c r="B7" s="101" t="s">
        <v>8</v>
      </c>
      <c r="C7" s="102" t="s">
        <v>9</v>
      </c>
      <c r="D7" s="102" t="s">
        <v>14</v>
      </c>
      <c r="E7" s="103" t="s">
        <v>10</v>
      </c>
    </row>
    <row r="8" spans="1:5" x14ac:dyDescent="0.35">
      <c r="A8" s="118">
        <v>1</v>
      </c>
      <c r="B8" s="114" t="s">
        <v>114</v>
      </c>
      <c r="C8" s="109" t="s">
        <v>125</v>
      </c>
      <c r="D8" s="128"/>
      <c r="E8" s="125" t="s">
        <v>11</v>
      </c>
    </row>
    <row r="9" spans="1:5" x14ac:dyDescent="0.35">
      <c r="A9" s="118">
        <v>2</v>
      </c>
      <c r="B9" s="114" t="s">
        <v>115</v>
      </c>
      <c r="C9" s="109" t="str">
        <f>VLOOKUP(Table257552526911122021222360[[#This Row],[PEG]],Table1016[#All],2,FALSE)</f>
        <v>To get started, tell me your Account Number</v>
      </c>
      <c r="D9" s="141" t="s">
        <v>245</v>
      </c>
      <c r="E9" s="125" t="str">
        <f>VLOOKUP(Table257552526911122021222360[[#This Row],[PEG]],Table1016[#All],3,FALSE)</f>
        <v>Prompt</v>
      </c>
    </row>
    <row r="10" spans="1:5" x14ac:dyDescent="0.35">
      <c r="A10" s="118">
        <v>3</v>
      </c>
      <c r="B10" s="114" t="s">
        <v>114</v>
      </c>
      <c r="C10" s="109" t="s">
        <v>412</v>
      </c>
      <c r="D10" s="141"/>
      <c r="E10" s="125" t="e">
        <f>VLOOKUP(Table257552526911122021222360[[#This Row],[PEG]],Table1016[#All],3,FALSE)</f>
        <v>#N/A</v>
      </c>
    </row>
    <row r="11" spans="1:5" s="97" customFormat="1" ht="174" x14ac:dyDescent="0.35">
      <c r="A11" s="118">
        <v>4</v>
      </c>
      <c r="B11" s="114" t="s">
        <v>12</v>
      </c>
      <c r="C11" s="109" t="str">
        <f>VLOOKUP(Table257552526911122021222360[[#This Row],[PEG]],Table1016[#All],2,FALSE)</f>
        <v>SAP HANA – SAP01_GetMember
inputs:
idnumber = iIdnumber	T
idtype 	= iIdtype
outputs:
~ Billing Reference
~ Enrollment Details
~ Billing Details
~ Last Payment
~ Recurring Payment Method
~ Stored Payment Method</v>
      </c>
      <c r="D11" s="141" t="s">
        <v>371</v>
      </c>
      <c r="E11" s="125"/>
    </row>
    <row r="12" spans="1:5" x14ac:dyDescent="0.35">
      <c r="A12" s="118">
        <v>5</v>
      </c>
      <c r="B12" s="114" t="s">
        <v>115</v>
      </c>
      <c r="C12" s="109" t="str">
        <f>VLOOKUP(Table257552526911122021222360[[#This Row],[PEG]],Table1016[#All],2,FALSE)</f>
        <v>Thanks, I found your account!</v>
      </c>
      <c r="D12" s="141" t="s">
        <v>248</v>
      </c>
      <c r="E12" s="125" t="str">
        <f>VLOOKUP(Table257552526911122021222360[[#This Row],[PEG]],Table1016[#All],3,FALSE)</f>
        <v>Prompt</v>
      </c>
    </row>
    <row r="13" spans="1:5" ht="29" x14ac:dyDescent="0.35">
      <c r="A13" s="118">
        <v>6</v>
      </c>
      <c r="B13" s="114" t="s">
        <v>115</v>
      </c>
      <c r="C13" s="109" t="str">
        <f>VLOOKUP(Table257552526911122021222360[[#This Row],[PEG]],Table1016[#All],2,FALSE)</f>
        <v>You are already setup for recurring payments in the amount of &lt;SAP01_CurrentDue&gt; to be deducted on the last day of each month.</v>
      </c>
      <c r="D13" s="141" t="s">
        <v>266</v>
      </c>
      <c r="E13" s="125" t="str">
        <f>VLOOKUP(Table257552526911122021222360[[#This Row],[PEG]],Table1016[#All],3,FALSE)</f>
        <v>Prompt</v>
      </c>
    </row>
    <row r="14" spans="1:5" x14ac:dyDescent="0.35">
      <c r="A14" s="118">
        <v>7</v>
      </c>
      <c r="B14" s="114" t="s">
        <v>115</v>
      </c>
      <c r="C14" s="109" t="str">
        <f>VLOOKUP(Table257552526911122021222360[[#This Row],[PEG]],Table1016[#All],2,FALSE)</f>
        <v>The last payment of &lt;SAP01_ivrLastPaymentAmount&gt; was declined.</v>
      </c>
      <c r="D14" s="141" t="s">
        <v>267</v>
      </c>
      <c r="E14" s="125" t="str">
        <f>VLOOKUP(Table257552526911122021222360[[#This Row],[PEG]],Table1016[#All],3,FALSE)</f>
        <v>Prompt</v>
      </c>
    </row>
    <row r="15" spans="1:5" x14ac:dyDescent="0.35">
      <c r="A15" s="118">
        <v>8</v>
      </c>
      <c r="B15" s="114" t="s">
        <v>115</v>
      </c>
      <c r="C15" s="109" t="str">
        <f>VLOOKUP(Table257552526911122021222360[[#This Row],[PEG]],Table1016[#All],2,FALSE)</f>
        <v>Would you like to make a payment now?</v>
      </c>
      <c r="D15" s="141" t="s">
        <v>268</v>
      </c>
      <c r="E15" s="125" t="str">
        <f>VLOOKUP(Table257552526911122021222360[[#This Row],[PEG]],Table1016[#All],3,FALSE)</f>
        <v>Prompt</v>
      </c>
    </row>
    <row r="16" spans="1:5" x14ac:dyDescent="0.35">
      <c r="A16" s="118">
        <v>9</v>
      </c>
      <c r="B16" s="114" t="s">
        <v>114</v>
      </c>
      <c r="C16" s="109">
        <v>1</v>
      </c>
      <c r="D16" s="164"/>
      <c r="E16" s="125" t="e">
        <f>VLOOKUP(Table257552526911122021222360[[#This Row],[PEG]],Table1016[#All],3,FALSE)</f>
        <v>#N/A</v>
      </c>
    </row>
    <row r="17" spans="1:5" x14ac:dyDescent="0.35">
      <c r="A17" s="118">
        <v>10</v>
      </c>
      <c r="B17" s="114" t="s">
        <v>115</v>
      </c>
      <c r="C17" s="109" t="str">
        <f>VLOOKUP(Table257552526911122021222360[[#This Row],[PEG]],Table1016[#All],2,FALSE)</f>
        <v>Ok, are you using Credit, Debit, Checking or Savings?</v>
      </c>
      <c r="D17" s="164" t="s">
        <v>286</v>
      </c>
      <c r="E17" s="125" t="str">
        <f>VLOOKUP(Table257552526911122021222360[[#This Row],[PEG]],Table1016[#All],3,FALSE)</f>
        <v>Prompt</v>
      </c>
    </row>
    <row r="18" spans="1:5" x14ac:dyDescent="0.35">
      <c r="A18" s="118">
        <v>11</v>
      </c>
      <c r="B18" s="114" t="s">
        <v>114</v>
      </c>
      <c r="C18" s="109">
        <v>3</v>
      </c>
      <c r="D18" s="165"/>
      <c r="E18" s="125" t="e">
        <f>VLOOKUP(Table257552526911122021222360[[#This Row],[PEG]],Table1016[#All],3,FALSE)</f>
        <v>#N/A</v>
      </c>
    </row>
    <row r="19" spans="1:5" x14ac:dyDescent="0.35">
      <c r="A19" s="118">
        <v>12</v>
      </c>
      <c r="B19" s="114" t="s">
        <v>115</v>
      </c>
      <c r="C19" s="109" t="str">
        <f>VLOOKUP(Table257552526911122021222360[[#This Row],[PEG]],Table1016[#All],2,FALSE)</f>
        <v>Tell me your 9-digit routing number.</v>
      </c>
      <c r="D19" s="165" t="s">
        <v>289</v>
      </c>
      <c r="E19" s="125" t="str">
        <f>VLOOKUP(Table257552526911122021222360[[#This Row],[PEG]],Table1016[#All],3,FALSE)</f>
        <v>Prompt</v>
      </c>
    </row>
    <row r="20" spans="1:5" x14ac:dyDescent="0.35">
      <c r="A20" s="118">
        <v>13</v>
      </c>
      <c r="B20" s="114" t="s">
        <v>114</v>
      </c>
      <c r="C20" s="109" t="s">
        <v>501</v>
      </c>
      <c r="D20" s="165"/>
      <c r="E20" s="125" t="e">
        <f>VLOOKUP(Table257552526911122021222360[[#This Row],[PEG]],Table1016[#All],3,FALSE)</f>
        <v>#N/A</v>
      </c>
    </row>
    <row r="21" spans="1:5" x14ac:dyDescent="0.35">
      <c r="A21" s="118">
        <v>14</v>
      </c>
      <c r="B21" s="114" t="s">
        <v>115</v>
      </c>
      <c r="C21" s="109" t="str">
        <f>VLOOKUP(Table257552526911122021222360[[#This Row],[PEG]],Table1016[#All],2,FALSE)</f>
        <v>Is &lt;ivrBankKey&gt; the right number?</v>
      </c>
      <c r="D21" s="165" t="s">
        <v>292</v>
      </c>
      <c r="E21" s="125" t="str">
        <f>VLOOKUP(Table257552526911122021222360[[#This Row],[PEG]],Table1016[#All],3,FALSE)</f>
        <v>Prompt</v>
      </c>
    </row>
    <row r="22" spans="1:5" x14ac:dyDescent="0.35">
      <c r="A22" s="118">
        <v>15</v>
      </c>
      <c r="B22" s="114" t="s">
        <v>114</v>
      </c>
      <c r="C22" s="109">
        <v>1</v>
      </c>
      <c r="D22" s="165"/>
      <c r="E22" s="125" t="e">
        <f>VLOOKUP(Table257552526911122021222360[[#This Row],[PEG]],Table1016[#All],3,FALSE)</f>
        <v>#N/A</v>
      </c>
    </row>
    <row r="23" spans="1:5" x14ac:dyDescent="0.35">
      <c r="A23" s="118">
        <v>16</v>
      </c>
      <c r="B23" s="114" t="s">
        <v>115</v>
      </c>
      <c r="C23" s="109" t="str">
        <f>VLOOKUP(Table257552526911122021222360[[#This Row],[PEG]],Table1016[#All],2,FALSE)</f>
        <v>Now what is your checking account number.</v>
      </c>
      <c r="D23" s="165" t="s">
        <v>295</v>
      </c>
      <c r="E23" s="125" t="str">
        <f>VLOOKUP(Table257552526911122021222360[[#This Row],[PEG]],Table1016[#All],3,FALSE)</f>
        <v>Prompt</v>
      </c>
    </row>
    <row r="24" spans="1:5" x14ac:dyDescent="0.35">
      <c r="A24" s="118">
        <v>17</v>
      </c>
      <c r="B24" s="114" t="s">
        <v>114</v>
      </c>
      <c r="C24" s="109" t="s">
        <v>412</v>
      </c>
      <c r="D24" s="165"/>
      <c r="E24" s="125" t="e">
        <f>VLOOKUP(Table257552526911122021222360[[#This Row],[PEG]],Table1016[#All],3,FALSE)</f>
        <v>#N/A</v>
      </c>
    </row>
    <row r="25" spans="1:5" x14ac:dyDescent="0.35">
      <c r="A25" s="118">
        <v>18</v>
      </c>
      <c r="B25" s="114" t="s">
        <v>115</v>
      </c>
      <c r="C25" s="109" t="str">
        <f>VLOOKUP(Table257552526911122021222360[[#This Row],[PEG]],Table1016[#All],2,FALSE)</f>
        <v>Is &lt;ivrBankAcct&gt; the right number?</v>
      </c>
      <c r="D25" s="165" t="s">
        <v>301</v>
      </c>
      <c r="E25" s="125">
        <f>VLOOKUP(Table257552526911122021222360[[#This Row],[PEG]],Table1016[#All],3,FALSE)</f>
        <v>0</v>
      </c>
    </row>
    <row r="26" spans="1:5" x14ac:dyDescent="0.35">
      <c r="A26" s="118">
        <v>19</v>
      </c>
      <c r="B26" s="114" t="s">
        <v>114</v>
      </c>
      <c r="C26" s="109">
        <v>1</v>
      </c>
      <c r="D26" s="165"/>
      <c r="E26" s="125" t="e">
        <f>VLOOKUP(Table257552526911122021222360[[#This Row],[PEG]],Table1016[#All],3,FALSE)</f>
        <v>#N/A</v>
      </c>
    </row>
    <row r="27" spans="1:5" ht="43.5" x14ac:dyDescent="0.35">
      <c r="A27" s="118">
        <v>20</v>
      </c>
      <c r="B27" s="114" t="s">
        <v>115</v>
      </c>
      <c r="C27" s="109" t="str">
        <f>VLOOKUP(Table257552526911122021222360[[#This Row],[PEG]],Table1016[#All],2,FALSE)</f>
        <v>Today &lt;SAP01_SystemDate&gt; I’d like to confirm that you &lt;SAP01_NameFirst&gt; &lt;SAP01_NameLast&gt; are authorizing a payment in the amount of &lt;ivrPmtAmt&gt;
to be processed as an electronic funds transfer, or draft drawn from your account.  Do you agree?</v>
      </c>
      <c r="D27" s="165" t="s">
        <v>304</v>
      </c>
      <c r="E27" s="125" t="str">
        <f>VLOOKUP(Table257552526911122021222360[[#This Row],[PEG]],Table1016[#All],3,FALSE)</f>
        <v>Prompt</v>
      </c>
    </row>
    <row r="28" spans="1:5" x14ac:dyDescent="0.35">
      <c r="A28" s="118">
        <v>21</v>
      </c>
      <c r="B28" s="114" t="s">
        <v>114</v>
      </c>
      <c r="C28" s="109">
        <v>1</v>
      </c>
      <c r="D28" s="165"/>
      <c r="E28" s="125" t="e">
        <f>VLOOKUP(Table257552526911122021222360[[#This Row],[PEG]],Table1016[#All],3,FALSE)</f>
        <v>#N/A</v>
      </c>
    </row>
    <row r="29" spans="1:5" ht="43.5" x14ac:dyDescent="0.35">
      <c r="A29" s="118">
        <v>22</v>
      </c>
      <c r="B29" s="114" t="s">
        <v>115</v>
      </c>
      <c r="C29" s="109" t="str">
        <f>VLOOKUP(Table257552526911122021222360[[#This Row],[PEG]],Table1016[#All],2,FALSE)</f>
        <v>If your payment is returned unpaid, you authorize us or our service provider to collect the payment and your State’s return item fee of &lt;SAP01_NSFAmount&gt; by electronic funds transfer(s) or draft(s) drawn from your account.  Do you agree and authorize the payment?</v>
      </c>
      <c r="D29" s="165" t="s">
        <v>307</v>
      </c>
      <c r="E29" s="125" t="str">
        <f>VLOOKUP(Table257552526911122021222360[[#This Row],[PEG]],Table1016[#All],3,FALSE)</f>
        <v>Prompt</v>
      </c>
    </row>
    <row r="30" spans="1:5" x14ac:dyDescent="0.35">
      <c r="A30" s="118">
        <v>23</v>
      </c>
      <c r="B30" s="114" t="s">
        <v>114</v>
      </c>
      <c r="C30" s="109">
        <v>1</v>
      </c>
      <c r="D30" s="165"/>
      <c r="E30" s="125" t="e">
        <f>VLOOKUP(Table257552526911122021222360[[#This Row],[PEG]],Table1016[#All],3,FALSE)</f>
        <v>#N/A</v>
      </c>
    </row>
    <row r="31" spans="1:5" ht="188.5" x14ac:dyDescent="0.35">
      <c r="A31" s="118">
        <v>24</v>
      </c>
      <c r="B31" s="114" t="s">
        <v>12</v>
      </c>
      <c r="C31" s="109" t="str">
        <f>VLOOKUP(Table257552526911122021222360[[#This Row],[PEG]],Table1016[#All],2,FALSE)</f>
        <v xml:space="preserve">SAP HANA - SAP02_EFTPaymentNotification
inputs: 
Businesspartner = SAP01_Partner 
Insobject = SAP01_Insobject 
BankKey = ivrBankKey 
BankAcct = ivrBankAcct 
Accountholder = ivrAccountHolder 
BankAccountType = ivrBankAccountType 
RecurringBank = ivrRecurringBank  
StoredBank = ivrPmtMethodStored 
PaymentAmount = ivrPmtAmt 
outputs: 
SAP02_ConfirmationNum Payment Confirmation Number (i.e. 300000000105) </v>
      </c>
      <c r="D31" s="165" t="s">
        <v>373</v>
      </c>
      <c r="E31" s="125" t="str">
        <f>VLOOKUP(Table257552526911122021222360[[#This Row],[PEG]],Table1016[#All],3,FALSE)</f>
        <v>DB</v>
      </c>
    </row>
    <row r="32" spans="1:5" s="97" customFormat="1" ht="29" x14ac:dyDescent="0.35">
      <c r="A32" s="118">
        <v>25</v>
      </c>
      <c r="B32" s="114" t="s">
        <v>115</v>
      </c>
      <c r="C32" s="109" t="str">
        <f>VLOOKUP(Table257552526911122021222360[[#This Row],[PEG]],Table1016[#All],2,FALSE)</f>
        <v>Today's payment in the amount of &lt;ivrPmtAmt&gt;, has been processed.  Your confirmation number is &lt;ivrConfirmationNum&gt;. Again, that confirmation number is &lt;ivrConfirmationNum&gt;.</v>
      </c>
      <c r="D32" s="165" t="s">
        <v>340</v>
      </c>
      <c r="E32" s="125" t="str">
        <f>VLOOKUP(Table257552526911122021222360[[#This Row],[PEG]],Table1016[#All],3,FALSE)</f>
        <v>Prompt</v>
      </c>
    </row>
    <row r="33" spans="1:5" s="97" customFormat="1" x14ac:dyDescent="0.35">
      <c r="A33" s="118">
        <v>26</v>
      </c>
      <c r="B33" s="114" t="s">
        <v>115</v>
      </c>
      <c r="C33" s="109" t="str">
        <f>VLOOKUP(Table257552526911122021222360[[#This Row],[PEG]],Table1016[#All],2,FALSE)</f>
        <v>Would you like me to text the confirmation number?</v>
      </c>
      <c r="D33" s="165" t="s">
        <v>341</v>
      </c>
      <c r="E33" s="125" t="str">
        <f>VLOOKUP(Table257552526911122021222360[[#This Row],[PEG]],Table1016[#All],3,FALSE)</f>
        <v>Prompt</v>
      </c>
    </row>
    <row r="34" spans="1:5" s="97" customFormat="1" x14ac:dyDescent="0.35">
      <c r="A34" s="118">
        <v>27</v>
      </c>
      <c r="B34" s="114" t="s">
        <v>114</v>
      </c>
      <c r="C34" s="109">
        <v>2</v>
      </c>
      <c r="D34" s="165"/>
      <c r="E34" s="125" t="e">
        <f>VLOOKUP(Table257552526911122021222360[[#This Row],[PEG]],Table1016[#All],3,FALSE)</f>
        <v>#N/A</v>
      </c>
    </row>
    <row r="35" spans="1:5" ht="29" x14ac:dyDescent="0.35">
      <c r="A35" s="118">
        <v>28</v>
      </c>
      <c r="B35" s="114" t="s">
        <v>115</v>
      </c>
      <c r="C35" s="109" t="str">
        <f>VLOOKUP(Table257552526911122021222360[[#This Row],[PEG]],Table1016[#All],2,FALSE)</f>
        <v>Thank you for your payment today.  For future transactions, you can access your plan details or manage your account anytime online at members.lacare.com.</v>
      </c>
      <c r="D35" s="165" t="s">
        <v>364</v>
      </c>
      <c r="E35" s="125" t="str">
        <f>VLOOKUP(Table257552526911122021222360[[#This Row],[PEG]],Table1016[#All],3,FALSE)</f>
        <v>Prompt</v>
      </c>
    </row>
    <row r="36" spans="1:5" x14ac:dyDescent="0.35">
      <c r="A36" s="118">
        <v>29</v>
      </c>
      <c r="B36" s="114" t="s">
        <v>13</v>
      </c>
      <c r="C36" s="18" t="s">
        <v>13</v>
      </c>
      <c r="D36" s="117"/>
      <c r="E36" s="125" t="e">
        <f>VLOOKUP(Table257552526911122021222360[[#This Row],[PEG]],Table1016[#All],3,FALSE)</f>
        <v>#N/A</v>
      </c>
    </row>
    <row r="37" spans="1:5" x14ac:dyDescent="0.35">
      <c r="C37" s="26"/>
      <c r="D37" s="111" t="s">
        <v>0</v>
      </c>
    </row>
    <row r="38" spans="1:5" x14ac:dyDescent="0.35">
      <c r="C38" s="26"/>
    </row>
    <row r="39" spans="1:5" x14ac:dyDescent="0.35">
      <c r="C39" s="26"/>
    </row>
    <row r="40" spans="1:5" x14ac:dyDescent="0.35">
      <c r="C40" s="26"/>
    </row>
    <row r="41" spans="1:5" x14ac:dyDescent="0.35">
      <c r="C41" s="26"/>
    </row>
    <row r="42" spans="1:5" x14ac:dyDescent="0.35">
      <c r="C42" s="26"/>
    </row>
    <row r="43" spans="1:5" x14ac:dyDescent="0.35">
      <c r="C43" s="26"/>
    </row>
    <row r="44" spans="1:5" x14ac:dyDescent="0.35">
      <c r="C44" s="26"/>
    </row>
    <row r="45" spans="1:5" x14ac:dyDescent="0.35">
      <c r="C45" s="26"/>
    </row>
    <row r="46" spans="1:5" x14ac:dyDescent="0.35">
      <c r="C46" s="26"/>
    </row>
    <row r="47" spans="1:5" x14ac:dyDescent="0.35">
      <c r="C47" s="26"/>
    </row>
    <row r="48" spans="1:5" x14ac:dyDescent="0.35">
      <c r="C48" s="26"/>
    </row>
    <row r="49" spans="3:3" x14ac:dyDescent="0.35">
      <c r="C49" s="26"/>
    </row>
    <row r="50" spans="3:3" x14ac:dyDescent="0.35">
      <c r="C50" s="26"/>
    </row>
    <row r="51" spans="3:3" x14ac:dyDescent="0.35">
      <c r="C51" s="26"/>
    </row>
    <row r="52" spans="3:3" x14ac:dyDescent="0.35">
      <c r="C52" s="27"/>
    </row>
    <row r="53" spans="3:3" x14ac:dyDescent="0.35">
      <c r="C53" s="27"/>
    </row>
    <row r="54" spans="3:3" x14ac:dyDescent="0.35">
      <c r="C54" s="27"/>
    </row>
  </sheetData>
  <mergeCells count="1">
    <mergeCell ref="A1:B1"/>
  </mergeCells>
  <conditionalFormatting sqref="B27:B35">
    <cfRule type="containsText" dxfId="5330" priority="68" operator="containsText" text="Hear">
      <formula>NOT(ISERROR(SEARCH("Hear",B27)))</formula>
    </cfRule>
  </conditionalFormatting>
  <conditionalFormatting sqref="C37:C9993">
    <cfRule type="expression" dxfId="5329" priority="69">
      <formula>$B37="Dial"</formula>
    </cfRule>
    <cfRule type="expression" dxfId="5328" priority="71">
      <formula>$B37="HANGUP"</formula>
    </cfRule>
  </conditionalFormatting>
  <conditionalFormatting sqref="B8:B26">
    <cfRule type="containsText" dxfId="5327" priority="50" operator="containsText" text="Hear">
      <formula>NOT(ISERROR(SEARCH("Hear",B8)))</formula>
    </cfRule>
  </conditionalFormatting>
  <conditionalFormatting sqref="C16">
    <cfRule type="expression" dxfId="5326" priority="35">
      <formula>$B16="Dial"</formula>
    </cfRule>
    <cfRule type="expression" dxfId="5325" priority="37">
      <formula>$B16="HANGUP"</formula>
    </cfRule>
  </conditionalFormatting>
  <conditionalFormatting sqref="C16">
    <cfRule type="expression" dxfId="5324" priority="36">
      <formula>$B16="Speak"</formula>
    </cfRule>
  </conditionalFormatting>
  <conditionalFormatting sqref="C18">
    <cfRule type="expression" dxfId="5323" priority="32">
      <formula>$B18="Dial"</formula>
    </cfRule>
    <cfRule type="expression" dxfId="5322" priority="34">
      <formula>$B18="HANGUP"</formula>
    </cfRule>
  </conditionalFormatting>
  <conditionalFormatting sqref="C18">
    <cfRule type="expression" dxfId="5321" priority="33">
      <formula>$B18="Speak"</formula>
    </cfRule>
  </conditionalFormatting>
  <conditionalFormatting sqref="C22">
    <cfRule type="expression" dxfId="5320" priority="29">
      <formula>$B22="Dial"</formula>
    </cfRule>
    <cfRule type="expression" dxfId="5319" priority="31">
      <formula>$B22="HANGUP"</formula>
    </cfRule>
  </conditionalFormatting>
  <conditionalFormatting sqref="C22">
    <cfRule type="expression" dxfId="5318" priority="30">
      <formula>$B22="Speak"</formula>
    </cfRule>
  </conditionalFormatting>
  <conditionalFormatting sqref="B36">
    <cfRule type="containsText" dxfId="5317" priority="22" operator="containsText" text="Hear">
      <formula>NOT(ISERROR(SEARCH("Hear",B36)))</formula>
    </cfRule>
  </conditionalFormatting>
  <conditionalFormatting sqref="C36">
    <cfRule type="expression" dxfId="5316" priority="23">
      <formula>$B36="Dial"</formula>
    </cfRule>
    <cfRule type="expression" dxfId="5315" priority="25">
      <formula>$B36="HANGUP"</formula>
    </cfRule>
  </conditionalFormatting>
  <conditionalFormatting sqref="C36">
    <cfRule type="expression" dxfId="5314" priority="24">
      <formula>$B36="Speak"</formula>
    </cfRule>
  </conditionalFormatting>
  <conditionalFormatting sqref="C26">
    <cfRule type="expression" dxfId="5313" priority="16">
      <formula>$B26="Dial"</formula>
    </cfRule>
    <cfRule type="expression" dxfId="5312" priority="18">
      <formula>$B26="HANGUP"</formula>
    </cfRule>
  </conditionalFormatting>
  <conditionalFormatting sqref="C26">
    <cfRule type="expression" dxfId="5311" priority="17">
      <formula>$B26="Speak"</formula>
    </cfRule>
  </conditionalFormatting>
  <conditionalFormatting sqref="C28">
    <cfRule type="expression" dxfId="5310" priority="13">
      <formula>$B28="Dial"</formula>
    </cfRule>
    <cfRule type="expression" dxfId="5309" priority="15">
      <formula>$B28="HANGUP"</formula>
    </cfRule>
  </conditionalFormatting>
  <conditionalFormatting sqref="C28">
    <cfRule type="expression" dxfId="5308" priority="14">
      <formula>$B28="Speak"</formula>
    </cfRule>
  </conditionalFormatting>
  <conditionalFormatting sqref="C30">
    <cfRule type="expression" dxfId="5307" priority="10">
      <formula>$B30="Dial"</formula>
    </cfRule>
    <cfRule type="expression" dxfId="5306" priority="12">
      <formula>$B30="HANGUP"</formula>
    </cfRule>
  </conditionalFormatting>
  <conditionalFormatting sqref="C30">
    <cfRule type="expression" dxfId="5305" priority="11">
      <formula>$B30="Speak"</formula>
    </cfRule>
  </conditionalFormatting>
  <conditionalFormatting sqref="C34">
    <cfRule type="expression" dxfId="5304" priority="7">
      <formula>$B34="Dial"</formula>
    </cfRule>
    <cfRule type="expression" dxfId="5303" priority="9">
      <formula>$B34="HANGUP"</formula>
    </cfRule>
  </conditionalFormatting>
  <conditionalFormatting sqref="C34">
    <cfRule type="expression" dxfId="5302" priority="8">
      <formula>$B34="Speak"</formula>
    </cfRule>
  </conditionalFormatting>
  <conditionalFormatting sqref="C24">
    <cfRule type="expression" dxfId="5301" priority="4">
      <formula>$B24="Dial"</formula>
    </cfRule>
    <cfRule type="expression" dxfId="5300" priority="6">
      <formula>$B24="HANGUP"</formula>
    </cfRule>
  </conditionalFormatting>
  <conditionalFormatting sqref="C24">
    <cfRule type="expression" dxfId="5299" priority="5">
      <formula>$B24="Speak"</formula>
    </cfRule>
  </conditionalFormatting>
  <conditionalFormatting sqref="C20">
    <cfRule type="expression" dxfId="5298" priority="1">
      <formula>$B20="Dial"</formula>
    </cfRule>
    <cfRule type="expression" dxfId="5297" priority="3">
      <formula>$B20="HANGUP"</formula>
    </cfRule>
  </conditionalFormatting>
  <conditionalFormatting sqref="C20">
    <cfRule type="expression" dxfId="5296" priority="2">
      <formula>$B20="Speak"</formula>
    </cfRule>
  </conditionalFormatting>
  <hyperlinks>
    <hyperlink ref="A1" location="'Test Case Overview'!A1" display="Return to Test Case Overview" xr:uid="{00000000-0004-0000-1A00-000000000000}"/>
  </hyperlinks>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expression" priority="63" id="{6A3E0817-588B-433F-9281-1922AB301E3E}">
            <xm:f>'TC1'!$B8="Dial"</xm:f>
            <x14:dxf>
              <font>
                <b/>
                <i val="0"/>
                <color rgb="FFFF0000"/>
              </font>
            </x14:dxf>
          </x14:cfRule>
          <x14:cfRule type="expression" priority="65" id="{2C956B88-73B0-45F8-B3AC-9680B6621D5E}">
            <xm:f>'TC1'!$B8="HANGUP"</xm:f>
            <x14:dxf>
              <font>
                <b/>
                <i val="0"/>
              </font>
            </x14:dxf>
          </x14:cfRule>
          <xm:sqref>C8 C10</xm:sqref>
        </x14:conditionalFormatting>
        <x14:conditionalFormatting xmlns:xm="http://schemas.microsoft.com/office/excel/2006/main">
          <x14:cfRule type="expression" priority="64" id="{1563D611-A2B2-4F28-891C-862556A70D7C}">
            <xm:f>'TC1'!$B8="Speak"</xm:f>
            <x14:dxf>
              <font>
                <b/>
                <i val="0"/>
                <color rgb="FFFF0000"/>
              </font>
            </x14:dxf>
          </x14:cfRule>
          <xm:sqref>C8 C10</xm:sqref>
        </x14:conditionalFormatting>
        <x14:conditionalFormatting xmlns:xm="http://schemas.microsoft.com/office/excel/2006/main">
          <x14:cfRule type="expression" priority="867" id="{6A3E0817-588B-433F-9281-1922AB301E3E}">
            <xm:f>'TC1'!$B16="Dial"</xm:f>
            <x14:dxf>
              <font>
                <b/>
                <i val="0"/>
                <color rgb="FFFF0000"/>
              </font>
            </x14:dxf>
          </x14:cfRule>
          <x14:cfRule type="expression" priority="868" id="{2C956B88-73B0-45F8-B3AC-9680B6621D5E}">
            <xm:f>'TC1'!$B16="HANGUP"</xm:f>
            <x14:dxf>
              <font>
                <b/>
                <i val="0"/>
              </font>
            </x14:dxf>
          </x14:cfRule>
          <xm:sqref>C35</xm:sqref>
        </x14:conditionalFormatting>
        <x14:conditionalFormatting xmlns:xm="http://schemas.microsoft.com/office/excel/2006/main">
          <x14:cfRule type="expression" priority="869" id="{6A3E0817-588B-433F-9281-1922AB301E3E}">
            <xm:f>'TC1'!#REF!="Dial"</xm:f>
            <x14:dxf>
              <font>
                <b/>
                <i val="0"/>
                <color rgb="FFFF0000"/>
              </font>
            </x14:dxf>
          </x14:cfRule>
          <x14:cfRule type="expression" priority="870" id="{2C956B88-73B0-45F8-B3AC-9680B6621D5E}">
            <xm:f>'TC1'!#REF!="HANGUP"</xm:f>
            <x14:dxf>
              <font>
                <b/>
                <i val="0"/>
              </font>
            </x14:dxf>
          </x14:cfRule>
          <xm:sqref>C19 C23 C27 C29 C31:C33 C25 C21</xm:sqref>
        </x14:conditionalFormatting>
        <x14:conditionalFormatting xmlns:xm="http://schemas.microsoft.com/office/excel/2006/main">
          <x14:cfRule type="expression" priority="874" id="{1563D611-A2B2-4F28-891C-862556A70D7C}">
            <xm:f>'TC1'!$B16="Speak"</xm:f>
            <x14:dxf>
              <font>
                <b/>
                <i val="0"/>
                <color rgb="FFFF0000"/>
              </font>
            </x14:dxf>
          </x14:cfRule>
          <xm:sqref>C35</xm:sqref>
        </x14:conditionalFormatting>
        <x14:conditionalFormatting xmlns:xm="http://schemas.microsoft.com/office/excel/2006/main">
          <x14:cfRule type="expression" priority="875" id="{1563D611-A2B2-4F28-891C-862556A70D7C}">
            <xm:f>'TC1'!#REF!="Speak"</xm:f>
            <x14:dxf>
              <font>
                <b/>
                <i val="0"/>
                <color rgb="FFFF0000"/>
              </font>
            </x14:dxf>
          </x14:cfRule>
          <xm:sqref>C19 C23 C27 C29 C31:C33 C25 C21</xm:sqref>
        </x14:conditionalFormatting>
        <x14:conditionalFormatting xmlns:xm="http://schemas.microsoft.com/office/excel/2006/main">
          <x14:cfRule type="containsText" priority="879" operator="containsText" text="WEB SERVICE" id="{45315BD4-BAA3-4481-A66A-8A679F45CD98}">
            <xm:f>NOT(ISERROR(SEARCH("WEB SERVICE",'TC1'!E16)))</xm:f>
            <x14:dxf>
              <font>
                <color rgb="FF9C0006"/>
              </font>
              <fill>
                <patternFill>
                  <bgColor rgb="FFFFC7CE"/>
                </patternFill>
              </fill>
            </x14:dxf>
          </x14:cfRule>
          <x14:cfRule type="containsText" priority="880" operator="containsText" text="DB" id="{B4F94E0B-4688-4B5B-AC55-284D1BC02B94}">
            <xm:f>NOT(ISERROR(SEARCH("DB",'TC1'!E16)))</xm:f>
            <x14:dxf>
              <font>
                <color rgb="FF006100"/>
              </font>
              <fill>
                <patternFill>
                  <bgColor rgb="FFC6EFCE"/>
                </patternFill>
              </fill>
            </x14:dxf>
          </x14:cfRule>
          <xm:sqref>E35:E36</xm:sqref>
        </x14:conditionalFormatting>
        <x14:conditionalFormatting xmlns:xm="http://schemas.microsoft.com/office/excel/2006/main">
          <x14:cfRule type="containsText" priority="881" operator="containsText" text="WEB SERVICE" id="{45315BD4-BAA3-4481-A66A-8A679F45CD98}">
            <xm:f>NOT(ISERROR(SEARCH("WEB SERVICE",'TC1'!#REF!)))</xm:f>
            <x14:dxf>
              <font>
                <color rgb="FF9C0006"/>
              </font>
              <fill>
                <patternFill>
                  <bgColor rgb="FFFFC7CE"/>
                </patternFill>
              </fill>
            </x14:dxf>
          </x14:cfRule>
          <x14:cfRule type="containsText" priority="882" operator="containsText" text="DB" id="{B4F94E0B-4688-4B5B-AC55-284D1BC02B94}">
            <xm:f>NOT(ISERROR(SEARCH("DB",'TC1'!#REF!)))</xm:f>
            <x14:dxf>
              <font>
                <color rgb="FF006100"/>
              </font>
              <fill>
                <patternFill>
                  <bgColor rgb="FFC6EFCE"/>
                </patternFill>
              </fill>
            </x14:dxf>
          </x14:cfRule>
          <xm:sqref>E18:E34</xm:sqref>
        </x14:conditionalFormatting>
        <x14:conditionalFormatting xmlns:xm="http://schemas.microsoft.com/office/excel/2006/main">
          <x14:cfRule type="expression" priority="3716" id="{6A3E0817-588B-433F-9281-1922AB301E3E}">
            <xm:f>'TC1'!$B9="Dial"</xm:f>
            <x14:dxf>
              <font>
                <b/>
                <i val="0"/>
                <color rgb="FFFF0000"/>
              </font>
            </x14:dxf>
          </x14:cfRule>
          <x14:cfRule type="expression" priority="3717" id="{2C956B88-73B0-45F8-B3AC-9680B6621D5E}">
            <xm:f>'TC1'!$B9="HANGUP"</xm:f>
            <x14:dxf>
              <font>
                <b/>
                <i val="0"/>
              </font>
            </x14:dxf>
          </x14:cfRule>
          <xm:sqref>C13 C15 C17</xm:sqref>
        </x14:conditionalFormatting>
        <x14:conditionalFormatting xmlns:xm="http://schemas.microsoft.com/office/excel/2006/main">
          <x14:cfRule type="expression" priority="3718" id="{6A3E0817-588B-433F-9281-1922AB301E3E}">
            <xm:f>'TC1'!#REF!="Dial"</xm:f>
            <x14:dxf>
              <font>
                <b/>
                <i val="0"/>
                <color rgb="FFFF0000"/>
              </font>
            </x14:dxf>
          </x14:cfRule>
          <x14:cfRule type="expression" priority="3719" id="{2C956B88-73B0-45F8-B3AC-9680B6621D5E}">
            <xm:f>'TC1'!#REF!="HANGUP"</xm:f>
            <x14:dxf>
              <font>
                <b/>
                <i val="0"/>
              </font>
            </x14:dxf>
          </x14:cfRule>
          <xm:sqref>C9 C12</xm:sqref>
        </x14:conditionalFormatting>
        <x14:conditionalFormatting xmlns:xm="http://schemas.microsoft.com/office/excel/2006/main">
          <x14:cfRule type="expression" priority="3723" id="{1563D611-A2B2-4F28-891C-862556A70D7C}">
            <xm:f>'TC1'!$B9="Speak"</xm:f>
            <x14:dxf>
              <font>
                <b/>
                <i val="0"/>
                <color rgb="FFFF0000"/>
              </font>
            </x14:dxf>
          </x14:cfRule>
          <xm:sqref>C13 C15 C17</xm:sqref>
        </x14:conditionalFormatting>
        <x14:conditionalFormatting xmlns:xm="http://schemas.microsoft.com/office/excel/2006/main">
          <x14:cfRule type="expression" priority="3724" id="{1563D611-A2B2-4F28-891C-862556A70D7C}">
            <xm:f>'TC1'!#REF!="Speak"</xm:f>
            <x14:dxf>
              <font>
                <b/>
                <i val="0"/>
                <color rgb="FFFF0000"/>
              </font>
            </x14:dxf>
          </x14:cfRule>
          <xm:sqref>C9 C12</xm:sqref>
        </x14:conditionalFormatting>
        <x14:conditionalFormatting xmlns:xm="http://schemas.microsoft.com/office/excel/2006/main">
          <x14:cfRule type="containsText" priority="3726" operator="containsText" text="WEB SERVICE" id="{45315BD4-BAA3-4481-A66A-8A679F45CD98}">
            <xm:f>NOT(ISERROR(SEARCH("WEB SERVICE",'TC1'!#REF!)))</xm:f>
            <x14:dxf>
              <font>
                <color rgb="FF9C0006"/>
              </font>
              <fill>
                <patternFill>
                  <bgColor rgb="FFFFC7CE"/>
                </patternFill>
              </fill>
            </x14:dxf>
          </x14:cfRule>
          <x14:cfRule type="containsText" priority="3727" operator="containsText" text="DB" id="{B4F94E0B-4688-4B5B-AC55-284D1BC02B94}">
            <xm:f>NOT(ISERROR(SEARCH("DB",'TC1'!#REF!)))</xm:f>
            <x14:dxf>
              <font>
                <color rgb="FF006100"/>
              </font>
              <fill>
                <patternFill>
                  <bgColor rgb="FFC6EFCE"/>
                </patternFill>
              </fill>
            </x14:dxf>
          </x14:cfRule>
          <xm:sqref>E9:E12</xm:sqref>
        </x14:conditionalFormatting>
        <x14:conditionalFormatting xmlns:xm="http://schemas.microsoft.com/office/excel/2006/main">
          <x14:cfRule type="containsText" priority="3728" operator="containsText" text="WEB SERVICE" id="{45315BD4-BAA3-4481-A66A-8A679F45CD98}">
            <xm:f>NOT(ISERROR(SEARCH("WEB SERVICE",'TC1'!E9)))</xm:f>
            <x14:dxf>
              <font>
                <color rgb="FF9C0006"/>
              </font>
              <fill>
                <patternFill>
                  <bgColor rgb="FFFFC7CE"/>
                </patternFill>
              </fill>
            </x14:dxf>
          </x14:cfRule>
          <x14:cfRule type="containsText" priority="3729" operator="containsText" text="DB" id="{B4F94E0B-4688-4B5B-AC55-284D1BC02B94}">
            <xm:f>NOT(ISERROR(SEARCH("DB",'TC1'!E9)))</xm:f>
            <x14:dxf>
              <font>
                <color rgb="FF006100"/>
              </font>
              <fill>
                <patternFill>
                  <bgColor rgb="FFC6EFCE"/>
                </patternFill>
              </fill>
            </x14:dxf>
          </x14:cfRule>
          <xm:sqref>E13:E16</xm:sqref>
        </x14:conditionalFormatting>
        <x14:conditionalFormatting xmlns:xm="http://schemas.microsoft.com/office/excel/2006/main">
          <x14:cfRule type="containsText" priority="6293" operator="containsText" text="WEB SERVICE" id="{45315BD4-BAA3-4481-A66A-8A679F45CD98}">
            <xm:f>NOT(ISERROR(SEARCH("WEB SERVICE",'TC1'!E15)))</xm:f>
            <x14:dxf>
              <font>
                <color rgb="FF9C0006"/>
              </font>
              <fill>
                <patternFill>
                  <bgColor rgb="FFFFC7CE"/>
                </patternFill>
              </fill>
            </x14:dxf>
          </x14:cfRule>
          <x14:cfRule type="containsText" priority="6294" operator="containsText" text="DB" id="{B4F94E0B-4688-4B5B-AC55-284D1BC02B94}">
            <xm:f>NOT(ISERROR(SEARCH("DB",'TC1'!E15)))</xm:f>
            <x14:dxf>
              <font>
                <color rgb="FF006100"/>
              </font>
              <fill>
                <patternFill>
                  <bgColor rgb="FFC6EFCE"/>
                </patternFill>
              </fill>
            </x14:dxf>
          </x14:cfRule>
          <xm:sqref>E17</xm:sqref>
        </x14:conditionalFormatting>
        <x14:conditionalFormatting xmlns:xm="http://schemas.microsoft.com/office/excel/2006/main">
          <x14:cfRule type="expression" priority="44" id="{216BEF00-5F79-4D4D-944F-74AFA5B21FE5}">
            <xm:f>'TC1'!#REF!="Dial"</xm:f>
            <x14:dxf>
              <font>
                <b/>
                <i val="0"/>
                <color rgb="FFFF0000"/>
              </font>
            </x14:dxf>
          </x14:cfRule>
          <x14:cfRule type="expression" priority="45" id="{5C35DEB7-1857-4551-9999-AA382CE2786F}">
            <xm:f>'TC1'!#REF!="HANGUP"</xm:f>
            <x14:dxf>
              <font>
                <b/>
                <i val="0"/>
              </font>
            </x14:dxf>
          </x14:cfRule>
          <xm:sqref>C14</xm:sqref>
        </x14:conditionalFormatting>
        <x14:conditionalFormatting xmlns:xm="http://schemas.microsoft.com/office/excel/2006/main">
          <x14:cfRule type="expression" priority="46" id="{10ADCC21-1858-4F8A-AD8B-C5EB6E37EC0C}">
            <xm:f>'TC1'!#REF!="Speak"</xm:f>
            <x14:dxf>
              <font>
                <b/>
                <i val="0"/>
                <color rgb="FFFF0000"/>
              </font>
            </x14:dxf>
          </x14:cfRule>
          <xm:sqref>C14</xm:sqref>
        </x14:conditionalFormatting>
        <x14:conditionalFormatting xmlns:xm="http://schemas.microsoft.com/office/excel/2006/main">
          <x14:cfRule type="expression" priority="19" id="{275296BD-C626-46B6-A3B0-7FE477C11AB2}">
            <xm:f>'TC1'!#REF!="Dial"</xm:f>
            <x14:dxf>
              <font>
                <b/>
                <i val="0"/>
                <color rgb="FFFF0000"/>
              </font>
            </x14:dxf>
          </x14:cfRule>
          <x14:cfRule type="expression" priority="20" id="{88B4FE17-DBFD-4E92-B3CA-2DBA5F99262A}">
            <xm:f>'TC1'!#REF!="HANGUP"</xm:f>
            <x14:dxf>
              <font>
                <b/>
                <i val="0"/>
              </font>
            </x14:dxf>
          </x14:cfRule>
          <xm:sqref>C11</xm:sqref>
        </x14:conditionalFormatting>
        <x14:conditionalFormatting xmlns:xm="http://schemas.microsoft.com/office/excel/2006/main">
          <x14:cfRule type="expression" priority="21" id="{EE3B4928-6D7A-4C6A-AF61-6276A025225D}">
            <xm:f>'TC1'!#REF!="Speak"</xm:f>
            <x14:dxf>
              <font>
                <b/>
                <i val="0"/>
                <color rgb="FFFF0000"/>
              </font>
            </x14:dxf>
          </x14:cfRule>
          <xm:sqref>C11</xm:sqref>
        </x14:conditionalFormatting>
      </x14:conditionalFormattings>
    </ext>
  </extLst>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9"/>
  <dimension ref="A1:E36"/>
  <sheetViews>
    <sheetView zoomScaleNormal="100" workbookViewId="0">
      <selection activeCell="C4" sqref="C4"/>
    </sheetView>
  </sheetViews>
  <sheetFormatPr defaultRowHeight="14.5" x14ac:dyDescent="0.35"/>
  <cols>
    <col min="1" max="1" width="14.453125" style="97" bestFit="1" customWidth="1"/>
    <col min="2" max="2" width="42.6328125" style="97" customWidth="1"/>
    <col min="3" max="3" width="106.1796875" style="98" customWidth="1"/>
    <col min="4" max="4" width="21.81640625" style="111" bestFit="1" customWidth="1"/>
    <col min="5" max="5" width="20.6328125" style="97" customWidth="1"/>
  </cols>
  <sheetData>
    <row r="1" spans="1:5" ht="18.5" x14ac:dyDescent="0.35">
      <c r="A1" s="193" t="s">
        <v>4</v>
      </c>
      <c r="B1" s="194"/>
      <c r="C1" s="105"/>
    </row>
    <row r="2" spans="1:5" x14ac:dyDescent="0.35">
      <c r="A2" s="106" t="s">
        <v>5</v>
      </c>
      <c r="B2" s="107" t="str">
        <f ca="1">MID(CELL("filename",A1),FIND("]",CELL("filename",A1))+1,LEN(CELL("filename",A1))-FIND("]",CELL("filename",A1)))</f>
        <v>TC27</v>
      </c>
    </row>
    <row r="3" spans="1:5" x14ac:dyDescent="0.35">
      <c r="A3" s="104" t="s">
        <v>19</v>
      </c>
      <c r="B3" s="112">
        <f ca="1">VLOOKUP(B2,Table53[#All],2,FALSE)</f>
        <v>0</v>
      </c>
    </row>
    <row r="4" spans="1:5" ht="29" x14ac:dyDescent="0.35">
      <c r="A4" s="113" t="s">
        <v>20</v>
      </c>
      <c r="B4" s="99">
        <f ca="1">VLOOKUP(B2,Table53[#All],4,FALSE)</f>
        <v>0</v>
      </c>
    </row>
    <row r="5" spans="1:5" x14ac:dyDescent="0.35">
      <c r="A5" s="104" t="s">
        <v>6</v>
      </c>
      <c r="B5" s="93" t="str">
        <f ca="1">VLOOKUP(B2,Table53[#All],3,FALSE)</f>
        <v>Last Payment Declined - No Pmt</v>
      </c>
    </row>
    <row r="7" spans="1:5" ht="15.5" x14ac:dyDescent="0.35">
      <c r="A7" s="100" t="s">
        <v>7</v>
      </c>
      <c r="B7" s="101" t="s">
        <v>8</v>
      </c>
      <c r="C7" s="102" t="s">
        <v>9</v>
      </c>
      <c r="D7" s="102" t="s">
        <v>14</v>
      </c>
      <c r="E7" s="103" t="s">
        <v>10</v>
      </c>
    </row>
    <row r="8" spans="1:5" x14ac:dyDescent="0.35">
      <c r="A8" s="118">
        <v>1</v>
      </c>
      <c r="B8" s="114" t="s">
        <v>114</v>
      </c>
      <c r="C8" s="109" t="s">
        <v>125</v>
      </c>
      <c r="D8" s="128"/>
      <c r="E8" s="125" t="s">
        <v>11</v>
      </c>
    </row>
    <row r="9" spans="1:5" x14ac:dyDescent="0.35">
      <c r="A9" s="118">
        <v>2</v>
      </c>
      <c r="B9" s="114" t="s">
        <v>115</v>
      </c>
      <c r="C9" s="109" t="str">
        <f>VLOOKUP(Table25755252691112202122236062[[#This Row],[PEG]],Table1016[#All],2,FALSE)</f>
        <v>To get started, tell me your Account Number</v>
      </c>
      <c r="D9" s="141" t="s">
        <v>245</v>
      </c>
      <c r="E9" s="125" t="str">
        <f>VLOOKUP(Table25755252691112202122236062[[#This Row],[PEG]],Table1016[#All],3,FALSE)</f>
        <v>Prompt</v>
      </c>
    </row>
    <row r="10" spans="1:5" x14ac:dyDescent="0.35">
      <c r="A10" s="118">
        <v>3</v>
      </c>
      <c r="B10" s="114" t="s">
        <v>114</v>
      </c>
      <c r="C10" s="109" t="s">
        <v>412</v>
      </c>
      <c r="D10" s="141"/>
      <c r="E10" s="125" t="e">
        <f>VLOOKUP(Table25755252691112202122236062[[#This Row],[PEG]],Table1016[#All],3,FALSE)</f>
        <v>#N/A</v>
      </c>
    </row>
    <row r="11" spans="1:5" ht="174" x14ac:dyDescent="0.35">
      <c r="A11" s="118">
        <v>4</v>
      </c>
      <c r="B11" s="114" t="s">
        <v>12</v>
      </c>
      <c r="C11" s="109" t="str">
        <f>VLOOKUP(Table25755252691112202122236062[[#This Row],[PEG]],Table1016[#All],2,FALSE)</f>
        <v>SAP HANA – SAP01_GetMember
inputs:
idnumber = iIdnumber	T
idtype 	= iIdtype
outputs:
~ Billing Reference
~ Enrollment Details
~ Billing Details
~ Last Payment
~ Recurring Payment Method
~ Stored Payment Method</v>
      </c>
      <c r="D11" s="141" t="s">
        <v>371</v>
      </c>
      <c r="E11" s="125" t="str">
        <f>VLOOKUP(Table25755252691112202122236062[[#This Row],[PEG]],Table1016[#All],3,FALSE)</f>
        <v>DB</v>
      </c>
    </row>
    <row r="12" spans="1:5" x14ac:dyDescent="0.35">
      <c r="A12" s="118">
        <v>5</v>
      </c>
      <c r="B12" s="114" t="s">
        <v>115</v>
      </c>
      <c r="C12" s="109" t="str">
        <f>VLOOKUP(Table25755252691112202122236062[[#This Row],[PEG]],Table1016[#All],2,FALSE)</f>
        <v>Thanks, I found your account!</v>
      </c>
      <c r="D12" s="141" t="s">
        <v>248</v>
      </c>
      <c r="E12" s="125" t="str">
        <f>VLOOKUP(Table25755252691112202122236062[[#This Row],[PEG]],Table1016[#All],3,FALSE)</f>
        <v>Prompt</v>
      </c>
    </row>
    <row r="13" spans="1:5" ht="29" x14ac:dyDescent="0.35">
      <c r="A13" s="118">
        <v>6</v>
      </c>
      <c r="B13" s="114" t="s">
        <v>115</v>
      </c>
      <c r="C13" s="109" t="str">
        <f>VLOOKUP(Table25755252691112202122236062[[#This Row],[PEG]],Table1016[#All],2,FALSE)</f>
        <v>You are already setup for recurring payments in the amount of &lt;SAP01_CurrentDue&gt; to be deducted on the last day of each month.</v>
      </c>
      <c r="D13" s="141" t="s">
        <v>266</v>
      </c>
      <c r="E13" s="125" t="str">
        <f>VLOOKUP(Table25755252691112202122236062[[#This Row],[PEG]],Table1016[#All],3,FALSE)</f>
        <v>Prompt</v>
      </c>
    </row>
    <row r="14" spans="1:5" x14ac:dyDescent="0.35">
      <c r="A14" s="118">
        <v>7</v>
      </c>
      <c r="B14" s="114" t="s">
        <v>115</v>
      </c>
      <c r="C14" s="109" t="str">
        <f>VLOOKUP(Table25755252691112202122236062[[#This Row],[PEG]],Table1016[#All],2,FALSE)</f>
        <v>The last payment of &lt;SAP01_ivrLastPaymentAmount&gt; was declined.</v>
      </c>
      <c r="D14" s="141" t="s">
        <v>267</v>
      </c>
      <c r="E14" s="125" t="str">
        <f>VLOOKUP(Table25755252691112202122236062[[#This Row],[PEG]],Table1016[#All],3,FALSE)</f>
        <v>Prompt</v>
      </c>
    </row>
    <row r="15" spans="1:5" x14ac:dyDescent="0.35">
      <c r="A15" s="118">
        <v>8</v>
      </c>
      <c r="B15" s="114" t="s">
        <v>115</v>
      </c>
      <c r="C15" s="109" t="str">
        <f>VLOOKUP(Table25755252691112202122236062[[#This Row],[PEG]],Table1016[#All],2,FALSE)</f>
        <v>Would you like to make a payment now?</v>
      </c>
      <c r="D15" s="141" t="s">
        <v>268</v>
      </c>
      <c r="E15" s="125" t="str">
        <f>VLOOKUP(Table25755252691112202122236062[[#This Row],[PEG]],Table1016[#All],3,FALSE)</f>
        <v>Prompt</v>
      </c>
    </row>
    <row r="16" spans="1:5" x14ac:dyDescent="0.35">
      <c r="A16" s="118">
        <v>9</v>
      </c>
      <c r="B16" s="114" t="s">
        <v>114</v>
      </c>
      <c r="C16" s="109">
        <v>2</v>
      </c>
      <c r="D16" s="116"/>
      <c r="E16" s="125" t="e">
        <f>VLOOKUP(Table25755252691112202122236062[[#This Row],[PEG]],Table1016[#All],3,FALSE)</f>
        <v>#N/A</v>
      </c>
    </row>
    <row r="17" spans="1:5" ht="29" x14ac:dyDescent="0.35">
      <c r="A17" s="118">
        <v>10</v>
      </c>
      <c r="B17" s="114" t="s">
        <v>115</v>
      </c>
      <c r="C17" s="109" t="str">
        <f>VLOOKUP(Table25755252691112202122236062[[#This Row],[PEG]],Table1016[#All],2,FALSE)</f>
        <v>For future transactions you can also access your plan details, or manage your account online anytime at members.lacare.com.  Thank you for calling.</v>
      </c>
      <c r="D17" s="117" t="s">
        <v>362</v>
      </c>
      <c r="E17" s="125" t="str">
        <f>VLOOKUP(Table25755252691112202122236062[[#This Row],[PEG]],Table1016[#All],3,FALSE)</f>
        <v>Prompt</v>
      </c>
    </row>
    <row r="18" spans="1:5" x14ac:dyDescent="0.35">
      <c r="A18" s="118">
        <v>11</v>
      </c>
      <c r="B18" s="114" t="s">
        <v>13</v>
      </c>
      <c r="C18" s="109" t="s">
        <v>13</v>
      </c>
      <c r="D18" s="117"/>
      <c r="E18" s="125" t="e">
        <f>VLOOKUP(Table25755252691112202122236062[[#This Row],[PEG]],Table1016[#All],3,FALSE)</f>
        <v>#N/A</v>
      </c>
    </row>
    <row r="19" spans="1:5" x14ac:dyDescent="0.35">
      <c r="C19" s="26"/>
      <c r="D19" s="111" t="s">
        <v>0</v>
      </c>
    </row>
    <row r="20" spans="1:5" x14ac:dyDescent="0.35">
      <c r="C20" s="26"/>
    </row>
    <row r="21" spans="1:5" x14ac:dyDescent="0.35">
      <c r="C21" s="26"/>
    </row>
    <row r="22" spans="1:5" x14ac:dyDescent="0.35">
      <c r="C22" s="26"/>
    </row>
    <row r="23" spans="1:5" x14ac:dyDescent="0.35">
      <c r="C23" s="26"/>
    </row>
    <row r="24" spans="1:5" x14ac:dyDescent="0.35">
      <c r="C24" s="26"/>
    </row>
    <row r="25" spans="1:5" x14ac:dyDescent="0.35">
      <c r="C25" s="26"/>
    </row>
    <row r="26" spans="1:5" x14ac:dyDescent="0.35">
      <c r="C26" s="26"/>
    </row>
    <row r="27" spans="1:5" x14ac:dyDescent="0.35">
      <c r="C27" s="26"/>
    </row>
    <row r="28" spans="1:5" x14ac:dyDescent="0.35">
      <c r="C28" s="26"/>
    </row>
    <row r="29" spans="1:5" x14ac:dyDescent="0.35">
      <c r="C29" s="26"/>
    </row>
    <row r="30" spans="1:5" x14ac:dyDescent="0.35">
      <c r="C30" s="26"/>
    </row>
    <row r="31" spans="1:5" x14ac:dyDescent="0.35">
      <c r="C31" s="26"/>
    </row>
    <row r="32" spans="1:5" x14ac:dyDescent="0.35">
      <c r="C32" s="26"/>
    </row>
    <row r="33" spans="3:3" x14ac:dyDescent="0.35">
      <c r="C33" s="26"/>
    </row>
    <row r="34" spans="3:3" x14ac:dyDescent="0.35">
      <c r="C34" s="27"/>
    </row>
    <row r="35" spans="3:3" x14ac:dyDescent="0.35">
      <c r="C35" s="27"/>
    </row>
    <row r="36" spans="3:3" x14ac:dyDescent="0.35">
      <c r="C36" s="27"/>
    </row>
  </sheetData>
  <mergeCells count="1">
    <mergeCell ref="A1:B1"/>
  </mergeCells>
  <conditionalFormatting sqref="C19:C9975">
    <cfRule type="expression" dxfId="5264" priority="40">
      <formula>$B19="Dial"</formula>
    </cfRule>
    <cfRule type="expression" dxfId="5263" priority="42">
      <formula>$B19="HANGUP"</formula>
    </cfRule>
  </conditionalFormatting>
  <conditionalFormatting sqref="B8:B18">
    <cfRule type="containsText" dxfId="5262" priority="13" operator="containsText" text="Hear">
      <formula>NOT(ISERROR(SEARCH("Hear",B8)))</formula>
    </cfRule>
  </conditionalFormatting>
  <conditionalFormatting sqref="C16">
    <cfRule type="expression" dxfId="5261" priority="1">
      <formula>$B16="Dial"</formula>
    </cfRule>
    <cfRule type="expression" dxfId="5260" priority="3">
      <formula>$B16="HANGUP"</formula>
    </cfRule>
  </conditionalFormatting>
  <conditionalFormatting sqref="C16">
    <cfRule type="expression" dxfId="5259" priority="2">
      <formula>$B16="Speak"</formula>
    </cfRule>
  </conditionalFormatting>
  <hyperlinks>
    <hyperlink ref="A1" location="'Test Case Overview'!A1" display="Return to Test Case Overview" xr:uid="{00000000-0004-0000-1B00-000000000000}"/>
  </hyperlinks>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expression" priority="34" id="{365CFE6B-F2D1-4E12-916E-919FFDAEF6DD}">
            <xm:f>'TC1'!$B8="Dial"</xm:f>
            <x14:dxf>
              <font>
                <b/>
                <i val="0"/>
                <color rgb="FFFF0000"/>
              </font>
            </x14:dxf>
          </x14:cfRule>
          <x14:cfRule type="expression" priority="36" id="{A2EED5AC-F80D-4D87-8FBD-9AAFB36C8CE3}">
            <xm:f>'TC1'!$B8="HANGUP"</xm:f>
            <x14:dxf>
              <font>
                <b/>
                <i val="0"/>
              </font>
            </x14:dxf>
          </x14:cfRule>
          <xm:sqref>C8 C10</xm:sqref>
        </x14:conditionalFormatting>
        <x14:conditionalFormatting xmlns:xm="http://schemas.microsoft.com/office/excel/2006/main">
          <x14:cfRule type="expression" priority="35" id="{B89E54AD-CB19-437A-8728-A90A84E41FCF}">
            <xm:f>'TC1'!$B8="Speak"</xm:f>
            <x14:dxf>
              <font>
                <b/>
                <i val="0"/>
                <color rgb="FFFF0000"/>
              </font>
            </x14:dxf>
          </x14:cfRule>
          <xm:sqref>C8 C10</xm:sqref>
        </x14:conditionalFormatting>
        <x14:conditionalFormatting xmlns:xm="http://schemas.microsoft.com/office/excel/2006/main">
          <x14:cfRule type="expression" priority="849" id="{365CFE6B-F2D1-4E12-916E-919FFDAEF6DD}">
            <xm:f>'TC1'!#REF!="Dial"</xm:f>
            <x14:dxf>
              <font>
                <b/>
                <i val="0"/>
                <color rgb="FFFF0000"/>
              </font>
            </x14:dxf>
          </x14:cfRule>
          <x14:cfRule type="expression" priority="850" id="{A2EED5AC-F80D-4D87-8FBD-9AAFB36C8CE3}">
            <xm:f>'TC1'!#REF!="HANGUP"</xm:f>
            <x14:dxf>
              <font>
                <b/>
                <i val="0"/>
              </font>
            </x14:dxf>
          </x14:cfRule>
          <xm:sqref>C17:C18</xm:sqref>
        </x14:conditionalFormatting>
        <x14:conditionalFormatting xmlns:xm="http://schemas.microsoft.com/office/excel/2006/main">
          <x14:cfRule type="expression" priority="852" id="{B89E54AD-CB19-437A-8728-A90A84E41FCF}">
            <xm:f>'TC1'!#REF!="Speak"</xm:f>
            <x14:dxf>
              <font>
                <b/>
                <i val="0"/>
                <color rgb="FFFF0000"/>
              </font>
            </x14:dxf>
          </x14:cfRule>
          <xm:sqref>C17:C18</xm:sqref>
        </x14:conditionalFormatting>
        <x14:conditionalFormatting xmlns:xm="http://schemas.microsoft.com/office/excel/2006/main">
          <x14:cfRule type="containsText" priority="855" operator="containsText" text="WEB SERVICE" id="{40DCF89C-BA9A-434B-BE16-81872318923B}">
            <xm:f>NOT(ISERROR(SEARCH("WEB SERVICE",'TC1'!#REF!)))</xm:f>
            <x14:dxf>
              <font>
                <color rgb="FF9C0006"/>
              </font>
              <fill>
                <patternFill>
                  <bgColor rgb="FFFFC7CE"/>
                </patternFill>
              </fill>
            </x14:dxf>
          </x14:cfRule>
          <x14:cfRule type="containsText" priority="856" operator="containsText" text="DB" id="{8DC27717-14E6-4C13-9D8C-4C9569AF0DF3}">
            <xm:f>NOT(ISERROR(SEARCH("DB",'TC1'!#REF!)))</xm:f>
            <x14:dxf>
              <font>
                <color rgb="FF006100"/>
              </font>
              <fill>
                <patternFill>
                  <bgColor rgb="FFC6EFCE"/>
                </patternFill>
              </fill>
            </x14:dxf>
          </x14:cfRule>
          <xm:sqref>E17:E18</xm:sqref>
        </x14:conditionalFormatting>
        <x14:conditionalFormatting xmlns:xm="http://schemas.microsoft.com/office/excel/2006/main">
          <x14:cfRule type="expression" priority="3696" id="{365CFE6B-F2D1-4E12-916E-919FFDAEF6DD}">
            <xm:f>'TC1'!$B9="Dial"</xm:f>
            <x14:dxf>
              <font>
                <b/>
                <i val="0"/>
                <color rgb="FFFF0000"/>
              </font>
            </x14:dxf>
          </x14:cfRule>
          <x14:cfRule type="expression" priority="3697" id="{A2EED5AC-F80D-4D87-8FBD-9AAFB36C8CE3}">
            <xm:f>'TC1'!$B9="HANGUP"</xm:f>
            <x14:dxf>
              <font>
                <b/>
                <i val="0"/>
              </font>
            </x14:dxf>
          </x14:cfRule>
          <xm:sqref>C12 C14:C15</xm:sqref>
        </x14:conditionalFormatting>
        <x14:conditionalFormatting xmlns:xm="http://schemas.microsoft.com/office/excel/2006/main">
          <x14:cfRule type="expression" priority="3698" id="{365CFE6B-F2D1-4E12-916E-919FFDAEF6DD}">
            <xm:f>'TC1'!#REF!="Dial"</xm:f>
            <x14:dxf>
              <font>
                <b/>
                <i val="0"/>
                <color rgb="FFFF0000"/>
              </font>
            </x14:dxf>
          </x14:cfRule>
          <x14:cfRule type="expression" priority="3699" id="{A2EED5AC-F80D-4D87-8FBD-9AAFB36C8CE3}">
            <xm:f>'TC1'!#REF!="HANGUP"</xm:f>
            <x14:dxf>
              <font>
                <b/>
                <i val="0"/>
              </font>
            </x14:dxf>
          </x14:cfRule>
          <xm:sqref>C9 C11</xm:sqref>
        </x14:conditionalFormatting>
        <x14:conditionalFormatting xmlns:xm="http://schemas.microsoft.com/office/excel/2006/main">
          <x14:cfRule type="expression" priority="3703" id="{B89E54AD-CB19-437A-8728-A90A84E41FCF}">
            <xm:f>'TC1'!$B9="Speak"</xm:f>
            <x14:dxf>
              <font>
                <b/>
                <i val="0"/>
                <color rgb="FFFF0000"/>
              </font>
            </x14:dxf>
          </x14:cfRule>
          <xm:sqref>C12 C14:C15</xm:sqref>
        </x14:conditionalFormatting>
        <x14:conditionalFormatting xmlns:xm="http://schemas.microsoft.com/office/excel/2006/main">
          <x14:cfRule type="expression" priority="3704" id="{B89E54AD-CB19-437A-8728-A90A84E41FCF}">
            <xm:f>'TC1'!#REF!="Speak"</xm:f>
            <x14:dxf>
              <font>
                <b/>
                <i val="0"/>
                <color rgb="FFFF0000"/>
              </font>
            </x14:dxf>
          </x14:cfRule>
          <xm:sqref>C9 C11</xm:sqref>
        </x14:conditionalFormatting>
        <x14:conditionalFormatting xmlns:xm="http://schemas.microsoft.com/office/excel/2006/main">
          <x14:cfRule type="containsText" priority="3706" operator="containsText" text="WEB SERVICE" id="{40DCF89C-BA9A-434B-BE16-81872318923B}">
            <xm:f>NOT(ISERROR(SEARCH("WEB SERVICE",'TC1'!#REF!)))</xm:f>
            <x14:dxf>
              <font>
                <color rgb="FF9C0006"/>
              </font>
              <fill>
                <patternFill>
                  <bgColor rgb="FFFFC7CE"/>
                </patternFill>
              </fill>
            </x14:dxf>
          </x14:cfRule>
          <x14:cfRule type="containsText" priority="3707" operator="containsText" text="DB" id="{8DC27717-14E6-4C13-9D8C-4C9569AF0DF3}">
            <xm:f>NOT(ISERROR(SEARCH("DB",'TC1'!#REF!)))</xm:f>
            <x14:dxf>
              <font>
                <color rgb="FF006100"/>
              </font>
              <fill>
                <patternFill>
                  <bgColor rgb="FFC6EFCE"/>
                </patternFill>
              </fill>
            </x14:dxf>
          </x14:cfRule>
          <xm:sqref>E9:E11</xm:sqref>
        </x14:conditionalFormatting>
        <x14:conditionalFormatting xmlns:xm="http://schemas.microsoft.com/office/excel/2006/main">
          <x14:cfRule type="containsText" priority="3708" operator="containsText" text="WEB SERVICE" id="{40DCF89C-BA9A-434B-BE16-81872318923B}">
            <xm:f>NOT(ISERROR(SEARCH("WEB SERVICE",'TC1'!E9)))</xm:f>
            <x14:dxf>
              <font>
                <color rgb="FF9C0006"/>
              </font>
              <fill>
                <patternFill>
                  <bgColor rgb="FFFFC7CE"/>
                </patternFill>
              </fill>
            </x14:dxf>
          </x14:cfRule>
          <x14:cfRule type="containsText" priority="3709" operator="containsText" text="DB" id="{8DC27717-14E6-4C13-9D8C-4C9569AF0DF3}">
            <xm:f>NOT(ISERROR(SEARCH("DB",'TC1'!E9)))</xm:f>
            <x14:dxf>
              <font>
                <color rgb="FF006100"/>
              </font>
              <fill>
                <patternFill>
                  <bgColor rgb="FFC6EFCE"/>
                </patternFill>
              </fill>
            </x14:dxf>
          </x14:cfRule>
          <xm:sqref>E12:E15</xm:sqref>
        </x14:conditionalFormatting>
        <x14:conditionalFormatting xmlns:xm="http://schemas.microsoft.com/office/excel/2006/main">
          <x14:cfRule type="containsText" priority="6271" operator="containsText" text="WEB SERVICE" id="{40DCF89C-BA9A-434B-BE16-81872318923B}">
            <xm:f>NOT(ISERROR(SEARCH("WEB SERVICE",'TC1'!E15)))</xm:f>
            <x14:dxf>
              <font>
                <color rgb="FF9C0006"/>
              </font>
              <fill>
                <patternFill>
                  <bgColor rgb="FFFFC7CE"/>
                </patternFill>
              </fill>
            </x14:dxf>
          </x14:cfRule>
          <x14:cfRule type="containsText" priority="6272" operator="containsText" text="DB" id="{8DC27717-14E6-4C13-9D8C-4C9569AF0DF3}">
            <xm:f>NOT(ISERROR(SEARCH("DB",'TC1'!E15)))</xm:f>
            <x14:dxf>
              <font>
                <color rgb="FF006100"/>
              </font>
              <fill>
                <patternFill>
                  <bgColor rgb="FFC6EFCE"/>
                </patternFill>
              </fill>
            </x14:dxf>
          </x14:cfRule>
          <xm:sqref>E16</xm:sqref>
        </x14:conditionalFormatting>
        <x14:conditionalFormatting xmlns:xm="http://schemas.microsoft.com/office/excel/2006/main">
          <x14:cfRule type="expression" priority="10" id="{5FD5D6E9-DFDA-4D4A-AF7F-358B819A411B}">
            <xm:f>'TC1'!#REF!="Dial"</xm:f>
            <x14:dxf>
              <font>
                <b/>
                <i val="0"/>
                <color rgb="FFFF0000"/>
              </font>
            </x14:dxf>
          </x14:cfRule>
          <x14:cfRule type="expression" priority="11" id="{FE5D59A8-BCAF-45A6-B6F4-3CDF6F997208}">
            <xm:f>'TC1'!#REF!="HANGUP"</xm:f>
            <x14:dxf>
              <font>
                <b/>
                <i val="0"/>
              </font>
            </x14:dxf>
          </x14:cfRule>
          <xm:sqref>C13</xm:sqref>
        </x14:conditionalFormatting>
        <x14:conditionalFormatting xmlns:xm="http://schemas.microsoft.com/office/excel/2006/main">
          <x14:cfRule type="expression" priority="12" id="{CCB454C9-D9FC-4EDA-9C84-8D7BA33CEE05}">
            <xm:f>'TC1'!#REF!="Speak"</xm:f>
            <x14:dxf>
              <font>
                <b/>
                <i val="0"/>
                <color rgb="FFFF0000"/>
              </font>
            </x14:dxf>
          </x14:cfRule>
          <xm:sqref>C13</xm:sqref>
        </x14:conditionalFormatting>
      </x14:conditionalFormattings>
    </ext>
  </extLst>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30"/>
  <dimension ref="A1:E42"/>
  <sheetViews>
    <sheetView topLeftCell="A4" zoomScaleNormal="100" workbookViewId="0">
      <selection activeCell="D21" sqref="D21"/>
    </sheetView>
  </sheetViews>
  <sheetFormatPr defaultRowHeight="14.5" x14ac:dyDescent="0.35"/>
  <cols>
    <col min="1" max="1" width="14.453125" style="97" bestFit="1" customWidth="1"/>
    <col min="2" max="2" width="42.6328125" style="97" customWidth="1"/>
    <col min="3" max="3" width="106.1796875" style="98" customWidth="1"/>
    <col min="4" max="4" width="21.81640625" style="111" bestFit="1" customWidth="1"/>
    <col min="5" max="5" width="20.6328125" style="97" customWidth="1"/>
  </cols>
  <sheetData>
    <row r="1" spans="1:5" ht="18.5" x14ac:dyDescent="0.35">
      <c r="A1" s="192" t="s">
        <v>4</v>
      </c>
      <c r="B1" s="192"/>
      <c r="C1" s="105"/>
    </row>
    <row r="2" spans="1:5" x14ac:dyDescent="0.35">
      <c r="A2" s="106" t="s">
        <v>5</v>
      </c>
      <c r="B2" s="107" t="str">
        <f ca="1">MID(CELL("filename",A1),FIND("]",CELL("filename",A1))+1,LEN(CELL("filename",A1))-FIND("]",CELL("filename",A1)))</f>
        <v>TC28</v>
      </c>
    </row>
    <row r="3" spans="1:5" x14ac:dyDescent="0.35">
      <c r="A3" s="104" t="s">
        <v>19</v>
      </c>
      <c r="B3" s="112">
        <f ca="1">VLOOKUP(B2,Table53[#All],2,FALSE)</f>
        <v>0</v>
      </c>
    </row>
    <row r="4" spans="1:5" ht="29" x14ac:dyDescent="0.35">
      <c r="A4" s="113" t="s">
        <v>20</v>
      </c>
      <c r="B4" s="99">
        <f ca="1">VLOOKUP(B2,Table53[#All],4,FALSE)</f>
        <v>0</v>
      </c>
    </row>
    <row r="5" spans="1:5" x14ac:dyDescent="0.35">
      <c r="A5" s="104" t="s">
        <v>6</v>
      </c>
      <c r="B5" s="93" t="str">
        <f ca="1">VLOOKUP(B2,Table53[#All],3,FALSE)</f>
        <v>Last Payment Declined No Input x3</v>
      </c>
    </row>
    <row r="7" spans="1:5" ht="15.5" x14ac:dyDescent="0.35">
      <c r="A7" s="100" t="s">
        <v>7</v>
      </c>
      <c r="B7" s="101" t="s">
        <v>8</v>
      </c>
      <c r="C7" s="102" t="s">
        <v>9</v>
      </c>
      <c r="D7" s="102" t="s">
        <v>14</v>
      </c>
      <c r="E7" s="103" t="s">
        <v>10</v>
      </c>
    </row>
    <row r="8" spans="1:5" x14ac:dyDescent="0.35">
      <c r="A8" s="118">
        <v>1</v>
      </c>
      <c r="B8" s="114" t="s">
        <v>114</v>
      </c>
      <c r="C8" s="109" t="s">
        <v>125</v>
      </c>
      <c r="D8" s="128"/>
      <c r="E8" s="125" t="s">
        <v>11</v>
      </c>
    </row>
    <row r="9" spans="1:5" x14ac:dyDescent="0.35">
      <c r="A9" s="118">
        <v>2</v>
      </c>
      <c r="B9" s="114" t="s">
        <v>115</v>
      </c>
      <c r="C9" s="109" t="str">
        <f>VLOOKUP(Table257552526910134344464748495657585963[[#This Row],[PEG]],Table1016[#All],2,FALSE)</f>
        <v>To get started, tell me your Account Number</v>
      </c>
      <c r="D9" s="141" t="s">
        <v>245</v>
      </c>
      <c r="E9" s="125" t="str">
        <f>VLOOKUP(Table257552526910134344464748495657585963[[#This Row],[PEG]],Table1016[#All],3,FALSE)</f>
        <v>Prompt</v>
      </c>
    </row>
    <row r="10" spans="1:5" x14ac:dyDescent="0.35">
      <c r="A10" s="118">
        <v>3</v>
      </c>
      <c r="B10" s="114" t="s">
        <v>114</v>
      </c>
      <c r="C10" s="109" t="s">
        <v>412</v>
      </c>
      <c r="D10" s="141"/>
      <c r="E10" s="125" t="e">
        <f>VLOOKUP(Table257552526910134344464748495657585963[[#This Row],[PEG]],Table1016[#All],3,FALSE)</f>
        <v>#N/A</v>
      </c>
    </row>
    <row r="11" spans="1:5" ht="174" x14ac:dyDescent="0.35">
      <c r="A11" s="118">
        <v>4</v>
      </c>
      <c r="B11" s="114" t="s">
        <v>12</v>
      </c>
      <c r="C11" s="109" t="str">
        <f>VLOOKUP(Table257552526910134344464748495657585963[[#This Row],[PEG]],Table1016[#All],2,FALSE)</f>
        <v>SAP HANA – SAP01_GetMember
inputs:
idnumber = iIdnumber	T
idtype 	= iIdtype
outputs:
~ Billing Reference
~ Enrollment Details
~ Billing Details
~ Last Payment
~ Recurring Payment Method
~ Stored Payment Method</v>
      </c>
      <c r="D11" s="141" t="s">
        <v>371</v>
      </c>
      <c r="E11" s="125" t="str">
        <f>VLOOKUP(Table257552526910134344464748495657585963[[#This Row],[PEG]],Table1016[#All],3,FALSE)</f>
        <v>DB</v>
      </c>
    </row>
    <row r="12" spans="1:5" x14ac:dyDescent="0.35">
      <c r="A12" s="118">
        <v>5</v>
      </c>
      <c r="B12" s="114" t="s">
        <v>115</v>
      </c>
      <c r="C12" s="109" t="str">
        <f>VLOOKUP(Table257552526910134344464748495657585963[[#This Row],[PEG]],Table1016[#All],2,FALSE)</f>
        <v>Thanks, I found your account!</v>
      </c>
      <c r="D12" s="141" t="s">
        <v>248</v>
      </c>
      <c r="E12" s="125" t="str">
        <f>VLOOKUP(Table257552526910134344464748495657585963[[#This Row],[PEG]],Table1016[#All],3,FALSE)</f>
        <v>Prompt</v>
      </c>
    </row>
    <row r="13" spans="1:5" ht="29" x14ac:dyDescent="0.35">
      <c r="A13" s="118">
        <v>6</v>
      </c>
      <c r="B13" s="114" t="s">
        <v>115</v>
      </c>
      <c r="C13" s="109" t="str">
        <f>VLOOKUP(Table257552526910134344464748495657585963[[#This Row],[PEG]],Table1016[#All],2,FALSE)</f>
        <v>You are already setup for recurring payments in the amount of &lt;SAP01_CurrentDue&gt; to be deducted on the last day of each month.</v>
      </c>
      <c r="D13" s="141" t="s">
        <v>266</v>
      </c>
      <c r="E13" s="125" t="str">
        <f>VLOOKUP(Table257552526910134344464748495657585963[[#This Row],[PEG]],Table1016[#All],3,FALSE)</f>
        <v>Prompt</v>
      </c>
    </row>
    <row r="14" spans="1:5" x14ac:dyDescent="0.35">
      <c r="A14" s="118">
        <v>7</v>
      </c>
      <c r="B14" s="114" t="s">
        <v>115</v>
      </c>
      <c r="C14" s="109" t="str">
        <f>VLOOKUP(Table257552526910134344464748495657585963[[#This Row],[PEG]],Table1016[#All],2,FALSE)</f>
        <v>The last payment of &lt;SAP01_ivrLastPaymentAmount&gt; was declined.</v>
      </c>
      <c r="D14" s="141" t="s">
        <v>267</v>
      </c>
      <c r="E14" s="125" t="str">
        <f>VLOOKUP(Table257552526910134344464748495657585963[[#This Row],[PEG]],Table1016[#All],3,FALSE)</f>
        <v>Prompt</v>
      </c>
    </row>
    <row r="15" spans="1:5" x14ac:dyDescent="0.35">
      <c r="A15" s="118">
        <v>8</v>
      </c>
      <c r="B15" s="114" t="s">
        <v>115</v>
      </c>
      <c r="C15" s="109" t="str">
        <f>VLOOKUP(Table257552526910134344464748495657585963[[#This Row],[PEG]],Table1016[#All],2,FALSE)</f>
        <v>Would you like to make a payment now?</v>
      </c>
      <c r="D15" s="141" t="s">
        <v>268</v>
      </c>
      <c r="E15" s="125" t="str">
        <f>VLOOKUP(Table257552526910134344464748495657585963[[#This Row],[PEG]],Table1016[#All],3,FALSE)</f>
        <v>Prompt</v>
      </c>
    </row>
    <row r="16" spans="1:5" x14ac:dyDescent="0.35">
      <c r="A16" s="118">
        <v>9</v>
      </c>
      <c r="B16" s="114" t="s">
        <v>114</v>
      </c>
      <c r="C16" s="109" t="s">
        <v>478</v>
      </c>
      <c r="D16" s="142"/>
      <c r="E16" s="125" t="e">
        <f>VLOOKUP(Table257552526910134344464748495657585963[[#This Row],[PEG]],Table1016[#All],3,FALSE)</f>
        <v>#N/A</v>
      </c>
    </row>
    <row r="17" spans="1:5" x14ac:dyDescent="0.35">
      <c r="A17" s="118">
        <v>10</v>
      </c>
      <c r="B17" s="114" t="s">
        <v>115</v>
      </c>
      <c r="C17" s="109" t="str">
        <f>VLOOKUP(Table257552526910134344464748495657585963[[#This Row],[PEG]],Table1016[#All],2,FALSE)</f>
        <v>I didn’t get that.</v>
      </c>
      <c r="D17" s="143" t="s">
        <v>365</v>
      </c>
      <c r="E17" s="125" t="str">
        <f>VLOOKUP(Table257552526910134344464748495657585963[[#This Row],[PEG]],Table1016[#All],3,FALSE)</f>
        <v>Prompt</v>
      </c>
    </row>
    <row r="18" spans="1:5" x14ac:dyDescent="0.35">
      <c r="A18" s="118">
        <v>11</v>
      </c>
      <c r="B18" s="114" t="s">
        <v>115</v>
      </c>
      <c r="C18" s="109" t="str">
        <f>VLOOKUP(Table257552526910134344464748495657585963[[#This Row],[PEG]],Table1016[#All],2,FALSE)</f>
        <v>If you would like to make a payment, just say yes or no.</v>
      </c>
      <c r="D18" s="143" t="s">
        <v>269</v>
      </c>
      <c r="E18" s="125" t="str">
        <f>VLOOKUP(Table257552526910134344464748495657585963[[#This Row],[PEG]],Table1016[#All],3,FALSE)</f>
        <v>Prompt</v>
      </c>
    </row>
    <row r="19" spans="1:5" x14ac:dyDescent="0.35">
      <c r="A19" s="118">
        <v>12</v>
      </c>
      <c r="B19" s="114" t="s">
        <v>114</v>
      </c>
      <c r="C19" s="109" t="s">
        <v>478</v>
      </c>
      <c r="D19" s="143"/>
      <c r="E19" s="125" t="e">
        <f>VLOOKUP(Table257552526910134344464748495657585963[[#This Row],[PEG]],Table1016[#All],3,FALSE)</f>
        <v>#N/A</v>
      </c>
    </row>
    <row r="20" spans="1:5" x14ac:dyDescent="0.35">
      <c r="A20" s="118">
        <v>13</v>
      </c>
      <c r="B20" s="114" t="s">
        <v>115</v>
      </c>
      <c r="C20" s="109" t="str">
        <f>VLOOKUP(Table257552526910134344464748495657585963[[#This Row],[PEG]],Table1016[#All],2,FALSE)</f>
        <v>I still didn’t get that.</v>
      </c>
      <c r="D20" s="143" t="s">
        <v>366</v>
      </c>
      <c r="E20" s="125" t="str">
        <f>VLOOKUP(Table257552526910134344464748495657585963[[#This Row],[PEG]],Table1016[#All],3,FALSE)</f>
        <v>Prompt</v>
      </c>
    </row>
    <row r="21" spans="1:5" x14ac:dyDescent="0.35">
      <c r="A21" s="118">
        <v>14</v>
      </c>
      <c r="B21" s="114" t="s">
        <v>115</v>
      </c>
      <c r="C21" s="109" t="str">
        <f>VLOOKUP(Table257552526910134344464748495657585963[[#This Row],[PEG]],Table1016[#All],2,FALSE)</f>
        <v>To make a payment say yes or press 1.  Otherwise say no or press 2.</v>
      </c>
      <c r="D21" s="143" t="s">
        <v>270</v>
      </c>
      <c r="E21" s="125" t="str">
        <f>VLOOKUP(Table257552526910134344464748495657585963[[#This Row],[PEG]],Table1016[#All],3,FALSE)</f>
        <v>Prompt</v>
      </c>
    </row>
    <row r="22" spans="1:5" x14ac:dyDescent="0.35">
      <c r="A22" s="118">
        <v>15</v>
      </c>
      <c r="B22" s="114" t="s">
        <v>114</v>
      </c>
      <c r="C22" s="109" t="s">
        <v>478</v>
      </c>
      <c r="D22" s="143"/>
      <c r="E22" s="125" t="e">
        <f>VLOOKUP(Table257552526910134344464748495657585963[[#This Row],[PEG]],Table1016[#All],3,FALSE)</f>
        <v>#N/A</v>
      </c>
    </row>
    <row r="23" spans="1:5" ht="29" x14ac:dyDescent="0.35">
      <c r="A23" s="118">
        <v>16</v>
      </c>
      <c r="B23" s="114" t="s">
        <v>115</v>
      </c>
      <c r="C23" s="109" t="str">
        <f>VLOOKUP(Table257552526910134344464748495657585963[[#This Row],[PEG]],Table1016[#All],2,FALSE)</f>
        <v>It seems you are having trouble. For future transactions you can also access your plan details, or manage your account online anytime at members.lacare.com. One moment while I get someone to help. Make sure to have your invoice available.</v>
      </c>
      <c r="D23" s="143" t="s">
        <v>361</v>
      </c>
      <c r="E23" s="125" t="str">
        <f>VLOOKUP(Table257552526910134344464748495657585963[[#This Row],[PEG]],Table1016[#All],3,FALSE)</f>
        <v>Prompt</v>
      </c>
    </row>
    <row r="24" spans="1:5" x14ac:dyDescent="0.35">
      <c r="A24" s="118">
        <v>17</v>
      </c>
      <c r="B24" s="114" t="s">
        <v>13</v>
      </c>
      <c r="C24" s="109" t="s">
        <v>13</v>
      </c>
      <c r="D24" s="143"/>
      <c r="E24" s="125" t="e">
        <f>VLOOKUP(Table257552526910134344464748495657585963[[#This Row],[PEG]],Table1016[#All],3,FALSE)</f>
        <v>#N/A</v>
      </c>
    </row>
    <row r="25" spans="1:5" x14ac:dyDescent="0.35">
      <c r="C25" s="26"/>
      <c r="D25" s="111" t="s">
        <v>0</v>
      </c>
    </row>
    <row r="26" spans="1:5" x14ac:dyDescent="0.35">
      <c r="C26" s="26"/>
    </row>
    <row r="27" spans="1:5" x14ac:dyDescent="0.35">
      <c r="C27" s="26"/>
    </row>
    <row r="28" spans="1:5" x14ac:dyDescent="0.35">
      <c r="C28" s="26"/>
    </row>
    <row r="29" spans="1:5" x14ac:dyDescent="0.35">
      <c r="C29" s="26"/>
    </row>
    <row r="30" spans="1:5" x14ac:dyDescent="0.35">
      <c r="C30" s="26"/>
    </row>
    <row r="31" spans="1:5" x14ac:dyDescent="0.35">
      <c r="C31" s="26"/>
    </row>
    <row r="32" spans="1:5" x14ac:dyDescent="0.35">
      <c r="C32" s="26"/>
    </row>
    <row r="33" spans="3:3" x14ac:dyDescent="0.35">
      <c r="C33" s="26"/>
    </row>
    <row r="34" spans="3:3" x14ac:dyDescent="0.35">
      <c r="C34" s="26"/>
    </row>
    <row r="35" spans="3:3" x14ac:dyDescent="0.35">
      <c r="C35" s="26"/>
    </row>
    <row r="36" spans="3:3" x14ac:dyDescent="0.35">
      <c r="C36" s="26"/>
    </row>
    <row r="37" spans="3:3" x14ac:dyDescent="0.35">
      <c r="C37" s="26"/>
    </row>
    <row r="38" spans="3:3" x14ac:dyDescent="0.35">
      <c r="C38" s="26"/>
    </row>
    <row r="39" spans="3:3" x14ac:dyDescent="0.35">
      <c r="C39" s="26"/>
    </row>
    <row r="40" spans="3:3" x14ac:dyDescent="0.35">
      <c r="C40" s="27"/>
    </row>
    <row r="41" spans="3:3" x14ac:dyDescent="0.35">
      <c r="C41" s="27"/>
    </row>
    <row r="42" spans="3:3" x14ac:dyDescent="0.35">
      <c r="C42" s="27"/>
    </row>
  </sheetData>
  <mergeCells count="1">
    <mergeCell ref="A1:B1"/>
  </mergeCells>
  <conditionalFormatting sqref="B21:B24">
    <cfRule type="containsText" dxfId="5235" priority="77" operator="containsText" text="Hear">
      <formula>NOT(ISERROR(SEARCH("Hear",B21)))</formula>
    </cfRule>
  </conditionalFormatting>
  <conditionalFormatting sqref="C25:C9981">
    <cfRule type="expression" dxfId="5234" priority="78">
      <formula>$B25="Dial"</formula>
    </cfRule>
    <cfRule type="expression" dxfId="5233" priority="80">
      <formula>$B25="HANGUP"</formula>
    </cfRule>
  </conditionalFormatting>
  <conditionalFormatting sqref="B8:B20">
    <cfRule type="containsText" dxfId="5232" priority="16" operator="containsText" text="Hear">
      <formula>NOT(ISERROR(SEARCH("Hear",B8)))</formula>
    </cfRule>
  </conditionalFormatting>
  <conditionalFormatting sqref="C10">
    <cfRule type="expression" dxfId="5231" priority="13">
      <formula>$B10="Dial"</formula>
    </cfRule>
    <cfRule type="expression" dxfId="5230" priority="15">
      <formula>$B10="HANGUP"</formula>
    </cfRule>
  </conditionalFormatting>
  <conditionalFormatting sqref="C10">
    <cfRule type="expression" dxfId="5229" priority="14">
      <formula>$B10="Speak"</formula>
    </cfRule>
  </conditionalFormatting>
  <conditionalFormatting sqref="C16">
    <cfRule type="expression" dxfId="5228" priority="7">
      <formula>$B16="Dial"</formula>
    </cfRule>
    <cfRule type="expression" dxfId="5227" priority="9">
      <formula>$B16="HANGUP"</formula>
    </cfRule>
  </conditionalFormatting>
  <conditionalFormatting sqref="C16">
    <cfRule type="expression" dxfId="5226" priority="8">
      <formula>$B16="Speak"</formula>
    </cfRule>
  </conditionalFormatting>
  <conditionalFormatting sqref="C19">
    <cfRule type="expression" dxfId="5225" priority="4">
      <formula>$B19="Dial"</formula>
    </cfRule>
    <cfRule type="expression" dxfId="5224" priority="6">
      <formula>$B19="HANGUP"</formula>
    </cfRule>
  </conditionalFormatting>
  <conditionalFormatting sqref="C19">
    <cfRule type="expression" dxfId="5223" priority="5">
      <formula>$B19="Speak"</formula>
    </cfRule>
  </conditionalFormatting>
  <conditionalFormatting sqref="C22">
    <cfRule type="expression" dxfId="5222" priority="1">
      <formula>$B22="Dial"</formula>
    </cfRule>
    <cfRule type="expression" dxfId="5221" priority="3">
      <formula>$B22="HANGUP"</formula>
    </cfRule>
  </conditionalFormatting>
  <conditionalFormatting sqref="C22">
    <cfRule type="expression" dxfId="5220" priority="2">
      <formula>$B22="Speak"</formula>
    </cfRule>
  </conditionalFormatting>
  <hyperlinks>
    <hyperlink ref="A1" location="'Test Case Overview'!A1" display="Return to Test Case Overview" xr:uid="{00000000-0004-0000-1C00-000000000000}"/>
  </hyperlinks>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expression" priority="72" id="{F99010D4-D4A7-4521-8B22-4A1C873F1CC4}">
            <xm:f>'TC1'!$B8="Dial"</xm:f>
            <x14:dxf>
              <font>
                <b/>
                <i val="0"/>
                <color rgb="FFFF0000"/>
              </font>
            </x14:dxf>
          </x14:cfRule>
          <x14:cfRule type="expression" priority="74" id="{8488E80E-4763-4FFA-827D-ADF8B309387C}">
            <xm:f>'TC1'!$B8="HANGUP"</xm:f>
            <x14:dxf>
              <font>
                <b/>
                <i val="0"/>
              </font>
            </x14:dxf>
          </x14:cfRule>
          <xm:sqref>C8</xm:sqref>
        </x14:conditionalFormatting>
        <x14:conditionalFormatting xmlns:xm="http://schemas.microsoft.com/office/excel/2006/main">
          <x14:cfRule type="expression" priority="73" id="{929AE745-2F6F-4434-833C-2ED86F169A42}">
            <xm:f>'TC1'!$B8="Speak"</xm:f>
            <x14:dxf>
              <font>
                <b/>
                <i val="0"/>
                <color rgb="FFFF0000"/>
              </font>
            </x14:dxf>
          </x14:cfRule>
          <xm:sqref>C8</xm:sqref>
        </x14:conditionalFormatting>
        <x14:conditionalFormatting xmlns:xm="http://schemas.microsoft.com/office/excel/2006/main">
          <x14:cfRule type="expression" priority="866" id="{F99010D4-D4A7-4521-8B22-4A1C873F1CC4}">
            <xm:f>'TC1'!#REF!="Dial"</xm:f>
            <x14:dxf>
              <font>
                <b/>
                <i val="0"/>
                <color rgb="FFFF0000"/>
              </font>
            </x14:dxf>
          </x14:cfRule>
          <x14:cfRule type="expression" priority="867" id="{8488E80E-4763-4FFA-827D-ADF8B309387C}">
            <xm:f>'TC1'!#REF!="HANGUP"</xm:f>
            <x14:dxf>
              <font>
                <b/>
                <i val="0"/>
              </font>
            </x14:dxf>
          </x14:cfRule>
          <xm:sqref>C17:C18 C20:C21 C23:C24</xm:sqref>
        </x14:conditionalFormatting>
        <x14:conditionalFormatting xmlns:xm="http://schemas.microsoft.com/office/excel/2006/main">
          <x14:cfRule type="expression" priority="872" id="{929AE745-2F6F-4434-833C-2ED86F169A42}">
            <xm:f>'TC1'!#REF!="Speak"</xm:f>
            <x14:dxf>
              <font>
                <b/>
                <i val="0"/>
                <color rgb="FFFF0000"/>
              </font>
            </x14:dxf>
          </x14:cfRule>
          <xm:sqref>C17:C18 C20:C21 C23:C24</xm:sqref>
        </x14:conditionalFormatting>
        <x14:conditionalFormatting xmlns:xm="http://schemas.microsoft.com/office/excel/2006/main">
          <x14:cfRule type="containsText" priority="878" operator="containsText" text="WEB SERVICE" id="{C468DD53-7201-4AF6-8C9B-74E3A4CA6B5B}">
            <xm:f>NOT(ISERROR(SEARCH("WEB SERVICE",'TC1'!#REF!)))</xm:f>
            <x14:dxf>
              <font>
                <color rgb="FF9C0006"/>
              </font>
              <fill>
                <patternFill>
                  <bgColor rgb="FFFFC7CE"/>
                </patternFill>
              </fill>
            </x14:dxf>
          </x14:cfRule>
          <x14:cfRule type="containsText" priority="879" operator="containsText" text="DB" id="{77958F25-1FC0-4544-95D1-CBF15B01B00E}">
            <xm:f>NOT(ISERROR(SEARCH("DB",'TC1'!#REF!)))</xm:f>
            <x14:dxf>
              <font>
                <color rgb="FF006100"/>
              </font>
              <fill>
                <patternFill>
                  <bgColor rgb="FFC6EFCE"/>
                </patternFill>
              </fill>
            </x14:dxf>
          </x14:cfRule>
          <xm:sqref>E17:E24</xm:sqref>
        </x14:conditionalFormatting>
        <x14:conditionalFormatting xmlns:xm="http://schemas.microsoft.com/office/excel/2006/main">
          <x14:cfRule type="expression" priority="3717" id="{F99010D4-D4A7-4521-8B22-4A1C873F1CC4}">
            <xm:f>'TC1'!$B9="Dial"</xm:f>
            <x14:dxf>
              <font>
                <b/>
                <i val="0"/>
                <color rgb="FFFF0000"/>
              </font>
            </x14:dxf>
          </x14:cfRule>
          <x14:cfRule type="expression" priority="3718" id="{8488E80E-4763-4FFA-827D-ADF8B309387C}">
            <xm:f>'TC1'!$B9="HANGUP"</xm:f>
            <x14:dxf>
              <font>
                <b/>
                <i val="0"/>
              </font>
            </x14:dxf>
          </x14:cfRule>
          <xm:sqref>C12 C14:C15</xm:sqref>
        </x14:conditionalFormatting>
        <x14:conditionalFormatting xmlns:xm="http://schemas.microsoft.com/office/excel/2006/main">
          <x14:cfRule type="expression" priority="3719" id="{F99010D4-D4A7-4521-8B22-4A1C873F1CC4}">
            <xm:f>'TC1'!#REF!="Dial"</xm:f>
            <x14:dxf>
              <font>
                <b/>
                <i val="0"/>
                <color rgb="FFFF0000"/>
              </font>
            </x14:dxf>
          </x14:cfRule>
          <x14:cfRule type="expression" priority="3720" id="{8488E80E-4763-4FFA-827D-ADF8B309387C}">
            <xm:f>'TC1'!#REF!="HANGUP"</xm:f>
            <x14:dxf>
              <font>
                <b/>
                <i val="0"/>
              </font>
            </x14:dxf>
          </x14:cfRule>
          <xm:sqref>C9 C11</xm:sqref>
        </x14:conditionalFormatting>
        <x14:conditionalFormatting xmlns:xm="http://schemas.microsoft.com/office/excel/2006/main">
          <x14:cfRule type="expression" priority="3724" id="{929AE745-2F6F-4434-833C-2ED86F169A42}">
            <xm:f>'TC1'!$B9="Speak"</xm:f>
            <x14:dxf>
              <font>
                <b/>
                <i val="0"/>
                <color rgb="FFFF0000"/>
              </font>
            </x14:dxf>
          </x14:cfRule>
          <xm:sqref>C12 C14:C15</xm:sqref>
        </x14:conditionalFormatting>
        <x14:conditionalFormatting xmlns:xm="http://schemas.microsoft.com/office/excel/2006/main">
          <x14:cfRule type="expression" priority="3725" id="{929AE745-2F6F-4434-833C-2ED86F169A42}">
            <xm:f>'TC1'!#REF!="Speak"</xm:f>
            <x14:dxf>
              <font>
                <b/>
                <i val="0"/>
                <color rgb="FFFF0000"/>
              </font>
            </x14:dxf>
          </x14:cfRule>
          <xm:sqref>C9 C11</xm:sqref>
        </x14:conditionalFormatting>
        <x14:conditionalFormatting xmlns:xm="http://schemas.microsoft.com/office/excel/2006/main">
          <x14:cfRule type="containsText" priority="3727" operator="containsText" text="WEB SERVICE" id="{C468DD53-7201-4AF6-8C9B-74E3A4CA6B5B}">
            <xm:f>NOT(ISERROR(SEARCH("WEB SERVICE",'TC1'!#REF!)))</xm:f>
            <x14:dxf>
              <font>
                <color rgb="FF9C0006"/>
              </font>
              <fill>
                <patternFill>
                  <bgColor rgb="FFFFC7CE"/>
                </patternFill>
              </fill>
            </x14:dxf>
          </x14:cfRule>
          <x14:cfRule type="containsText" priority="3728" operator="containsText" text="DB" id="{77958F25-1FC0-4544-95D1-CBF15B01B00E}">
            <xm:f>NOT(ISERROR(SEARCH("DB",'TC1'!#REF!)))</xm:f>
            <x14:dxf>
              <font>
                <color rgb="FF006100"/>
              </font>
              <fill>
                <patternFill>
                  <bgColor rgb="FFC6EFCE"/>
                </patternFill>
              </fill>
            </x14:dxf>
          </x14:cfRule>
          <xm:sqref>E9:E11</xm:sqref>
        </x14:conditionalFormatting>
        <x14:conditionalFormatting xmlns:xm="http://schemas.microsoft.com/office/excel/2006/main">
          <x14:cfRule type="containsText" priority="3729" operator="containsText" text="WEB SERVICE" id="{C468DD53-7201-4AF6-8C9B-74E3A4CA6B5B}">
            <xm:f>NOT(ISERROR(SEARCH("WEB SERVICE",'TC1'!E9)))</xm:f>
            <x14:dxf>
              <font>
                <color rgb="FF9C0006"/>
              </font>
              <fill>
                <patternFill>
                  <bgColor rgb="FFFFC7CE"/>
                </patternFill>
              </fill>
            </x14:dxf>
          </x14:cfRule>
          <x14:cfRule type="containsText" priority="3730" operator="containsText" text="DB" id="{77958F25-1FC0-4544-95D1-CBF15B01B00E}">
            <xm:f>NOT(ISERROR(SEARCH("DB",'TC1'!E9)))</xm:f>
            <x14:dxf>
              <font>
                <color rgb="FF006100"/>
              </font>
              <fill>
                <patternFill>
                  <bgColor rgb="FFC6EFCE"/>
                </patternFill>
              </fill>
            </x14:dxf>
          </x14:cfRule>
          <xm:sqref>E12:E15</xm:sqref>
        </x14:conditionalFormatting>
        <x14:conditionalFormatting xmlns:xm="http://schemas.microsoft.com/office/excel/2006/main">
          <x14:cfRule type="containsText" priority="6289" operator="containsText" text="WEB SERVICE" id="{C468DD53-7201-4AF6-8C9B-74E3A4CA6B5B}">
            <xm:f>NOT(ISERROR(SEARCH("WEB SERVICE",'TC1'!E15)))</xm:f>
            <x14:dxf>
              <font>
                <color rgb="FF9C0006"/>
              </font>
              <fill>
                <patternFill>
                  <bgColor rgb="FFFFC7CE"/>
                </patternFill>
              </fill>
            </x14:dxf>
          </x14:cfRule>
          <x14:cfRule type="containsText" priority="6290" operator="containsText" text="DB" id="{77958F25-1FC0-4544-95D1-CBF15B01B00E}">
            <xm:f>NOT(ISERROR(SEARCH("DB",'TC1'!E15)))</xm:f>
            <x14:dxf>
              <font>
                <color rgb="FF006100"/>
              </font>
              <fill>
                <patternFill>
                  <bgColor rgb="FFC6EFCE"/>
                </patternFill>
              </fill>
            </x14:dxf>
          </x14:cfRule>
          <xm:sqref>E16</xm:sqref>
        </x14:conditionalFormatting>
        <x14:conditionalFormatting xmlns:xm="http://schemas.microsoft.com/office/excel/2006/main">
          <x14:cfRule type="expression" priority="10" id="{A1C23A92-89FA-4579-A1B6-413ACED5429F}">
            <xm:f>'TC1'!#REF!="Dial"</xm:f>
            <x14:dxf>
              <font>
                <b/>
                <i val="0"/>
                <color rgb="FFFF0000"/>
              </font>
            </x14:dxf>
          </x14:cfRule>
          <x14:cfRule type="expression" priority="11" id="{58094F34-0F33-4677-8010-9F4D1BB721B0}">
            <xm:f>'TC1'!#REF!="HANGUP"</xm:f>
            <x14:dxf>
              <font>
                <b/>
                <i val="0"/>
              </font>
            </x14:dxf>
          </x14:cfRule>
          <xm:sqref>C13</xm:sqref>
        </x14:conditionalFormatting>
        <x14:conditionalFormatting xmlns:xm="http://schemas.microsoft.com/office/excel/2006/main">
          <x14:cfRule type="expression" priority="12" id="{4F69206C-2971-47DB-80C7-E17E51AEC045}">
            <xm:f>'TC1'!#REF!="Speak"</xm:f>
            <x14:dxf>
              <font>
                <b/>
                <i val="0"/>
                <color rgb="FFFF0000"/>
              </font>
            </x14:dxf>
          </x14:cfRule>
          <xm:sqref>C13</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E39"/>
  <sheetViews>
    <sheetView topLeftCell="A12" zoomScaleNormal="100" workbookViewId="0">
      <selection activeCell="C21" sqref="C21"/>
    </sheetView>
  </sheetViews>
  <sheetFormatPr defaultRowHeight="14.5" x14ac:dyDescent="0.35"/>
  <cols>
    <col min="1" max="1" width="14.453125" style="97" bestFit="1" customWidth="1"/>
    <col min="2" max="2" width="42.6328125" style="97" customWidth="1"/>
    <col min="3" max="3" width="106.1796875" style="98" customWidth="1"/>
    <col min="4" max="4" width="21.81640625" style="111" bestFit="1" customWidth="1"/>
    <col min="5" max="5" width="20.6328125" style="97" customWidth="1"/>
  </cols>
  <sheetData>
    <row r="1" spans="1:5" ht="18.5" x14ac:dyDescent="0.35">
      <c r="A1" s="192" t="s">
        <v>4</v>
      </c>
      <c r="B1" s="192"/>
      <c r="C1" s="105"/>
    </row>
    <row r="2" spans="1:5" x14ac:dyDescent="0.35">
      <c r="A2" s="106" t="s">
        <v>5</v>
      </c>
      <c r="B2" s="107" t="str">
        <f ca="1">MID(CELL("filename",A1),FIND("]",CELL("filename",A1))+1,LEN(CELL("filename",A1))-FIND("]",CELL("filename",A1)))</f>
        <v>TC2</v>
      </c>
    </row>
    <row r="3" spans="1:5" x14ac:dyDescent="0.35">
      <c r="A3" s="104" t="s">
        <v>19</v>
      </c>
      <c r="B3" s="112">
        <f ca="1">VLOOKUP(B2,Table1[#All],2,FALSE)</f>
        <v>0</v>
      </c>
    </row>
    <row r="4" spans="1:5" ht="29" x14ac:dyDescent="0.35">
      <c r="A4" s="113" t="s">
        <v>20</v>
      </c>
      <c r="B4" s="99">
        <f ca="1">VLOOKUP(B2,Table1[#All],4,FALSE)</f>
        <v>0</v>
      </c>
    </row>
    <row r="5" spans="1:5" x14ac:dyDescent="0.35">
      <c r="A5" s="104" t="s">
        <v>6</v>
      </c>
      <c r="B5" s="93" t="str">
        <f ca="1">VLOOKUP(B2,Table1[#All],3,FALSE)</f>
        <v>Account Number No Match x3</v>
      </c>
    </row>
    <row r="7" spans="1:5" ht="15.5" x14ac:dyDescent="0.35">
      <c r="A7" s="100" t="s">
        <v>7</v>
      </c>
      <c r="B7" s="101" t="s">
        <v>8</v>
      </c>
      <c r="C7" s="102" t="s">
        <v>9</v>
      </c>
      <c r="D7" s="102" t="s">
        <v>14</v>
      </c>
      <c r="E7" s="103" t="s">
        <v>10</v>
      </c>
    </row>
    <row r="8" spans="1:5" s="97" customFormat="1" x14ac:dyDescent="0.35">
      <c r="A8" s="118">
        <v>1</v>
      </c>
      <c r="B8" s="114" t="s">
        <v>114</v>
      </c>
      <c r="C8" s="127" t="s">
        <v>240</v>
      </c>
      <c r="D8" s="128"/>
      <c r="E8" s="125" t="s">
        <v>11</v>
      </c>
    </row>
    <row r="9" spans="1:5" s="97" customFormat="1" x14ac:dyDescent="0.35">
      <c r="A9" s="118">
        <v>2</v>
      </c>
      <c r="B9" s="114" t="s">
        <v>115</v>
      </c>
      <c r="C9" s="109" t="str">
        <f>VLOOKUP(Table25755252670[[#This Row],[PEG]],Table1016[#All],2,FALSE)</f>
        <v>To get started, tell me your Account Number</v>
      </c>
      <c r="D9" s="129" t="s">
        <v>245</v>
      </c>
      <c r="E9" s="125" t="str">
        <f>VLOOKUP(Table25755252670[[#This Row],[PEG]],Table1016[#All],3,FALSE)</f>
        <v>Prompt</v>
      </c>
    </row>
    <row r="10" spans="1:5" s="97" customFormat="1" x14ac:dyDescent="0.35">
      <c r="A10" s="118">
        <v>3</v>
      </c>
      <c r="B10" s="114" t="s">
        <v>124</v>
      </c>
      <c r="C10" s="109" t="s">
        <v>387</v>
      </c>
      <c r="D10" s="129"/>
      <c r="E10" s="125" t="e">
        <f>VLOOKUP(Table25755252670[[#This Row],[PEG]],Table1016[#All],3,FALSE)</f>
        <v>#N/A</v>
      </c>
    </row>
    <row r="11" spans="1:5" s="97" customFormat="1" ht="174" x14ac:dyDescent="0.35">
      <c r="A11" s="118">
        <v>4</v>
      </c>
      <c r="B11" s="114" t="s">
        <v>12</v>
      </c>
      <c r="C11" s="109" t="str">
        <f>VLOOKUP(Table25755252670[[#This Row],[PEG]],Table1016[],2,FALSE)</f>
        <v>SAP HANA – SAP01_GetMember
inputs:
idnumber = iIdnumber	T
idtype 	= iIdtype
outputs:
~ Billing Reference
~ Enrollment Details
~ Billing Details
~ Last Payment
~ Recurring Payment Method
~ Stored Payment Method</v>
      </c>
      <c r="D11" s="129" t="s">
        <v>371</v>
      </c>
      <c r="E11" s="125"/>
    </row>
    <row r="12" spans="1:5" s="97" customFormat="1" x14ac:dyDescent="0.35">
      <c r="A12" s="118">
        <v>5</v>
      </c>
      <c r="B12" s="114" t="s">
        <v>115</v>
      </c>
      <c r="C12" s="109" t="str">
        <f>VLOOKUP(Table25755252670[[#This Row],[PEG]],Table1016[#All],2,FALSE)</f>
        <v>Sorry, I didn’t understand.</v>
      </c>
      <c r="D12" s="129" t="s">
        <v>367</v>
      </c>
      <c r="E12" s="125" t="str">
        <f>VLOOKUP(Table25755252670[[#This Row],[PEG]],Table1016[#All],3,FALSE)</f>
        <v>Prompt</v>
      </c>
    </row>
    <row r="13" spans="1:5" x14ac:dyDescent="0.35">
      <c r="A13" s="118">
        <v>6</v>
      </c>
      <c r="B13" s="114" t="s">
        <v>115</v>
      </c>
      <c r="C13" s="109" t="str">
        <f>VLOOKUP(Table25755252670[[#This Row],[PEG]],Table1016[#All],2,FALSE)</f>
        <v>Just tell me your account number.</v>
      </c>
      <c r="D13" s="129" t="s">
        <v>246</v>
      </c>
      <c r="E13" s="125" t="str">
        <f>VLOOKUP(Table25755252670[[#This Row],[PEG]],Table1016[#All],3,FALSE)</f>
        <v>Prompt</v>
      </c>
    </row>
    <row r="14" spans="1:5" x14ac:dyDescent="0.35">
      <c r="A14" s="118">
        <v>7</v>
      </c>
      <c r="B14" s="114" t="s">
        <v>124</v>
      </c>
      <c r="C14" s="109" t="s">
        <v>387</v>
      </c>
      <c r="D14" s="129"/>
      <c r="E14" s="125" t="e">
        <f>VLOOKUP(Table25755252670[[#This Row],[PEG]],Table1016[#All],3,FALSE)</f>
        <v>#N/A</v>
      </c>
    </row>
    <row r="15" spans="1:5" s="97" customFormat="1" ht="174" x14ac:dyDescent="0.35">
      <c r="A15" s="118">
        <v>8</v>
      </c>
      <c r="B15" s="114" t="s">
        <v>12</v>
      </c>
      <c r="C15" s="109" t="str">
        <f>VLOOKUP(Table25755252670[[#This Row],[PEG]],Table1016[],2,FALSE)</f>
        <v>SAP HANA – SAP01_GetMember
inputs:
idnumber = iIdnumber	T
idtype 	= iIdtype
outputs:
~ Billing Reference
~ Enrollment Details
~ Billing Details
~ Last Payment
~ Recurring Payment Method
~ Stored Payment Method</v>
      </c>
      <c r="D15" s="129" t="s">
        <v>371</v>
      </c>
      <c r="E15" s="125"/>
    </row>
    <row r="16" spans="1:5" x14ac:dyDescent="0.35">
      <c r="A16" s="118">
        <v>9</v>
      </c>
      <c r="B16" s="114" t="s">
        <v>115</v>
      </c>
      <c r="C16" s="130" t="str">
        <f>VLOOKUP(Table25755252670[[#This Row],[PEG]],Table1016[#All],2,FALSE)</f>
        <v>Let’s try that one more time.</v>
      </c>
      <c r="D16" s="129" t="s">
        <v>368</v>
      </c>
      <c r="E16" s="125" t="str">
        <f>VLOOKUP(Table25755252670[[#This Row],[PEG]],Table1016[#All],3,FALSE)</f>
        <v>Prompt</v>
      </c>
    </row>
    <row r="17" spans="1:5" ht="29" x14ac:dyDescent="0.35">
      <c r="A17" s="118">
        <v>10</v>
      </c>
      <c r="B17" s="114" t="s">
        <v>115</v>
      </c>
      <c r="C17" s="109" t="str">
        <f>VLOOKUP(Table25755252670[[#This Row],[PEG]],Table1016[#All],2,FALSE)</f>
        <v>Just enter your account number using your touchtone keypad.  If your account number includes letters, enter only the numbers.</v>
      </c>
      <c r="D17" s="34" t="s">
        <v>247</v>
      </c>
      <c r="E17" s="125" t="str">
        <f>VLOOKUP(Table25755252670[[#This Row],[PEG]],Table1016[#All],3,FALSE)</f>
        <v>Prompt</v>
      </c>
    </row>
    <row r="18" spans="1:5" x14ac:dyDescent="0.35">
      <c r="A18" s="118">
        <v>11</v>
      </c>
      <c r="B18" s="114" t="s">
        <v>124</v>
      </c>
      <c r="C18" s="127" t="s">
        <v>387</v>
      </c>
      <c r="D18" s="34"/>
      <c r="E18" s="125" t="e">
        <f>VLOOKUP(Table25755252670[[#This Row],[PEG]],Table1016[#All],3,FALSE)</f>
        <v>#N/A</v>
      </c>
    </row>
    <row r="19" spans="1:5" s="97" customFormat="1" ht="174" x14ac:dyDescent="0.35">
      <c r="A19" s="118">
        <v>12</v>
      </c>
      <c r="B19" s="114" t="s">
        <v>12</v>
      </c>
      <c r="C19" s="109" t="str">
        <f>VLOOKUP(Table25755252670[[#This Row],[PEG]],Table1016[],2,FALSE)</f>
        <v>SAP HANA – SAP01_GetMember
inputs:
idnumber = iIdnumber	T
idtype 	= iIdtype
outputs:
~ Billing Reference
~ Enrollment Details
~ Billing Details
~ Last Payment
~ Recurring Payment Method
~ Stored Payment Method</v>
      </c>
      <c r="D19" s="34" t="s">
        <v>371</v>
      </c>
      <c r="E19" s="125"/>
    </row>
    <row r="20" spans="1:5" x14ac:dyDescent="0.35">
      <c r="A20" s="118">
        <v>13</v>
      </c>
      <c r="B20" s="114" t="s">
        <v>115</v>
      </c>
      <c r="C20" s="109" t="str">
        <f>VLOOKUP(Table25755252670[[#This Row],[PEG]],Table1016[#All],2,FALSE)</f>
        <v>Let's try looking by your invoice number. Using your touchtone keypad enter the numbers one digit at a time.</v>
      </c>
      <c r="D20" s="34" t="s">
        <v>250</v>
      </c>
      <c r="E20" s="125" t="str">
        <f>VLOOKUP(Table25755252670[[#This Row],[PEG]],Table1016[#All],3,FALSE)</f>
        <v>Prompt</v>
      </c>
    </row>
    <row r="21" spans="1:5" x14ac:dyDescent="0.35">
      <c r="A21" s="118">
        <v>14</v>
      </c>
      <c r="B21" s="114" t="s">
        <v>13</v>
      </c>
      <c r="C21" s="109" t="s">
        <v>13</v>
      </c>
      <c r="D21" s="34"/>
      <c r="E21" s="125" t="e">
        <f>VLOOKUP(Table25755252670[[#This Row],[PEG]],Table1016[#All],3,FALSE)</f>
        <v>#N/A</v>
      </c>
    </row>
    <row r="22" spans="1:5" x14ac:dyDescent="0.35">
      <c r="C22" s="26"/>
      <c r="D22" s="111" t="s">
        <v>0</v>
      </c>
    </row>
    <row r="23" spans="1:5" x14ac:dyDescent="0.35">
      <c r="C23" s="26"/>
    </row>
    <row r="24" spans="1:5" x14ac:dyDescent="0.35">
      <c r="C24" s="26"/>
    </row>
    <row r="25" spans="1:5" x14ac:dyDescent="0.35">
      <c r="C25" s="26"/>
    </row>
    <row r="26" spans="1:5" x14ac:dyDescent="0.35">
      <c r="C26" s="26"/>
    </row>
    <row r="27" spans="1:5" x14ac:dyDescent="0.35">
      <c r="C27" s="26"/>
    </row>
    <row r="28" spans="1:5" x14ac:dyDescent="0.35">
      <c r="C28" s="26"/>
    </row>
    <row r="29" spans="1:5" x14ac:dyDescent="0.35">
      <c r="C29" s="26"/>
    </row>
    <row r="30" spans="1:5" x14ac:dyDescent="0.35">
      <c r="C30" s="26"/>
    </row>
    <row r="31" spans="1:5" x14ac:dyDescent="0.35">
      <c r="C31" s="26"/>
    </row>
    <row r="32" spans="1:5" x14ac:dyDescent="0.35">
      <c r="C32" s="26"/>
    </row>
    <row r="33" spans="3:3" x14ac:dyDescent="0.35">
      <c r="C33" s="26"/>
    </row>
    <row r="34" spans="3:3" x14ac:dyDescent="0.35">
      <c r="C34" s="26"/>
    </row>
    <row r="35" spans="3:3" x14ac:dyDescent="0.35">
      <c r="C35" s="26"/>
    </row>
    <row r="36" spans="3:3" x14ac:dyDescent="0.35">
      <c r="C36" s="26"/>
    </row>
    <row r="37" spans="3:3" x14ac:dyDescent="0.35">
      <c r="C37" s="27"/>
    </row>
    <row r="38" spans="3:3" x14ac:dyDescent="0.35">
      <c r="C38" s="27"/>
    </row>
    <row r="39" spans="3:3" x14ac:dyDescent="0.35">
      <c r="C39" s="27"/>
    </row>
  </sheetData>
  <mergeCells count="1">
    <mergeCell ref="A1:B1"/>
  </mergeCells>
  <conditionalFormatting sqref="C20:C9978 C9:C15">
    <cfRule type="expression" dxfId="5955" priority="48">
      <formula>$B9="Dial"</formula>
    </cfRule>
    <cfRule type="expression" dxfId="5954" priority="50">
      <formula>$B9="HANGUP"</formula>
    </cfRule>
  </conditionalFormatting>
  <conditionalFormatting sqref="E9:E21">
    <cfRule type="containsText" dxfId="5953" priority="30" operator="containsText" text="WEB SERVICE">
      <formula>NOT(ISERROR(SEARCH("WEB SERVICE",E9)))</formula>
    </cfRule>
    <cfRule type="containsText" dxfId="5952" priority="31" operator="containsText" text="DB">
      <formula>NOT(ISERROR(SEARCH("DB",E9)))</formula>
    </cfRule>
  </conditionalFormatting>
  <conditionalFormatting sqref="C18">
    <cfRule type="expression" dxfId="5951" priority="7">
      <formula>$B18="Dial"</formula>
    </cfRule>
    <cfRule type="expression" dxfId="5950" priority="8">
      <formula>$B18="HANGUP"</formula>
    </cfRule>
  </conditionalFormatting>
  <conditionalFormatting sqref="B9:B21">
    <cfRule type="containsText" dxfId="5949" priority="11" operator="containsText" text="Hear">
      <formula>NOT(ISERROR(SEARCH("Hear",B9)))</formula>
    </cfRule>
  </conditionalFormatting>
  <conditionalFormatting sqref="C17">
    <cfRule type="expression" dxfId="5948" priority="12">
      <formula>$B17="Dial"</formula>
    </cfRule>
    <cfRule type="expression" dxfId="5947" priority="14">
      <formula>$B17="HANGUP"</formula>
    </cfRule>
  </conditionalFormatting>
  <conditionalFormatting sqref="C17 C20:C21 C9:C15">
    <cfRule type="expression" dxfId="5946" priority="13">
      <formula>$B9="Speak"</formula>
    </cfRule>
  </conditionalFormatting>
  <conditionalFormatting sqref="C16">
    <cfRule type="expression" dxfId="5945" priority="9">
      <formula>$B16="Dial"</formula>
    </cfRule>
    <cfRule type="expression" dxfId="5944" priority="10">
      <formula>$B16="HANGUP"</formula>
    </cfRule>
  </conditionalFormatting>
  <conditionalFormatting sqref="B8">
    <cfRule type="containsText" dxfId="5943" priority="6" operator="containsText" text="Hear">
      <formula>NOT(ISERROR(SEARCH("Hear",B8)))</formula>
    </cfRule>
  </conditionalFormatting>
  <conditionalFormatting sqref="C8">
    <cfRule type="expression" dxfId="5942" priority="4">
      <formula>$B8="Dial"</formula>
    </cfRule>
    <cfRule type="expression" dxfId="5941" priority="5">
      <formula>$B8="HANGUP"</formula>
    </cfRule>
  </conditionalFormatting>
  <conditionalFormatting sqref="C19">
    <cfRule type="expression" dxfId="5940" priority="1">
      <formula>$B19="Dial"</formula>
    </cfRule>
    <cfRule type="expression" dxfId="5939" priority="3">
      <formula>$B19="HANGUP"</formula>
    </cfRule>
  </conditionalFormatting>
  <conditionalFormatting sqref="C19">
    <cfRule type="expression" dxfId="5938" priority="2">
      <formula>$B19="Speak"</formula>
    </cfRule>
  </conditionalFormatting>
  <hyperlinks>
    <hyperlink ref="A1" location="'Test Case Overview'!A1" display="Return to Test Case Overview" xr:uid="{00000000-0004-0000-0200-000000000000}"/>
  </hyperlinks>
  <pageMargins left="0.7" right="0.7" top="0.75" bottom="0.75" header="0.3" footer="0.3"/>
  <tableParts count="1">
    <tablePart r:id="rId1"/>
  </tablePart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31"/>
  <dimension ref="A1:E42"/>
  <sheetViews>
    <sheetView zoomScaleNormal="100" workbookViewId="0">
      <selection sqref="A1:B1"/>
    </sheetView>
  </sheetViews>
  <sheetFormatPr defaultRowHeight="14.5" x14ac:dyDescent="0.35"/>
  <cols>
    <col min="1" max="1" width="14.453125" style="97" bestFit="1" customWidth="1"/>
    <col min="2" max="2" width="42.6328125" style="97" customWidth="1"/>
    <col min="3" max="3" width="106.1796875" style="98" customWidth="1"/>
    <col min="4" max="4" width="21.81640625" style="111" bestFit="1" customWidth="1"/>
    <col min="5" max="5" width="20.6328125" style="97" customWidth="1"/>
  </cols>
  <sheetData>
    <row r="1" spans="1:5" ht="18.5" x14ac:dyDescent="0.35">
      <c r="A1" s="192" t="s">
        <v>4</v>
      </c>
      <c r="B1" s="192"/>
      <c r="C1" s="105"/>
    </row>
    <row r="2" spans="1:5" x14ac:dyDescent="0.35">
      <c r="A2" s="106" t="s">
        <v>5</v>
      </c>
      <c r="B2" s="107" t="str">
        <f ca="1">MID(CELL("filename",A1),FIND("]",CELL("filename",A1))+1,LEN(CELL("filename",A1))-FIND("]",CELL("filename",A1)))</f>
        <v>TC29</v>
      </c>
    </row>
    <row r="3" spans="1:5" x14ac:dyDescent="0.35">
      <c r="A3" s="104" t="s">
        <v>19</v>
      </c>
      <c r="B3" s="112">
        <f ca="1">VLOOKUP(B2,Table53[#All],2,FALSE)</f>
        <v>0</v>
      </c>
    </row>
    <row r="4" spans="1:5" ht="29" x14ac:dyDescent="0.35">
      <c r="A4" s="113" t="s">
        <v>20</v>
      </c>
      <c r="B4" s="99">
        <f ca="1">VLOOKUP(B2,Table53[#All],4,FALSE)</f>
        <v>0</v>
      </c>
    </row>
    <row r="5" spans="1:5" x14ac:dyDescent="0.35">
      <c r="A5" s="104" t="s">
        <v>6</v>
      </c>
      <c r="B5" s="93" t="str">
        <f ca="1">VLOOKUP(B2,Table53[#All],3,FALSE)</f>
        <v>Last Payment Declined No Match x3</v>
      </c>
    </row>
    <row r="7" spans="1:5" ht="15.5" x14ac:dyDescent="0.35">
      <c r="A7" s="100" t="s">
        <v>7</v>
      </c>
      <c r="B7" s="101" t="s">
        <v>8</v>
      </c>
      <c r="C7" s="102" t="s">
        <v>9</v>
      </c>
      <c r="D7" s="102" t="s">
        <v>14</v>
      </c>
      <c r="E7" s="103" t="s">
        <v>10</v>
      </c>
    </row>
    <row r="8" spans="1:5" x14ac:dyDescent="0.35">
      <c r="A8" s="118">
        <v>1</v>
      </c>
      <c r="B8" s="114" t="s">
        <v>114</v>
      </c>
      <c r="C8" s="109" t="s">
        <v>125</v>
      </c>
      <c r="D8" s="128"/>
      <c r="E8" s="125" t="s">
        <v>11</v>
      </c>
    </row>
    <row r="9" spans="1:5" x14ac:dyDescent="0.35">
      <c r="A9" s="118">
        <v>2</v>
      </c>
      <c r="B9" s="114" t="s">
        <v>115</v>
      </c>
      <c r="C9" s="109" t="str">
        <f>VLOOKUP(Table25755252691013434446474849565758596364[[#This Row],[PEG]],Table1016[#All],2,FALSE)</f>
        <v>To get started, tell me your Account Number</v>
      </c>
      <c r="D9" s="141" t="s">
        <v>245</v>
      </c>
      <c r="E9" s="125" t="str">
        <f>VLOOKUP(Table25755252691013434446474849565758596364[[#This Row],[PEG]],Table1016[#All],3,FALSE)</f>
        <v>Prompt</v>
      </c>
    </row>
    <row r="10" spans="1:5" x14ac:dyDescent="0.35">
      <c r="A10" s="118">
        <v>3</v>
      </c>
      <c r="B10" s="114" t="s">
        <v>114</v>
      </c>
      <c r="C10" s="109" t="s">
        <v>412</v>
      </c>
      <c r="D10" s="141"/>
      <c r="E10" s="125" t="e">
        <f>VLOOKUP(Table25755252691013434446474849565758596364[[#This Row],[PEG]],Table1016[#All],3,FALSE)</f>
        <v>#N/A</v>
      </c>
    </row>
    <row r="11" spans="1:5" ht="174" x14ac:dyDescent="0.35">
      <c r="A11" s="118">
        <v>4</v>
      </c>
      <c r="B11" s="114" t="s">
        <v>503</v>
      </c>
      <c r="C11" s="109" t="str">
        <f>VLOOKUP(Table25755252691013434446474849565758596364[[#This Row],[PEG]],Table1016[#All],2,FALSE)</f>
        <v>SAP HANA – SAP01_GetMember
inputs:
idnumber = iIdnumber	T
idtype 	= iIdtype
outputs:
~ Billing Reference
~ Enrollment Details
~ Billing Details
~ Last Payment
~ Recurring Payment Method
~ Stored Payment Method</v>
      </c>
      <c r="D11" s="141" t="s">
        <v>371</v>
      </c>
      <c r="E11" s="125" t="str">
        <f>VLOOKUP(Table25755252691013434446474849565758596364[[#This Row],[PEG]],Table1016[#All],3,FALSE)</f>
        <v>DB</v>
      </c>
    </row>
    <row r="12" spans="1:5" x14ac:dyDescent="0.35">
      <c r="A12" s="118">
        <v>5</v>
      </c>
      <c r="B12" s="114" t="s">
        <v>115</v>
      </c>
      <c r="C12" s="109" t="str">
        <f>VLOOKUP(Table25755252691013434446474849565758596364[[#This Row],[PEG]],Table1016[#All],2,FALSE)</f>
        <v>Thanks, I found your account!</v>
      </c>
      <c r="D12" s="141" t="s">
        <v>248</v>
      </c>
      <c r="E12" s="125" t="str">
        <f>VLOOKUP(Table25755252691013434446474849565758596364[[#This Row],[PEG]],Table1016[#All],3,FALSE)</f>
        <v>Prompt</v>
      </c>
    </row>
    <row r="13" spans="1:5" ht="29" x14ac:dyDescent="0.35">
      <c r="A13" s="118">
        <v>6</v>
      </c>
      <c r="B13" s="114" t="s">
        <v>115</v>
      </c>
      <c r="C13" s="109" t="str">
        <f>VLOOKUP(Table25755252691013434446474849565758596364[[#This Row],[PEG]],Table1016[#All],2,FALSE)</f>
        <v>You are already setup for recurring payments in the amount of &lt;SAP01_CurrentDue&gt; to be deducted on the last day of each month.</v>
      </c>
      <c r="D13" s="141" t="s">
        <v>266</v>
      </c>
      <c r="E13" s="125" t="str">
        <f>VLOOKUP(Table25755252691013434446474849565758596364[[#This Row],[PEG]],Table1016[#All],3,FALSE)</f>
        <v>Prompt</v>
      </c>
    </row>
    <row r="14" spans="1:5" x14ac:dyDescent="0.35">
      <c r="A14" s="118">
        <v>7</v>
      </c>
      <c r="B14" s="114" t="s">
        <v>114</v>
      </c>
      <c r="C14" s="109" t="str">
        <f>VLOOKUP(Table25755252691013434446474849565758596364[[#This Row],[PEG]],Table1016[#All],2,FALSE)</f>
        <v>The last payment of &lt;SAP01_ivrLastPaymentAmount&gt; was declined.</v>
      </c>
      <c r="D14" s="141" t="s">
        <v>267</v>
      </c>
      <c r="E14" s="125" t="str">
        <f>VLOOKUP(Table25755252691013434446474849565758596364[[#This Row],[PEG]],Table1016[#All],3,FALSE)</f>
        <v>Prompt</v>
      </c>
    </row>
    <row r="15" spans="1:5" x14ac:dyDescent="0.35">
      <c r="A15" s="118">
        <v>8</v>
      </c>
      <c r="B15" s="114" t="s">
        <v>115</v>
      </c>
      <c r="C15" s="109" t="str">
        <f>VLOOKUP(Table25755252691013434446474849565758596364[[#This Row],[PEG]],Table1016[#All],2,FALSE)</f>
        <v>Would you like to make a payment now?</v>
      </c>
      <c r="D15" s="141" t="s">
        <v>268</v>
      </c>
      <c r="E15" s="125" t="str">
        <f>VLOOKUP(Table25755252691013434446474849565758596364[[#This Row],[PEG]],Table1016[#All],3,FALSE)</f>
        <v>Prompt</v>
      </c>
    </row>
    <row r="16" spans="1:5" x14ac:dyDescent="0.35">
      <c r="A16" s="118">
        <v>9</v>
      </c>
      <c r="B16" s="114" t="s">
        <v>114</v>
      </c>
      <c r="C16" s="109">
        <v>4</v>
      </c>
      <c r="D16" s="142"/>
      <c r="E16" s="125" t="e">
        <f>VLOOKUP(Table25755252691013434446474849565758596364[[#This Row],[PEG]],Table1016[#All],3,FALSE)</f>
        <v>#N/A</v>
      </c>
    </row>
    <row r="17" spans="1:5" x14ac:dyDescent="0.35">
      <c r="A17" s="118">
        <v>10</v>
      </c>
      <c r="B17" s="114" t="s">
        <v>115</v>
      </c>
      <c r="C17" s="109" t="str">
        <f>VLOOKUP(Table25755252691013434446474849565758596364[[#This Row],[PEG]],Table1016[#All],2,FALSE)</f>
        <v>Sorry, I didn’t understand.</v>
      </c>
      <c r="D17" s="143" t="s">
        <v>367</v>
      </c>
      <c r="E17" s="125" t="str">
        <f>VLOOKUP(Table25755252691013434446474849565758596364[[#This Row],[PEG]],Table1016[#All],3,FALSE)</f>
        <v>Prompt</v>
      </c>
    </row>
    <row r="18" spans="1:5" x14ac:dyDescent="0.35">
      <c r="A18" s="118">
        <v>11</v>
      </c>
      <c r="B18" s="114" t="s">
        <v>115</v>
      </c>
      <c r="C18" s="109" t="str">
        <f>VLOOKUP(Table25755252691013434446474849565758596364[[#This Row],[PEG]],Table1016[#All],2,FALSE)</f>
        <v>If you would like to make a payment, just say yes or no.</v>
      </c>
      <c r="D18" s="143" t="s">
        <v>269</v>
      </c>
      <c r="E18" s="125" t="str">
        <f>VLOOKUP(Table25755252691013434446474849565758596364[[#This Row],[PEG]],Table1016[#All],3,FALSE)</f>
        <v>Prompt</v>
      </c>
    </row>
    <row r="19" spans="1:5" x14ac:dyDescent="0.35">
      <c r="A19" s="118">
        <v>12</v>
      </c>
      <c r="B19" s="114" t="s">
        <v>114</v>
      </c>
      <c r="C19" s="109">
        <v>4</v>
      </c>
      <c r="D19" s="143"/>
      <c r="E19" s="125" t="e">
        <f>VLOOKUP(Table25755252691013434446474849565758596364[[#This Row],[PEG]],Table1016[#All],3,FALSE)</f>
        <v>#N/A</v>
      </c>
    </row>
    <row r="20" spans="1:5" x14ac:dyDescent="0.35">
      <c r="A20" s="118">
        <v>13</v>
      </c>
      <c r="B20" s="114" t="s">
        <v>115</v>
      </c>
      <c r="C20" s="109" t="str">
        <f>VLOOKUP(Table25755252691013434446474849565758596364[[#This Row],[PEG]],Table1016[#All],2,FALSE)</f>
        <v>Let’s try that one more time.</v>
      </c>
      <c r="D20" s="143" t="s">
        <v>368</v>
      </c>
      <c r="E20" s="125" t="str">
        <f>VLOOKUP(Table25755252691013434446474849565758596364[[#This Row],[PEG]],Table1016[#All],3,FALSE)</f>
        <v>Prompt</v>
      </c>
    </row>
    <row r="21" spans="1:5" x14ac:dyDescent="0.35">
      <c r="A21" s="118">
        <v>14</v>
      </c>
      <c r="B21" s="114" t="s">
        <v>12</v>
      </c>
      <c r="C21" s="109" t="str">
        <f>VLOOKUP(Table25755252691013434446474849565758596364[[#This Row],[PEG]],Table1016[#All],2,FALSE)</f>
        <v>To make a payment say yes or press 1.  Otherwise say no or press 2.</v>
      </c>
      <c r="D21" s="143" t="s">
        <v>270</v>
      </c>
      <c r="E21" s="125" t="str">
        <f>VLOOKUP(Table25755252691013434446474849565758596364[[#This Row],[PEG]],Table1016[#All],3,FALSE)</f>
        <v>Prompt</v>
      </c>
    </row>
    <row r="22" spans="1:5" x14ac:dyDescent="0.35">
      <c r="A22" s="118">
        <v>15</v>
      </c>
      <c r="B22" s="114" t="s">
        <v>114</v>
      </c>
      <c r="C22" s="109">
        <v>4</v>
      </c>
      <c r="D22" s="143"/>
      <c r="E22" s="125" t="e">
        <f>VLOOKUP(Table25755252691013434446474849565758596364[[#This Row],[PEG]],Table1016[#All],3,FALSE)</f>
        <v>#N/A</v>
      </c>
    </row>
    <row r="23" spans="1:5" ht="29" x14ac:dyDescent="0.35">
      <c r="A23" s="118">
        <v>16</v>
      </c>
      <c r="B23" s="114" t="s">
        <v>115</v>
      </c>
      <c r="C23" s="109" t="str">
        <f>VLOOKUP(Table25755252691013434446474849565758596364[[#This Row],[PEG]],Table1016[#All],2,FALSE)</f>
        <v>It seems you are having trouble. For future transactions you can also access your plan details, or manage your account online anytime at members.lacare.com. One moment while I get someone to help. Make sure to have your invoice available.</v>
      </c>
      <c r="D23" s="143" t="s">
        <v>361</v>
      </c>
      <c r="E23" s="125" t="str">
        <f>VLOOKUP(Table25755252691013434446474849565758596364[[#This Row],[PEG]],Table1016[#All],3,FALSE)</f>
        <v>Prompt</v>
      </c>
    </row>
    <row r="24" spans="1:5" x14ac:dyDescent="0.35">
      <c r="A24" s="118">
        <v>17</v>
      </c>
      <c r="B24" s="114" t="s">
        <v>13</v>
      </c>
      <c r="C24" s="109" t="s">
        <v>13</v>
      </c>
      <c r="D24" s="143"/>
      <c r="E24" s="125" t="e">
        <f>VLOOKUP(Table25755252691013434446474849565758596364[[#This Row],[PEG]],Table1016[#All],3,FALSE)</f>
        <v>#N/A</v>
      </c>
    </row>
    <row r="25" spans="1:5" x14ac:dyDescent="0.35">
      <c r="C25" s="26"/>
      <c r="D25" s="111" t="s">
        <v>0</v>
      </c>
    </row>
    <row r="26" spans="1:5" x14ac:dyDescent="0.35">
      <c r="C26" s="26"/>
    </row>
    <row r="27" spans="1:5" x14ac:dyDescent="0.35">
      <c r="C27" s="26"/>
    </row>
    <row r="28" spans="1:5" x14ac:dyDescent="0.35">
      <c r="C28" s="26"/>
    </row>
    <row r="29" spans="1:5" x14ac:dyDescent="0.35">
      <c r="C29" s="26"/>
    </row>
    <row r="30" spans="1:5" x14ac:dyDescent="0.35">
      <c r="C30" s="26"/>
    </row>
    <row r="31" spans="1:5" x14ac:dyDescent="0.35">
      <c r="C31" s="26"/>
    </row>
    <row r="32" spans="1:5" x14ac:dyDescent="0.35">
      <c r="C32" s="26"/>
    </row>
    <row r="33" spans="3:3" x14ac:dyDescent="0.35">
      <c r="C33" s="26"/>
    </row>
    <row r="34" spans="3:3" x14ac:dyDescent="0.35">
      <c r="C34" s="26"/>
    </row>
    <row r="35" spans="3:3" x14ac:dyDescent="0.35">
      <c r="C35" s="26"/>
    </row>
    <row r="36" spans="3:3" x14ac:dyDescent="0.35">
      <c r="C36" s="26"/>
    </row>
    <row r="37" spans="3:3" x14ac:dyDescent="0.35">
      <c r="C37" s="26"/>
    </row>
    <row r="38" spans="3:3" x14ac:dyDescent="0.35">
      <c r="C38" s="26"/>
    </row>
    <row r="39" spans="3:3" x14ac:dyDescent="0.35">
      <c r="C39" s="26"/>
    </row>
    <row r="40" spans="3:3" x14ac:dyDescent="0.35">
      <c r="C40" s="27"/>
    </row>
    <row r="41" spans="3:3" x14ac:dyDescent="0.35">
      <c r="C41" s="27"/>
    </row>
    <row r="42" spans="3:3" x14ac:dyDescent="0.35">
      <c r="C42" s="27"/>
    </row>
  </sheetData>
  <mergeCells count="1">
    <mergeCell ref="A1:B1"/>
  </mergeCells>
  <conditionalFormatting sqref="B21:B24">
    <cfRule type="containsText" dxfId="5196" priority="59" operator="containsText" text="Hear">
      <formula>NOT(ISERROR(SEARCH("Hear",B21)))</formula>
    </cfRule>
  </conditionalFormatting>
  <conditionalFormatting sqref="C25:C9981">
    <cfRule type="expression" dxfId="5195" priority="60">
      <formula>$B25="Dial"</formula>
    </cfRule>
    <cfRule type="expression" dxfId="5194" priority="62">
      <formula>$B25="HANGUP"</formula>
    </cfRule>
  </conditionalFormatting>
  <conditionalFormatting sqref="B8:B20">
    <cfRule type="containsText" dxfId="5193" priority="22" operator="containsText" text="Hear">
      <formula>NOT(ISERROR(SEARCH("Hear",B8)))</formula>
    </cfRule>
  </conditionalFormatting>
  <conditionalFormatting sqref="C16">
    <cfRule type="expression" dxfId="5192" priority="7">
      <formula>$B16="Dial"</formula>
    </cfRule>
    <cfRule type="expression" dxfId="5191" priority="9">
      <formula>$B16="HANGUP"</formula>
    </cfRule>
  </conditionalFormatting>
  <conditionalFormatting sqref="C16">
    <cfRule type="expression" dxfId="5190" priority="8">
      <formula>$B16="Speak"</formula>
    </cfRule>
  </conditionalFormatting>
  <conditionalFormatting sqref="C19">
    <cfRule type="expression" dxfId="5189" priority="4">
      <formula>$B19="Dial"</formula>
    </cfRule>
    <cfRule type="expression" dxfId="5188" priority="6">
      <formula>$B19="HANGUP"</formula>
    </cfRule>
  </conditionalFormatting>
  <conditionalFormatting sqref="C19">
    <cfRule type="expression" dxfId="5187" priority="5">
      <formula>$B19="Speak"</formula>
    </cfRule>
  </conditionalFormatting>
  <conditionalFormatting sqref="C22">
    <cfRule type="expression" dxfId="5186" priority="1">
      <formula>$B22="Dial"</formula>
    </cfRule>
    <cfRule type="expression" dxfId="5185" priority="3">
      <formula>$B22="HANGUP"</formula>
    </cfRule>
  </conditionalFormatting>
  <conditionalFormatting sqref="C22">
    <cfRule type="expression" dxfId="5184" priority="2">
      <formula>$B22="Speak"</formula>
    </cfRule>
  </conditionalFormatting>
  <hyperlinks>
    <hyperlink ref="A1" location="'Test Case Overview'!A1" display="Return to Test Case Overview" xr:uid="{00000000-0004-0000-1D00-000000000000}"/>
  </hyperlinks>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expression" priority="54" id="{D4B3435F-7F2A-49AA-9D32-FCA09672C52E}">
            <xm:f>'TC1'!$B8="Dial"</xm:f>
            <x14:dxf>
              <font>
                <b/>
                <i val="0"/>
                <color rgb="FFFF0000"/>
              </font>
            </x14:dxf>
          </x14:cfRule>
          <x14:cfRule type="expression" priority="56" id="{3C9C3C5D-7985-4A31-AF09-4567D4EFE9EF}">
            <xm:f>'TC1'!$B8="HANGUP"</xm:f>
            <x14:dxf>
              <font>
                <b/>
                <i val="0"/>
              </font>
            </x14:dxf>
          </x14:cfRule>
          <xm:sqref>C8 C10</xm:sqref>
        </x14:conditionalFormatting>
        <x14:conditionalFormatting xmlns:xm="http://schemas.microsoft.com/office/excel/2006/main">
          <x14:cfRule type="expression" priority="55" id="{55BA46FC-F0B3-4471-AEFC-809EEDD80EB2}">
            <xm:f>'TC1'!$B8="Speak"</xm:f>
            <x14:dxf>
              <font>
                <b/>
                <i val="0"/>
                <color rgb="FFFF0000"/>
              </font>
            </x14:dxf>
          </x14:cfRule>
          <xm:sqref>C8 C10</xm:sqref>
        </x14:conditionalFormatting>
        <x14:conditionalFormatting xmlns:xm="http://schemas.microsoft.com/office/excel/2006/main">
          <x14:cfRule type="expression" priority="892" id="{D4B3435F-7F2A-49AA-9D32-FCA09672C52E}">
            <xm:f>'TC1'!#REF!="Dial"</xm:f>
            <x14:dxf>
              <font>
                <b/>
                <i val="0"/>
                <color rgb="FFFF0000"/>
              </font>
            </x14:dxf>
          </x14:cfRule>
          <x14:cfRule type="expression" priority="893" id="{3C9C3C5D-7985-4A31-AF09-4567D4EFE9EF}">
            <xm:f>'TC1'!#REF!="HANGUP"</xm:f>
            <x14:dxf>
              <font>
                <b/>
                <i val="0"/>
              </font>
            </x14:dxf>
          </x14:cfRule>
          <xm:sqref>C17:C18 C20:C21 C23:C24</xm:sqref>
        </x14:conditionalFormatting>
        <x14:conditionalFormatting xmlns:xm="http://schemas.microsoft.com/office/excel/2006/main">
          <x14:cfRule type="expression" priority="898" id="{55BA46FC-F0B3-4471-AEFC-809EEDD80EB2}">
            <xm:f>'TC1'!#REF!="Speak"</xm:f>
            <x14:dxf>
              <font>
                <b/>
                <i val="0"/>
                <color rgb="FFFF0000"/>
              </font>
            </x14:dxf>
          </x14:cfRule>
          <xm:sqref>C17:C18 C20:C21 C23:C24</xm:sqref>
        </x14:conditionalFormatting>
        <x14:conditionalFormatting xmlns:xm="http://schemas.microsoft.com/office/excel/2006/main">
          <x14:cfRule type="containsText" priority="904" operator="containsText" text="WEB SERVICE" id="{23FE139E-FEE7-44CC-8127-B9DD8F6529A5}">
            <xm:f>NOT(ISERROR(SEARCH("WEB SERVICE",'TC1'!#REF!)))</xm:f>
            <x14:dxf>
              <font>
                <color rgb="FF9C0006"/>
              </font>
              <fill>
                <patternFill>
                  <bgColor rgb="FFFFC7CE"/>
                </patternFill>
              </fill>
            </x14:dxf>
          </x14:cfRule>
          <x14:cfRule type="containsText" priority="905" operator="containsText" text="DB" id="{0D580982-00D3-4D6C-B65E-828DFE263F1C}">
            <xm:f>NOT(ISERROR(SEARCH("DB",'TC1'!#REF!)))</xm:f>
            <x14:dxf>
              <font>
                <color rgb="FF006100"/>
              </font>
              <fill>
                <patternFill>
                  <bgColor rgb="FFC6EFCE"/>
                </patternFill>
              </fill>
            </x14:dxf>
          </x14:cfRule>
          <xm:sqref>E17:E24</xm:sqref>
        </x14:conditionalFormatting>
        <x14:conditionalFormatting xmlns:xm="http://schemas.microsoft.com/office/excel/2006/main">
          <x14:cfRule type="expression" priority="3741" id="{D4B3435F-7F2A-49AA-9D32-FCA09672C52E}">
            <xm:f>'TC1'!$B9="Dial"</xm:f>
            <x14:dxf>
              <font>
                <b/>
                <i val="0"/>
                <color rgb="FFFF0000"/>
              </font>
            </x14:dxf>
          </x14:cfRule>
          <x14:cfRule type="expression" priority="3742" id="{3C9C3C5D-7985-4A31-AF09-4567D4EFE9EF}">
            <xm:f>'TC1'!$B9="HANGUP"</xm:f>
            <x14:dxf>
              <font>
                <b/>
                <i val="0"/>
              </font>
            </x14:dxf>
          </x14:cfRule>
          <xm:sqref>C12 C14:C15</xm:sqref>
        </x14:conditionalFormatting>
        <x14:conditionalFormatting xmlns:xm="http://schemas.microsoft.com/office/excel/2006/main">
          <x14:cfRule type="expression" priority="3743" id="{D4B3435F-7F2A-49AA-9D32-FCA09672C52E}">
            <xm:f>'TC1'!#REF!="Dial"</xm:f>
            <x14:dxf>
              <font>
                <b/>
                <i val="0"/>
                <color rgb="FFFF0000"/>
              </font>
            </x14:dxf>
          </x14:cfRule>
          <x14:cfRule type="expression" priority="3744" id="{3C9C3C5D-7985-4A31-AF09-4567D4EFE9EF}">
            <xm:f>'TC1'!#REF!="HANGUP"</xm:f>
            <x14:dxf>
              <font>
                <b/>
                <i val="0"/>
              </font>
            </x14:dxf>
          </x14:cfRule>
          <xm:sqref>C9 C11</xm:sqref>
        </x14:conditionalFormatting>
        <x14:conditionalFormatting xmlns:xm="http://schemas.microsoft.com/office/excel/2006/main">
          <x14:cfRule type="expression" priority="3748" id="{55BA46FC-F0B3-4471-AEFC-809EEDD80EB2}">
            <xm:f>'TC1'!$B9="Speak"</xm:f>
            <x14:dxf>
              <font>
                <b/>
                <i val="0"/>
                <color rgb="FFFF0000"/>
              </font>
            </x14:dxf>
          </x14:cfRule>
          <xm:sqref>C12 C14:C15</xm:sqref>
        </x14:conditionalFormatting>
        <x14:conditionalFormatting xmlns:xm="http://schemas.microsoft.com/office/excel/2006/main">
          <x14:cfRule type="expression" priority="3749" id="{55BA46FC-F0B3-4471-AEFC-809EEDD80EB2}">
            <xm:f>'TC1'!#REF!="Speak"</xm:f>
            <x14:dxf>
              <font>
                <b/>
                <i val="0"/>
                <color rgb="FFFF0000"/>
              </font>
            </x14:dxf>
          </x14:cfRule>
          <xm:sqref>C9 C11</xm:sqref>
        </x14:conditionalFormatting>
        <x14:conditionalFormatting xmlns:xm="http://schemas.microsoft.com/office/excel/2006/main">
          <x14:cfRule type="containsText" priority="3751" operator="containsText" text="WEB SERVICE" id="{23FE139E-FEE7-44CC-8127-B9DD8F6529A5}">
            <xm:f>NOT(ISERROR(SEARCH("WEB SERVICE",'TC1'!#REF!)))</xm:f>
            <x14:dxf>
              <font>
                <color rgb="FF9C0006"/>
              </font>
              <fill>
                <patternFill>
                  <bgColor rgb="FFFFC7CE"/>
                </patternFill>
              </fill>
            </x14:dxf>
          </x14:cfRule>
          <x14:cfRule type="containsText" priority="3752" operator="containsText" text="DB" id="{0D580982-00D3-4D6C-B65E-828DFE263F1C}">
            <xm:f>NOT(ISERROR(SEARCH("DB",'TC1'!#REF!)))</xm:f>
            <x14:dxf>
              <font>
                <color rgb="FF006100"/>
              </font>
              <fill>
                <patternFill>
                  <bgColor rgb="FFC6EFCE"/>
                </patternFill>
              </fill>
            </x14:dxf>
          </x14:cfRule>
          <xm:sqref>E9:E11</xm:sqref>
        </x14:conditionalFormatting>
        <x14:conditionalFormatting xmlns:xm="http://schemas.microsoft.com/office/excel/2006/main">
          <x14:cfRule type="containsText" priority="3753" operator="containsText" text="WEB SERVICE" id="{23FE139E-FEE7-44CC-8127-B9DD8F6529A5}">
            <xm:f>NOT(ISERROR(SEARCH("WEB SERVICE",'TC1'!E9)))</xm:f>
            <x14:dxf>
              <font>
                <color rgb="FF9C0006"/>
              </font>
              <fill>
                <patternFill>
                  <bgColor rgb="FFFFC7CE"/>
                </patternFill>
              </fill>
            </x14:dxf>
          </x14:cfRule>
          <x14:cfRule type="containsText" priority="3754" operator="containsText" text="DB" id="{0D580982-00D3-4D6C-B65E-828DFE263F1C}">
            <xm:f>NOT(ISERROR(SEARCH("DB",'TC1'!E9)))</xm:f>
            <x14:dxf>
              <font>
                <color rgb="FF006100"/>
              </font>
              <fill>
                <patternFill>
                  <bgColor rgb="FFC6EFCE"/>
                </patternFill>
              </fill>
            </x14:dxf>
          </x14:cfRule>
          <xm:sqref>E12:E15</xm:sqref>
        </x14:conditionalFormatting>
        <x14:conditionalFormatting xmlns:xm="http://schemas.microsoft.com/office/excel/2006/main">
          <x14:cfRule type="containsText" priority="6310" operator="containsText" text="WEB SERVICE" id="{23FE139E-FEE7-44CC-8127-B9DD8F6529A5}">
            <xm:f>NOT(ISERROR(SEARCH("WEB SERVICE",'TC1'!E15)))</xm:f>
            <x14:dxf>
              <font>
                <color rgb="FF9C0006"/>
              </font>
              <fill>
                <patternFill>
                  <bgColor rgb="FFFFC7CE"/>
                </patternFill>
              </fill>
            </x14:dxf>
          </x14:cfRule>
          <x14:cfRule type="containsText" priority="6311" operator="containsText" text="DB" id="{0D580982-00D3-4D6C-B65E-828DFE263F1C}">
            <xm:f>NOT(ISERROR(SEARCH("DB",'TC1'!E15)))</xm:f>
            <x14:dxf>
              <font>
                <color rgb="FF006100"/>
              </font>
              <fill>
                <patternFill>
                  <bgColor rgb="FFC6EFCE"/>
                </patternFill>
              </fill>
            </x14:dxf>
          </x14:cfRule>
          <xm:sqref>E16</xm:sqref>
        </x14:conditionalFormatting>
        <x14:conditionalFormatting xmlns:xm="http://schemas.microsoft.com/office/excel/2006/main">
          <x14:cfRule type="expression" priority="19" id="{193EE66B-C8FB-452D-8691-7E87CA748269}">
            <xm:f>'TC1'!#REF!="Dial"</xm:f>
            <x14:dxf>
              <font>
                <b/>
                <i val="0"/>
                <color rgb="FFFF0000"/>
              </font>
            </x14:dxf>
          </x14:cfRule>
          <x14:cfRule type="expression" priority="20" id="{28EEFF71-D79A-4913-B206-ECF29E6B99B1}">
            <xm:f>'TC1'!#REF!="HANGUP"</xm:f>
            <x14:dxf>
              <font>
                <b/>
                <i val="0"/>
              </font>
            </x14:dxf>
          </x14:cfRule>
          <xm:sqref>C13</xm:sqref>
        </x14:conditionalFormatting>
        <x14:conditionalFormatting xmlns:xm="http://schemas.microsoft.com/office/excel/2006/main">
          <x14:cfRule type="expression" priority="21" id="{3CFF8F46-739C-460A-824F-B656574B0BC3}">
            <xm:f>'TC1'!#REF!="Speak"</xm:f>
            <x14:dxf>
              <font>
                <b/>
                <i val="0"/>
                <color rgb="FFFF0000"/>
              </font>
            </x14:dxf>
          </x14:cfRule>
          <xm:sqref>C13</xm:sqref>
        </x14:conditionalFormatting>
      </x14:conditionalFormattings>
    </ext>
  </extLst>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32"/>
  <dimension ref="A1:E56"/>
  <sheetViews>
    <sheetView topLeftCell="A16" zoomScaleNormal="100" workbookViewId="0">
      <selection activeCell="D34" sqref="D34"/>
    </sheetView>
  </sheetViews>
  <sheetFormatPr defaultRowHeight="14.5" x14ac:dyDescent="0.35"/>
  <cols>
    <col min="1" max="1" width="14.453125" style="97" bestFit="1" customWidth="1"/>
    <col min="2" max="2" width="42.6328125" style="97" customWidth="1"/>
    <col min="3" max="3" width="106.1796875" style="98" customWidth="1"/>
    <col min="4" max="4" width="21.81640625" style="111" bestFit="1" customWidth="1"/>
    <col min="5" max="5" width="20.6328125" style="97" customWidth="1"/>
  </cols>
  <sheetData>
    <row r="1" spans="1:5" ht="18.5" x14ac:dyDescent="0.35">
      <c r="A1" s="192" t="s">
        <v>4</v>
      </c>
      <c r="B1" s="192"/>
      <c r="C1" s="105"/>
    </row>
    <row r="2" spans="1:5" x14ac:dyDescent="0.35">
      <c r="A2" s="106" t="s">
        <v>5</v>
      </c>
      <c r="B2" s="107" t="str">
        <f ca="1">MID(CELL("filename",A1),FIND("]",CELL("filename",A1))+1,LEN(CELL("filename",A1))-FIND("]",CELL("filename",A1)))</f>
        <v>TC30</v>
      </c>
    </row>
    <row r="3" spans="1:5" x14ac:dyDescent="0.35">
      <c r="A3" s="104" t="s">
        <v>19</v>
      </c>
      <c r="B3" s="112">
        <f ca="1">VLOOKUP(B2,Table53[#All],2,FALSE)</f>
        <v>0</v>
      </c>
    </row>
    <row r="4" spans="1:5" ht="43.5" x14ac:dyDescent="0.35">
      <c r="A4" s="113" t="s">
        <v>20</v>
      </c>
      <c r="B4" s="99" t="str">
        <f ca="1">VLOOKUP(B2,Table53[#All],4,FALSE)</f>
        <v>Recurring, Not Declined, No Last Pmt, Update Savings
Reenter Route &amp; Acct Nbr</v>
      </c>
    </row>
    <row r="5" spans="1:5" x14ac:dyDescent="0.35">
      <c r="A5" s="104" t="s">
        <v>6</v>
      </c>
      <c r="B5" s="93" t="str">
        <f ca="1">VLOOKUP(B2,Table53[#All],3,FALSE)</f>
        <v>Update Information Yes</v>
      </c>
    </row>
    <row r="7" spans="1:5" ht="15.5" x14ac:dyDescent="0.35">
      <c r="A7" s="100" t="s">
        <v>7</v>
      </c>
      <c r="B7" s="101" t="s">
        <v>8</v>
      </c>
      <c r="C7" s="102" t="s">
        <v>9</v>
      </c>
      <c r="D7" s="102" t="s">
        <v>14</v>
      </c>
      <c r="E7" s="103" t="s">
        <v>10</v>
      </c>
    </row>
    <row r="8" spans="1:5" x14ac:dyDescent="0.35">
      <c r="A8" s="118">
        <v>1</v>
      </c>
      <c r="B8" s="114" t="s">
        <v>114</v>
      </c>
      <c r="C8" s="109" t="s">
        <v>125</v>
      </c>
      <c r="D8" s="128"/>
      <c r="E8" s="125" t="s">
        <v>11</v>
      </c>
    </row>
    <row r="9" spans="1:5" x14ac:dyDescent="0.35">
      <c r="A9" s="118">
        <v>2</v>
      </c>
      <c r="B9" s="114" t="s">
        <v>12</v>
      </c>
      <c r="C9" s="109" t="str">
        <f>VLOOKUP(Table2575525269101343444647484956575859636465[[#This Row],[PEG]],Table1016[#All],2,FALSE)</f>
        <v>To get started, tell me your Account Number</v>
      </c>
      <c r="D9" s="141" t="s">
        <v>245</v>
      </c>
      <c r="E9" s="125" t="str">
        <f>VLOOKUP(Table2575525269101343444647484956575859636465[[#This Row],[PEG]],Table1016[#All],3,FALSE)</f>
        <v>Prompt</v>
      </c>
    </row>
    <row r="10" spans="1:5" x14ac:dyDescent="0.35">
      <c r="A10" s="118">
        <v>3</v>
      </c>
      <c r="B10" s="114" t="s">
        <v>393</v>
      </c>
      <c r="C10" s="109" t="s">
        <v>412</v>
      </c>
      <c r="D10" s="141"/>
      <c r="E10" s="125" t="e">
        <f>VLOOKUP(Table2575525269101343444647484956575859636465[[#This Row],[PEG]],Table1016[#All],3,FALSE)</f>
        <v>#N/A</v>
      </c>
    </row>
    <row r="11" spans="1:5" ht="174" x14ac:dyDescent="0.35">
      <c r="A11" s="118">
        <v>4</v>
      </c>
      <c r="B11" s="114" t="s">
        <v>12</v>
      </c>
      <c r="C11" s="109" t="str">
        <f>VLOOKUP(Table2575525269101343444647484956575859636465[[#This Row],[PEG]],Table1016[#All],2,FALSE)</f>
        <v>SAP HANA – SAP01_GetMember
inputs:
idnumber = iIdnumber	T
idtype 	= iIdtype
outputs:
~ Billing Reference
~ Enrollment Details
~ Billing Details
~ Last Payment
~ Recurring Payment Method
~ Stored Payment Method</v>
      </c>
      <c r="D11" s="141" t="s">
        <v>371</v>
      </c>
      <c r="E11" s="125" t="str">
        <f>VLOOKUP(Table2575525269101343444647484956575859636465[[#This Row],[PEG]],Table1016[#All],3,FALSE)</f>
        <v>DB</v>
      </c>
    </row>
    <row r="12" spans="1:5" x14ac:dyDescent="0.35">
      <c r="A12" s="118">
        <v>5</v>
      </c>
      <c r="B12" s="114" t="s">
        <v>115</v>
      </c>
      <c r="C12" s="109" t="str">
        <f>VLOOKUP(Table2575525269101343444647484956575859636465[[#This Row],[PEG]],Table1016[#All],2,FALSE)</f>
        <v>Thanks, I found your account!</v>
      </c>
      <c r="D12" s="141" t="s">
        <v>248</v>
      </c>
      <c r="E12" s="125" t="str">
        <f>VLOOKUP(Table2575525269101343444647484956575859636465[[#This Row],[PEG]],Table1016[#All],3,FALSE)</f>
        <v>Prompt</v>
      </c>
    </row>
    <row r="13" spans="1:5" ht="29" x14ac:dyDescent="0.35">
      <c r="A13" s="118">
        <v>6</v>
      </c>
      <c r="B13" s="114" t="s">
        <v>115</v>
      </c>
      <c r="C13" s="109" t="str">
        <f>VLOOKUP(Table2575525269101343444647484956575859636465[[#This Row],[PEG]],Table1016[#All],2,FALSE)</f>
        <v>You are already setup for recurring payments in the amount of &lt;SAP01_CurrentDue&gt; to be deducted on the last day of each month.</v>
      </c>
      <c r="D13" s="141" t="s">
        <v>266</v>
      </c>
      <c r="E13" s="125" t="str">
        <f>VLOOKUP(Table2575525269101343444647484956575859636465[[#This Row],[PEG]],Table1016[#All],3,FALSE)</f>
        <v>Prompt</v>
      </c>
    </row>
    <row r="14" spans="1:5" x14ac:dyDescent="0.35">
      <c r="A14" s="118">
        <v>7</v>
      </c>
      <c r="B14" s="114" t="s">
        <v>115</v>
      </c>
      <c r="C14" s="109" t="str">
        <f>VLOOKUP(Table2575525269101343444647484956575859636465[[#This Row],[PEG]],Table1016[#All],2,FALSE)</f>
        <v>Do you need to update your payment information?</v>
      </c>
      <c r="D14" s="141" t="s">
        <v>272</v>
      </c>
      <c r="E14" s="125" t="str">
        <f>VLOOKUP(Table2575525269101343444647484956575859636465[[#This Row],[PEG]],Table1016[#All],3,FALSE)</f>
        <v>Prompt</v>
      </c>
    </row>
    <row r="15" spans="1:5" x14ac:dyDescent="0.35">
      <c r="A15" s="118">
        <v>8</v>
      </c>
      <c r="B15" s="114" t="s">
        <v>114</v>
      </c>
      <c r="C15" s="109">
        <v>1</v>
      </c>
      <c r="D15" s="164"/>
      <c r="E15" s="125" t="e">
        <f>VLOOKUP(Table2575525269101343444647484956575859636465[[#This Row],[PEG]],Table1016[#All],3,FALSE)</f>
        <v>#N/A</v>
      </c>
    </row>
    <row r="16" spans="1:5" x14ac:dyDescent="0.35">
      <c r="A16" s="118">
        <v>9</v>
      </c>
      <c r="B16" s="114" t="s">
        <v>115</v>
      </c>
      <c r="C16" s="109" t="str">
        <f>VLOOKUP(Table2575525269101343444647484956575859636465[[#This Row],[PEG]],Table1016[#All],2,FALSE)</f>
        <v>Ok, are you using Credit, Debit, Checking or Savings?</v>
      </c>
      <c r="D16" s="164" t="s">
        <v>286</v>
      </c>
      <c r="E16" s="125" t="str">
        <f>VLOOKUP(Table2575525269101343444647484956575859636465[[#This Row],[PEG]],Table1016[#All],3,FALSE)</f>
        <v>Prompt</v>
      </c>
    </row>
    <row r="17" spans="1:5" x14ac:dyDescent="0.35">
      <c r="A17" s="118">
        <v>10</v>
      </c>
      <c r="B17" s="114" t="s">
        <v>114</v>
      </c>
      <c r="C17" s="109">
        <v>4</v>
      </c>
      <c r="D17" s="165"/>
      <c r="E17" s="125" t="e">
        <f>VLOOKUP(Table2575525269101343444647484956575859636465[[#This Row],[PEG]],Table1016[#All],3,FALSE)</f>
        <v>#N/A</v>
      </c>
    </row>
    <row r="18" spans="1:5" x14ac:dyDescent="0.35">
      <c r="A18" s="118">
        <v>11</v>
      </c>
      <c r="B18" s="114" t="s">
        <v>115</v>
      </c>
      <c r="C18" s="109" t="str">
        <f>VLOOKUP(Table2575525269101343444647484956575859636465[[#This Row],[PEG]],Table1016[#All],2,FALSE)</f>
        <v>Tell me your 9-digit routing number.</v>
      </c>
      <c r="D18" s="165" t="s">
        <v>289</v>
      </c>
      <c r="E18" s="125" t="str">
        <f>VLOOKUP(Table2575525269101343444647484956575859636465[[#This Row],[PEG]],Table1016[#All],3,FALSE)</f>
        <v>Prompt</v>
      </c>
    </row>
    <row r="19" spans="1:5" x14ac:dyDescent="0.35">
      <c r="A19" s="118">
        <v>12</v>
      </c>
      <c r="B19" s="114" t="s">
        <v>114</v>
      </c>
      <c r="C19" s="109" t="s">
        <v>501</v>
      </c>
      <c r="D19" s="165"/>
      <c r="E19" s="125" t="e">
        <f>VLOOKUP(Table2575525269101343444647484956575859636465[[#This Row],[PEG]],Table1016[#All],3,FALSE)</f>
        <v>#N/A</v>
      </c>
    </row>
    <row r="20" spans="1:5" x14ac:dyDescent="0.35">
      <c r="A20" s="118">
        <v>13</v>
      </c>
      <c r="B20" s="114" t="s">
        <v>115</v>
      </c>
      <c r="C20" s="109" t="str">
        <f>VLOOKUP(Table2575525269101343444647484956575859636465[[#This Row],[PEG]],Table1016[#All],2,FALSE)</f>
        <v>Is &lt;ivrBankKey&gt; the right number?</v>
      </c>
      <c r="D20" s="165" t="s">
        <v>292</v>
      </c>
      <c r="E20" s="125" t="str">
        <f>VLOOKUP(Table2575525269101343444647484956575859636465[[#This Row],[PEG]],Table1016[#All],3,FALSE)</f>
        <v>Prompt</v>
      </c>
    </row>
    <row r="21" spans="1:5" x14ac:dyDescent="0.35">
      <c r="A21" s="118">
        <v>14</v>
      </c>
      <c r="B21" s="114" t="s">
        <v>114</v>
      </c>
      <c r="C21" s="109">
        <v>2</v>
      </c>
      <c r="D21" s="165"/>
      <c r="E21" s="125" t="e">
        <f>VLOOKUP(Table2575525269101343444647484956575859636465[[#This Row],[PEG]],Table1016[#All],3,FALSE)</f>
        <v>#N/A</v>
      </c>
    </row>
    <row r="22" spans="1:5" s="97" customFormat="1" x14ac:dyDescent="0.35">
      <c r="A22" s="118">
        <v>15</v>
      </c>
      <c r="B22" s="114" t="s">
        <v>115</v>
      </c>
      <c r="C22" s="109" t="str">
        <f>VLOOKUP(Table2575525269101343444647484956575859636465[[#This Row],[PEG]],Table1016[#All],2,FALSE)</f>
        <v>Tell me your 9-digit routing number.</v>
      </c>
      <c r="D22" s="165" t="s">
        <v>289</v>
      </c>
      <c r="E22" s="125"/>
    </row>
    <row r="23" spans="1:5" s="97" customFormat="1" x14ac:dyDescent="0.35">
      <c r="A23" s="118">
        <v>16</v>
      </c>
      <c r="B23" s="114" t="s">
        <v>114</v>
      </c>
      <c r="C23" s="109" t="s">
        <v>501</v>
      </c>
      <c r="D23" s="165"/>
      <c r="E23" s="125"/>
    </row>
    <row r="24" spans="1:5" s="97" customFormat="1" x14ac:dyDescent="0.35">
      <c r="A24" s="118">
        <v>17</v>
      </c>
      <c r="B24" s="114" t="s">
        <v>115</v>
      </c>
      <c r="C24" s="109" t="str">
        <f>VLOOKUP(Table2575525269101343444647484956575859636465[[#This Row],[PEG]],Table1016[#All],2,FALSE)</f>
        <v>Is &lt;ivrBankKey&gt; the right number?</v>
      </c>
      <c r="D24" s="165" t="s">
        <v>292</v>
      </c>
      <c r="E24" s="125"/>
    </row>
    <row r="25" spans="1:5" s="97" customFormat="1" x14ac:dyDescent="0.35">
      <c r="A25" s="118">
        <v>18</v>
      </c>
      <c r="B25" s="114" t="s">
        <v>114</v>
      </c>
      <c r="C25" s="109">
        <v>1</v>
      </c>
      <c r="D25" s="165"/>
      <c r="E25" s="125"/>
    </row>
    <row r="26" spans="1:5" x14ac:dyDescent="0.35">
      <c r="A26" s="118">
        <v>19</v>
      </c>
      <c r="B26" s="114" t="s">
        <v>115</v>
      </c>
      <c r="C26" s="109" t="str">
        <f>VLOOKUP(Table2575525269101343444647484956575859636465[[#This Row],[PEG]],Table1016[#All],2,FALSE)</f>
        <v>Now what is your savings account number.</v>
      </c>
      <c r="D26" s="165" t="s">
        <v>296</v>
      </c>
      <c r="E26" s="125" t="str">
        <f>VLOOKUP(Table2575525269101343444647484956575859636465[[#This Row],[PEG]],Table1016[#All],3,FALSE)</f>
        <v>Prompt</v>
      </c>
    </row>
    <row r="27" spans="1:5" x14ac:dyDescent="0.35">
      <c r="A27" s="118">
        <v>20</v>
      </c>
      <c r="B27" s="114" t="s">
        <v>114</v>
      </c>
      <c r="C27" s="109" t="s">
        <v>412</v>
      </c>
      <c r="D27" s="165"/>
      <c r="E27" s="125" t="e">
        <f>VLOOKUP(Table2575525269101343444647484956575859636465[[#This Row],[PEG]],Table1016[#All],3,FALSE)</f>
        <v>#N/A</v>
      </c>
    </row>
    <row r="28" spans="1:5" x14ac:dyDescent="0.35">
      <c r="A28" s="118">
        <v>21</v>
      </c>
      <c r="B28" s="114" t="s">
        <v>115</v>
      </c>
      <c r="C28" s="109" t="str">
        <f>VLOOKUP(Table2575525269101343444647484956575859636465[[#This Row],[PEG]],Table1016[#All],2,FALSE)</f>
        <v>Is &lt;ivrBankAcct&gt; the right number?</v>
      </c>
      <c r="D28" s="165" t="s">
        <v>301</v>
      </c>
      <c r="E28" s="125">
        <f>VLOOKUP(Table2575525269101343444647484956575859636465[[#This Row],[PEG]],Table1016[#All],3,FALSE)</f>
        <v>0</v>
      </c>
    </row>
    <row r="29" spans="1:5" x14ac:dyDescent="0.35">
      <c r="A29" s="118">
        <v>22</v>
      </c>
      <c r="B29" s="114" t="s">
        <v>114</v>
      </c>
      <c r="C29" s="109">
        <v>2</v>
      </c>
      <c r="D29" s="165"/>
      <c r="E29" s="125" t="e">
        <f>VLOOKUP(Table2575525269101343444647484956575859636465[[#This Row],[PEG]],Table1016[#All],3,FALSE)</f>
        <v>#N/A</v>
      </c>
    </row>
    <row r="30" spans="1:5" s="97" customFormat="1" x14ac:dyDescent="0.35">
      <c r="A30" s="118">
        <v>23</v>
      </c>
      <c r="B30" s="114" t="s">
        <v>115</v>
      </c>
      <c r="C30" s="109" t="str">
        <f>VLOOKUP(Table2575525269101343444647484956575859636465[[#This Row],[PEG]],Table1016[#All],2,FALSE)</f>
        <v>Now what is your savings account number.</v>
      </c>
      <c r="D30" s="165" t="s">
        <v>296</v>
      </c>
      <c r="E30" s="125"/>
    </row>
    <row r="31" spans="1:5" s="97" customFormat="1" x14ac:dyDescent="0.35">
      <c r="A31" s="118">
        <v>24</v>
      </c>
      <c r="B31" s="114" t="s">
        <v>114</v>
      </c>
      <c r="C31" s="109" t="s">
        <v>412</v>
      </c>
      <c r="D31" s="165"/>
      <c r="E31" s="125"/>
    </row>
    <row r="32" spans="1:5" s="97" customFormat="1" x14ac:dyDescent="0.35">
      <c r="A32" s="118">
        <v>25</v>
      </c>
      <c r="B32" s="114" t="s">
        <v>115</v>
      </c>
      <c r="C32" s="109" t="str">
        <f>VLOOKUP(Table2575525269101343444647484956575859636465[[#This Row],[PEG]],Table1016[#All],2,FALSE)</f>
        <v>Is &lt;ivrBankAcct&gt; the right number?</v>
      </c>
      <c r="D32" s="165" t="s">
        <v>301</v>
      </c>
      <c r="E32" s="125"/>
    </row>
    <row r="33" spans="1:5" s="97" customFormat="1" x14ac:dyDescent="0.35">
      <c r="A33" s="118">
        <v>26</v>
      </c>
      <c r="B33" s="114" t="s">
        <v>114</v>
      </c>
      <c r="C33" s="109">
        <v>1</v>
      </c>
      <c r="D33" s="165"/>
      <c r="E33" s="125"/>
    </row>
    <row r="34" spans="1:5" x14ac:dyDescent="0.35">
      <c r="A34" s="118">
        <v>27</v>
      </c>
      <c r="B34" s="114" t="s">
        <v>115</v>
      </c>
      <c r="C34" s="109" t="str">
        <f>VLOOKUP(Table2575525269101343444647484956575859636465[[#This Row],[PEG]],Table1016[#All],2,FALSE)</f>
        <v>To confirm, you want to update your payment method using the account ending in &lt;last 4 digits of ivrBankAcct&gt; Is that right?</v>
      </c>
      <c r="D34" s="165" t="s">
        <v>313</v>
      </c>
      <c r="E34" s="125" t="str">
        <f>VLOOKUP(Table2575525269101343444647484956575859636465[[#This Row],[PEG]],Table1016[#All],3,FALSE)</f>
        <v>Prompt</v>
      </c>
    </row>
    <row r="35" spans="1:5" x14ac:dyDescent="0.35">
      <c r="A35" s="118">
        <v>28</v>
      </c>
      <c r="B35" s="114" t="s">
        <v>114</v>
      </c>
      <c r="C35" s="109">
        <v>1</v>
      </c>
      <c r="D35" s="165"/>
      <c r="E35" s="125" t="e">
        <f>VLOOKUP(Table2575525269101343444647484956575859636465[[#This Row],[PEG]],Table1016[#All],3,FALSE)</f>
        <v>#N/A</v>
      </c>
    </row>
    <row r="36" spans="1:5" ht="203" x14ac:dyDescent="0.35">
      <c r="A36" s="118">
        <v>29</v>
      </c>
      <c r="B36" s="114" t="s">
        <v>12</v>
      </c>
      <c r="C36" s="109" t="str">
        <f>VLOOKUP(Table2575525269101343444647484956575859636465[[#This Row],[PEG]],Table1016[#All],2,FALSE)</f>
        <v>SAP HANA - SAP04_CreateEFTPaymentMethod
inputs:
Businesspartner	= SAP01_Partner
Insobject		= SAP01_Insobject
BankKey		= ivrBankKey
BankAcct		= ivrBankAcct
Accountholder	= SAP01_NameFirst + ' ' + SAP01_NameLast 
BankAccountType	= ivrBankAccountType
RecurringBank	= "X"
StoredBank	= "X"
DeleteBank	= " "
outputs:
SAP04_ConfirmationNum</v>
      </c>
      <c r="D36" s="165" t="s">
        <v>375</v>
      </c>
      <c r="E36" s="125" t="str">
        <f>VLOOKUP(Table2575525269101343444647484956575859636465[[#This Row],[PEG]],Table1016[#All],3,FALSE)</f>
        <v>DB</v>
      </c>
    </row>
    <row r="37" spans="1:5" ht="29" x14ac:dyDescent="0.35">
      <c r="A37" s="118">
        <v>30</v>
      </c>
      <c r="B37" s="114" t="s">
        <v>115</v>
      </c>
      <c r="C37" s="109" t="str">
        <f>VLOOKUP(Table2575525269101343444647484956575859636465[[#This Row],[PEG]],Table1016[#All],2,FALSE)</f>
        <v>Your account is updated with the new payment method. For future transactions you can also access your plan details, or manage your account online anytime at members.lacare.com.  Thank you for calling.</v>
      </c>
      <c r="D37" s="165" t="s">
        <v>363</v>
      </c>
      <c r="E37" s="125" t="str">
        <f>VLOOKUP(Table2575525269101343444647484956575859636465[[#This Row],[PEG]],Table1016[#All],3,FALSE)</f>
        <v>Prompt</v>
      </c>
    </row>
    <row r="38" spans="1:5" x14ac:dyDescent="0.35">
      <c r="A38" s="118">
        <v>31</v>
      </c>
      <c r="B38" s="114" t="s">
        <v>13</v>
      </c>
      <c r="C38" s="18" t="s">
        <v>13</v>
      </c>
      <c r="D38" s="167"/>
      <c r="E38" s="32"/>
    </row>
    <row r="39" spans="1:5" x14ac:dyDescent="0.35">
      <c r="C39" s="26"/>
      <c r="D39" s="111" t="s">
        <v>0</v>
      </c>
    </row>
    <row r="40" spans="1:5" x14ac:dyDescent="0.35">
      <c r="C40" s="26"/>
    </row>
    <row r="41" spans="1:5" x14ac:dyDescent="0.35">
      <c r="C41" s="26"/>
    </row>
    <row r="42" spans="1:5" x14ac:dyDescent="0.35">
      <c r="C42" s="26"/>
    </row>
    <row r="43" spans="1:5" x14ac:dyDescent="0.35">
      <c r="C43" s="26"/>
    </row>
    <row r="44" spans="1:5" x14ac:dyDescent="0.35">
      <c r="C44" s="26"/>
    </row>
    <row r="45" spans="1:5" x14ac:dyDescent="0.35">
      <c r="C45" s="26"/>
    </row>
    <row r="46" spans="1:5" x14ac:dyDescent="0.35">
      <c r="C46" s="26"/>
    </row>
    <row r="47" spans="1:5" x14ac:dyDescent="0.35">
      <c r="C47" s="26"/>
    </row>
    <row r="48" spans="1:5" x14ac:dyDescent="0.35">
      <c r="C48" s="26"/>
    </row>
    <row r="49" spans="3:3" x14ac:dyDescent="0.35">
      <c r="C49" s="26"/>
    </row>
    <row r="50" spans="3:3" x14ac:dyDescent="0.35">
      <c r="C50" s="26"/>
    </row>
    <row r="51" spans="3:3" x14ac:dyDescent="0.35">
      <c r="C51" s="26"/>
    </row>
    <row r="52" spans="3:3" x14ac:dyDescent="0.35">
      <c r="C52" s="26"/>
    </row>
    <row r="53" spans="3:3" x14ac:dyDescent="0.35">
      <c r="C53" s="26"/>
    </row>
    <row r="54" spans="3:3" x14ac:dyDescent="0.35">
      <c r="C54" s="27"/>
    </row>
    <row r="55" spans="3:3" x14ac:dyDescent="0.35">
      <c r="C55" s="27"/>
    </row>
    <row r="56" spans="3:3" x14ac:dyDescent="0.35">
      <c r="C56" s="27"/>
    </row>
  </sheetData>
  <mergeCells count="1">
    <mergeCell ref="A1:B1"/>
  </mergeCells>
  <conditionalFormatting sqref="B37:B38">
    <cfRule type="containsText" dxfId="5160" priority="92" operator="containsText" text="Hear">
      <formula>NOT(ISERROR(SEARCH("Hear",B37)))</formula>
    </cfRule>
  </conditionalFormatting>
  <conditionalFormatting sqref="E38">
    <cfRule type="containsText" dxfId="5159" priority="90" operator="containsText" text="WEB SERVICE">
      <formula>NOT(ISERROR(SEARCH("WEB SERVICE",E38)))</formula>
    </cfRule>
    <cfRule type="containsText" dxfId="5158" priority="91" operator="containsText" text="DB">
      <formula>NOT(ISERROR(SEARCH("DB",E38)))</formula>
    </cfRule>
  </conditionalFormatting>
  <conditionalFormatting sqref="C38:C9995">
    <cfRule type="expression" dxfId="5157" priority="93">
      <formula>$B38="Dial"</formula>
    </cfRule>
    <cfRule type="expression" dxfId="5156" priority="95">
      <formula>$B38="HANGUP"</formula>
    </cfRule>
  </conditionalFormatting>
  <conditionalFormatting sqref="C38">
    <cfRule type="expression" dxfId="5155" priority="94">
      <formula>$B38="Speak"</formula>
    </cfRule>
  </conditionalFormatting>
  <conditionalFormatting sqref="B8:B36">
    <cfRule type="containsText" dxfId="5154" priority="55" operator="containsText" text="Hear">
      <formula>NOT(ISERROR(SEARCH("Hear",B8)))</formula>
    </cfRule>
  </conditionalFormatting>
  <conditionalFormatting sqref="C15">
    <cfRule type="expression" dxfId="5153" priority="40">
      <formula>$B15="Dial"</formula>
    </cfRule>
    <cfRule type="expression" dxfId="5152" priority="42">
      <formula>$B15="HANGUP"</formula>
    </cfRule>
  </conditionalFormatting>
  <conditionalFormatting sqref="C15">
    <cfRule type="expression" dxfId="5151" priority="41">
      <formula>$B15="Speak"</formula>
    </cfRule>
  </conditionalFormatting>
  <conditionalFormatting sqref="C21">
    <cfRule type="expression" dxfId="5150" priority="37">
      <formula>$B21="Dial"</formula>
    </cfRule>
    <cfRule type="expression" dxfId="5149" priority="39">
      <formula>$B21="HANGUP"</formula>
    </cfRule>
  </conditionalFormatting>
  <conditionalFormatting sqref="C21">
    <cfRule type="expression" dxfId="5148" priority="38">
      <formula>$B21="Speak"</formula>
    </cfRule>
  </conditionalFormatting>
  <conditionalFormatting sqref="C29">
    <cfRule type="expression" dxfId="5147" priority="34">
      <formula>$B29="Dial"</formula>
    </cfRule>
    <cfRule type="expression" dxfId="5146" priority="36">
      <formula>$B29="HANGUP"</formula>
    </cfRule>
  </conditionalFormatting>
  <conditionalFormatting sqref="C29">
    <cfRule type="expression" dxfId="5145" priority="35">
      <formula>$B29="Speak"</formula>
    </cfRule>
  </conditionalFormatting>
  <conditionalFormatting sqref="C17">
    <cfRule type="expression" dxfId="5144" priority="31">
      <formula>$B17="Dial"</formula>
    </cfRule>
    <cfRule type="expression" dxfId="5143" priority="33">
      <formula>$B17="HANGUP"</formula>
    </cfRule>
  </conditionalFormatting>
  <conditionalFormatting sqref="C17">
    <cfRule type="expression" dxfId="5142" priority="32">
      <formula>$B17="Speak"</formula>
    </cfRule>
  </conditionalFormatting>
  <conditionalFormatting sqref="C35">
    <cfRule type="expression" dxfId="5141" priority="28">
      <formula>$B35="Dial"</formula>
    </cfRule>
    <cfRule type="expression" dxfId="5140" priority="30">
      <formula>$B35="HANGUP"</formula>
    </cfRule>
  </conditionalFormatting>
  <conditionalFormatting sqref="C35">
    <cfRule type="expression" dxfId="5139" priority="29">
      <formula>$B35="Speak"</formula>
    </cfRule>
  </conditionalFormatting>
  <conditionalFormatting sqref="C19">
    <cfRule type="expression" dxfId="5138" priority="22">
      <formula>$B19="Dial"</formula>
    </cfRule>
    <cfRule type="expression" dxfId="5137" priority="24">
      <formula>$B19="HANGUP"</formula>
    </cfRule>
  </conditionalFormatting>
  <conditionalFormatting sqref="C19">
    <cfRule type="expression" dxfId="5136" priority="23">
      <formula>$B19="Speak"</formula>
    </cfRule>
  </conditionalFormatting>
  <conditionalFormatting sqref="C23">
    <cfRule type="expression" dxfId="5135" priority="19">
      <formula>$B23="Dial"</formula>
    </cfRule>
    <cfRule type="expression" dxfId="5134" priority="21">
      <formula>$B23="HANGUP"</formula>
    </cfRule>
  </conditionalFormatting>
  <conditionalFormatting sqref="C23">
    <cfRule type="expression" dxfId="5133" priority="20">
      <formula>$B23="Speak"</formula>
    </cfRule>
  </conditionalFormatting>
  <conditionalFormatting sqref="C27">
    <cfRule type="expression" dxfId="5132" priority="16">
      <formula>$B27="Dial"</formula>
    </cfRule>
    <cfRule type="expression" dxfId="5131" priority="18">
      <formula>$B27="HANGUP"</formula>
    </cfRule>
  </conditionalFormatting>
  <conditionalFormatting sqref="C27">
    <cfRule type="expression" dxfId="5130" priority="17">
      <formula>$B27="Speak"</formula>
    </cfRule>
  </conditionalFormatting>
  <conditionalFormatting sqref="C25">
    <cfRule type="expression" dxfId="5129" priority="10">
      <formula>$B25="Dial"</formula>
    </cfRule>
    <cfRule type="expression" dxfId="5128" priority="12">
      <formula>$B25="HANGUP"</formula>
    </cfRule>
  </conditionalFormatting>
  <conditionalFormatting sqref="C25">
    <cfRule type="expression" dxfId="5127" priority="11">
      <formula>$B25="Speak"</formula>
    </cfRule>
  </conditionalFormatting>
  <conditionalFormatting sqref="C31">
    <cfRule type="expression" dxfId="5126" priority="4">
      <formula>$B31="Dial"</formula>
    </cfRule>
    <cfRule type="expression" dxfId="5125" priority="6">
      <formula>$B31="HANGUP"</formula>
    </cfRule>
  </conditionalFormatting>
  <conditionalFormatting sqref="C31">
    <cfRule type="expression" dxfId="5124" priority="5">
      <formula>$B31="Speak"</formula>
    </cfRule>
  </conditionalFormatting>
  <conditionalFormatting sqref="C33">
    <cfRule type="expression" dxfId="5123" priority="1">
      <formula>$B33="Dial"</formula>
    </cfRule>
    <cfRule type="expression" dxfId="5122" priority="3">
      <formula>$B33="HANGUP"</formula>
    </cfRule>
  </conditionalFormatting>
  <conditionalFormatting sqref="C33">
    <cfRule type="expression" dxfId="5121" priority="2">
      <formula>$B33="Speak"</formula>
    </cfRule>
  </conditionalFormatting>
  <hyperlinks>
    <hyperlink ref="A1" location="'Test Case Overview'!A1" display="Return to Test Case Overview" xr:uid="{00000000-0004-0000-1E00-000000000000}"/>
  </hyperlinks>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expression" priority="87" id="{020162C0-4E20-49C4-9887-3F67DAF46504}">
            <xm:f>'TC1'!$B8="Dial"</xm:f>
            <x14:dxf>
              <font>
                <b/>
                <i val="0"/>
                <color rgb="FFFF0000"/>
              </font>
            </x14:dxf>
          </x14:cfRule>
          <x14:cfRule type="expression" priority="89" id="{986CE9F3-8F67-4738-BC41-C7361D96DDE6}">
            <xm:f>'TC1'!$B8="HANGUP"</xm:f>
            <x14:dxf>
              <font>
                <b/>
                <i val="0"/>
              </font>
            </x14:dxf>
          </x14:cfRule>
          <xm:sqref>C8 C10</xm:sqref>
        </x14:conditionalFormatting>
        <x14:conditionalFormatting xmlns:xm="http://schemas.microsoft.com/office/excel/2006/main">
          <x14:cfRule type="expression" priority="88" id="{C3CA722B-ACA7-494D-A9B6-6C3A9A3E5877}">
            <xm:f>'TC1'!$B8="Speak"</xm:f>
            <x14:dxf>
              <font>
                <b/>
                <i val="0"/>
                <color rgb="FFFF0000"/>
              </font>
            </x14:dxf>
          </x14:cfRule>
          <xm:sqref>C8 C10</xm:sqref>
        </x14:conditionalFormatting>
        <x14:conditionalFormatting xmlns:xm="http://schemas.microsoft.com/office/excel/2006/main">
          <x14:cfRule type="expression" priority="945" id="{020162C0-4E20-49C4-9887-3F67DAF46504}">
            <xm:f>'TC1'!#REF!="Dial"</xm:f>
            <x14:dxf>
              <font>
                <b/>
                <i val="0"/>
                <color rgb="FFFF0000"/>
              </font>
            </x14:dxf>
          </x14:cfRule>
          <x14:cfRule type="expression" priority="946" id="{986CE9F3-8F67-4738-BC41-C7361D96DDE6}">
            <xm:f>'TC1'!#REF!="HANGUP"</xm:f>
            <x14:dxf>
              <font>
                <b/>
                <i val="0"/>
              </font>
            </x14:dxf>
          </x14:cfRule>
          <xm:sqref>C18 C26 C34 C36:C37 C20 C28</xm:sqref>
        </x14:conditionalFormatting>
        <x14:conditionalFormatting xmlns:xm="http://schemas.microsoft.com/office/excel/2006/main">
          <x14:cfRule type="expression" priority="951" id="{C3CA722B-ACA7-494D-A9B6-6C3A9A3E5877}">
            <xm:f>'TC1'!#REF!="Speak"</xm:f>
            <x14:dxf>
              <font>
                <b/>
                <i val="0"/>
                <color rgb="FFFF0000"/>
              </font>
            </x14:dxf>
          </x14:cfRule>
          <xm:sqref>C18 C26 C34 C36:C37 C20 C28</xm:sqref>
        </x14:conditionalFormatting>
        <x14:conditionalFormatting xmlns:xm="http://schemas.microsoft.com/office/excel/2006/main">
          <x14:cfRule type="containsText" priority="957" operator="containsText" text="WEB SERVICE" id="{657F4E46-9A13-4B24-88FC-30D966946345}">
            <xm:f>NOT(ISERROR(SEARCH("WEB SERVICE",'TC1'!#REF!)))</xm:f>
            <x14:dxf>
              <font>
                <color rgb="FF9C0006"/>
              </font>
              <fill>
                <patternFill>
                  <bgColor rgb="FFFFC7CE"/>
                </patternFill>
              </fill>
            </x14:dxf>
          </x14:cfRule>
          <x14:cfRule type="containsText" priority="958" operator="containsText" text="DB" id="{40AE917C-527E-404B-95D8-6F5363AE8D47}">
            <xm:f>NOT(ISERROR(SEARCH("DB",'TC1'!#REF!)))</xm:f>
            <x14:dxf>
              <font>
                <color rgb="FF006100"/>
              </font>
              <fill>
                <patternFill>
                  <bgColor rgb="FFC6EFCE"/>
                </patternFill>
              </fill>
            </x14:dxf>
          </x14:cfRule>
          <xm:sqref>E17:E37</xm:sqref>
        </x14:conditionalFormatting>
        <x14:conditionalFormatting xmlns:xm="http://schemas.microsoft.com/office/excel/2006/main">
          <x14:cfRule type="expression" priority="3792" id="{020162C0-4E20-49C4-9887-3F67DAF46504}">
            <xm:f>'TC1'!$B9="Dial"</xm:f>
            <x14:dxf>
              <font>
                <b/>
                <i val="0"/>
                <color rgb="FFFF0000"/>
              </font>
            </x14:dxf>
          </x14:cfRule>
          <x14:cfRule type="expression" priority="3793" id="{986CE9F3-8F67-4738-BC41-C7361D96DDE6}">
            <xm:f>'TC1'!$B9="HANGUP"</xm:f>
            <x14:dxf>
              <font>
                <b/>
                <i val="0"/>
              </font>
            </x14:dxf>
          </x14:cfRule>
          <xm:sqref>C12 C14 C16</xm:sqref>
        </x14:conditionalFormatting>
        <x14:conditionalFormatting xmlns:xm="http://schemas.microsoft.com/office/excel/2006/main">
          <x14:cfRule type="expression" priority="3794" id="{020162C0-4E20-49C4-9887-3F67DAF46504}">
            <xm:f>'TC1'!#REF!="Dial"</xm:f>
            <x14:dxf>
              <font>
                <b/>
                <i val="0"/>
                <color rgb="FFFF0000"/>
              </font>
            </x14:dxf>
          </x14:cfRule>
          <x14:cfRule type="expression" priority="3795" id="{986CE9F3-8F67-4738-BC41-C7361D96DDE6}">
            <xm:f>'TC1'!#REF!="HANGUP"</xm:f>
            <x14:dxf>
              <font>
                <b/>
                <i val="0"/>
              </font>
            </x14:dxf>
          </x14:cfRule>
          <xm:sqref>C9 C11</xm:sqref>
        </x14:conditionalFormatting>
        <x14:conditionalFormatting xmlns:xm="http://schemas.microsoft.com/office/excel/2006/main">
          <x14:cfRule type="expression" priority="3799" id="{C3CA722B-ACA7-494D-A9B6-6C3A9A3E5877}">
            <xm:f>'TC1'!$B9="Speak"</xm:f>
            <x14:dxf>
              <font>
                <b/>
                <i val="0"/>
                <color rgb="FFFF0000"/>
              </font>
            </x14:dxf>
          </x14:cfRule>
          <xm:sqref>C12 C14 C16</xm:sqref>
        </x14:conditionalFormatting>
        <x14:conditionalFormatting xmlns:xm="http://schemas.microsoft.com/office/excel/2006/main">
          <x14:cfRule type="expression" priority="3800" id="{C3CA722B-ACA7-494D-A9B6-6C3A9A3E5877}">
            <xm:f>'TC1'!#REF!="Speak"</xm:f>
            <x14:dxf>
              <font>
                <b/>
                <i val="0"/>
                <color rgb="FFFF0000"/>
              </font>
            </x14:dxf>
          </x14:cfRule>
          <xm:sqref>C9 C11</xm:sqref>
        </x14:conditionalFormatting>
        <x14:conditionalFormatting xmlns:xm="http://schemas.microsoft.com/office/excel/2006/main">
          <x14:cfRule type="containsText" priority="3802" operator="containsText" text="WEB SERVICE" id="{657F4E46-9A13-4B24-88FC-30D966946345}">
            <xm:f>NOT(ISERROR(SEARCH("WEB SERVICE",'TC1'!#REF!)))</xm:f>
            <x14:dxf>
              <font>
                <color rgb="FF9C0006"/>
              </font>
              <fill>
                <patternFill>
                  <bgColor rgb="FFFFC7CE"/>
                </patternFill>
              </fill>
            </x14:dxf>
          </x14:cfRule>
          <x14:cfRule type="containsText" priority="3803" operator="containsText" text="DB" id="{40AE917C-527E-404B-95D8-6F5363AE8D47}">
            <xm:f>NOT(ISERROR(SEARCH("DB",'TC1'!#REF!)))</xm:f>
            <x14:dxf>
              <font>
                <color rgb="FF006100"/>
              </font>
              <fill>
                <patternFill>
                  <bgColor rgb="FFC6EFCE"/>
                </patternFill>
              </fill>
            </x14:dxf>
          </x14:cfRule>
          <xm:sqref>E9:E11</xm:sqref>
        </x14:conditionalFormatting>
        <x14:conditionalFormatting xmlns:xm="http://schemas.microsoft.com/office/excel/2006/main">
          <x14:cfRule type="containsText" priority="3804" operator="containsText" text="WEB SERVICE" id="{657F4E46-9A13-4B24-88FC-30D966946345}">
            <xm:f>NOT(ISERROR(SEARCH("WEB SERVICE",'TC1'!E9)))</xm:f>
            <x14:dxf>
              <font>
                <color rgb="FF9C0006"/>
              </font>
              <fill>
                <patternFill>
                  <bgColor rgb="FFFFC7CE"/>
                </patternFill>
              </fill>
            </x14:dxf>
          </x14:cfRule>
          <x14:cfRule type="containsText" priority="3805" operator="containsText" text="DB" id="{40AE917C-527E-404B-95D8-6F5363AE8D47}">
            <xm:f>NOT(ISERROR(SEARCH("DB",'TC1'!E9)))</xm:f>
            <x14:dxf>
              <font>
                <color rgb="FF006100"/>
              </font>
              <fill>
                <patternFill>
                  <bgColor rgb="FFC6EFCE"/>
                </patternFill>
              </fill>
            </x14:dxf>
          </x14:cfRule>
          <xm:sqref>E12:E15</xm:sqref>
        </x14:conditionalFormatting>
        <x14:conditionalFormatting xmlns:xm="http://schemas.microsoft.com/office/excel/2006/main">
          <x14:cfRule type="containsText" priority="6357" operator="containsText" text="WEB SERVICE" id="{657F4E46-9A13-4B24-88FC-30D966946345}">
            <xm:f>NOT(ISERROR(SEARCH("WEB SERVICE",'TC1'!E15)))</xm:f>
            <x14:dxf>
              <font>
                <color rgb="FF9C0006"/>
              </font>
              <fill>
                <patternFill>
                  <bgColor rgb="FFFFC7CE"/>
                </patternFill>
              </fill>
            </x14:dxf>
          </x14:cfRule>
          <x14:cfRule type="containsText" priority="6358" operator="containsText" text="DB" id="{40AE917C-527E-404B-95D8-6F5363AE8D47}">
            <xm:f>NOT(ISERROR(SEARCH("DB",'TC1'!E15)))</xm:f>
            <x14:dxf>
              <font>
                <color rgb="FF006100"/>
              </font>
              <fill>
                <patternFill>
                  <bgColor rgb="FFC6EFCE"/>
                </patternFill>
              </fill>
            </x14:dxf>
          </x14:cfRule>
          <xm:sqref>E16</xm:sqref>
        </x14:conditionalFormatting>
        <x14:conditionalFormatting xmlns:xm="http://schemas.microsoft.com/office/excel/2006/main">
          <x14:cfRule type="expression" priority="52" id="{F9D38B90-317A-4EFF-BBD4-565F7BCD6326}">
            <xm:f>'TC1'!#REF!="Dial"</xm:f>
            <x14:dxf>
              <font>
                <b/>
                <i val="0"/>
                <color rgb="FFFF0000"/>
              </font>
            </x14:dxf>
          </x14:cfRule>
          <x14:cfRule type="expression" priority="53" id="{5EFD00A2-FC4E-4A4F-949F-03D1B94E2BF9}">
            <xm:f>'TC1'!#REF!="HANGUP"</xm:f>
            <x14:dxf>
              <font>
                <b/>
                <i val="0"/>
              </font>
            </x14:dxf>
          </x14:cfRule>
          <xm:sqref>C13</xm:sqref>
        </x14:conditionalFormatting>
        <x14:conditionalFormatting xmlns:xm="http://schemas.microsoft.com/office/excel/2006/main">
          <x14:cfRule type="expression" priority="54" id="{CF26B4B2-9686-4956-AA16-DBAC2921743E}">
            <xm:f>'TC1'!#REF!="Speak"</xm:f>
            <x14:dxf>
              <font>
                <b/>
                <i val="0"/>
                <color rgb="FFFF0000"/>
              </font>
            </x14:dxf>
          </x14:cfRule>
          <xm:sqref>C13</xm:sqref>
        </x14:conditionalFormatting>
        <x14:conditionalFormatting xmlns:xm="http://schemas.microsoft.com/office/excel/2006/main">
          <x14:cfRule type="expression" priority="25" id="{4EA5037E-496B-4A66-870F-D004610B1056}">
            <xm:f>'TC1'!#REF!="Dial"</xm:f>
            <x14:dxf>
              <font>
                <b/>
                <i val="0"/>
                <color rgb="FFFF0000"/>
              </font>
            </x14:dxf>
          </x14:cfRule>
          <x14:cfRule type="expression" priority="26" id="{D68166B7-19A4-472E-BB5D-F7D71D201718}">
            <xm:f>'TC1'!#REF!="HANGUP"</xm:f>
            <x14:dxf>
              <font>
                <b/>
                <i val="0"/>
              </font>
            </x14:dxf>
          </x14:cfRule>
          <xm:sqref>C22</xm:sqref>
        </x14:conditionalFormatting>
        <x14:conditionalFormatting xmlns:xm="http://schemas.microsoft.com/office/excel/2006/main">
          <x14:cfRule type="expression" priority="27" id="{F2E70E25-9E29-479A-AC5C-06FE578D4B7C}">
            <xm:f>'TC1'!#REF!="Speak"</xm:f>
            <x14:dxf>
              <font>
                <b/>
                <i val="0"/>
                <color rgb="FFFF0000"/>
              </font>
            </x14:dxf>
          </x14:cfRule>
          <xm:sqref>C22</xm:sqref>
        </x14:conditionalFormatting>
        <x14:conditionalFormatting xmlns:xm="http://schemas.microsoft.com/office/excel/2006/main">
          <x14:cfRule type="expression" priority="13" id="{D0BBBAE9-5983-495C-85B6-BFC443E9522C}">
            <xm:f>'TC1'!#REF!="Dial"</xm:f>
            <x14:dxf>
              <font>
                <b/>
                <i val="0"/>
                <color rgb="FFFF0000"/>
              </font>
            </x14:dxf>
          </x14:cfRule>
          <x14:cfRule type="expression" priority="14" id="{A7728469-93AC-448B-9F1B-59E4117AC0C7}">
            <xm:f>'TC1'!#REF!="HANGUP"</xm:f>
            <x14:dxf>
              <font>
                <b/>
                <i val="0"/>
              </font>
            </x14:dxf>
          </x14:cfRule>
          <xm:sqref>C24</xm:sqref>
        </x14:conditionalFormatting>
        <x14:conditionalFormatting xmlns:xm="http://schemas.microsoft.com/office/excel/2006/main">
          <x14:cfRule type="expression" priority="15" id="{A4C59CFA-CB77-461A-9767-D4B110CC6B41}">
            <xm:f>'TC1'!#REF!="Speak"</xm:f>
            <x14:dxf>
              <font>
                <b/>
                <i val="0"/>
                <color rgb="FFFF0000"/>
              </font>
            </x14:dxf>
          </x14:cfRule>
          <xm:sqref>C24</xm:sqref>
        </x14:conditionalFormatting>
        <x14:conditionalFormatting xmlns:xm="http://schemas.microsoft.com/office/excel/2006/main">
          <x14:cfRule type="expression" priority="7" id="{8E2D5B59-9508-44E7-9881-67230D527481}">
            <xm:f>'TC1'!#REF!="Dial"</xm:f>
            <x14:dxf>
              <font>
                <b/>
                <i val="0"/>
                <color rgb="FFFF0000"/>
              </font>
            </x14:dxf>
          </x14:cfRule>
          <x14:cfRule type="expression" priority="8" id="{7E331A8B-1BCC-41A4-ADFE-6E000AA04C49}">
            <xm:f>'TC1'!#REF!="HANGUP"</xm:f>
            <x14:dxf>
              <font>
                <b/>
                <i val="0"/>
              </font>
            </x14:dxf>
          </x14:cfRule>
          <xm:sqref>C30 C32</xm:sqref>
        </x14:conditionalFormatting>
        <x14:conditionalFormatting xmlns:xm="http://schemas.microsoft.com/office/excel/2006/main">
          <x14:cfRule type="expression" priority="9" id="{71CA2236-01CE-4833-91BE-215CAEA667F5}">
            <xm:f>'TC1'!#REF!="Speak"</xm:f>
            <x14:dxf>
              <font>
                <b/>
                <i val="0"/>
                <color rgb="FFFF0000"/>
              </font>
            </x14:dxf>
          </x14:cfRule>
          <xm:sqref>C30 C32</xm:sqref>
        </x14:conditionalFormatting>
      </x14:conditionalFormattings>
    </ext>
  </extLst>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33"/>
  <dimension ref="A1:E35"/>
  <sheetViews>
    <sheetView zoomScaleNormal="100" workbookViewId="0">
      <selection activeCell="C5" sqref="C5"/>
    </sheetView>
  </sheetViews>
  <sheetFormatPr defaultRowHeight="14.5" x14ac:dyDescent="0.35"/>
  <cols>
    <col min="1" max="1" width="14.453125" style="97" bestFit="1" customWidth="1"/>
    <col min="2" max="2" width="42.6328125" style="97" customWidth="1"/>
    <col min="3" max="3" width="106.1796875" style="98" customWidth="1"/>
    <col min="4" max="4" width="21.81640625" style="111" bestFit="1" customWidth="1"/>
    <col min="5" max="5" width="20.6328125" style="97" customWidth="1"/>
  </cols>
  <sheetData>
    <row r="1" spans="1:5" ht="18.5" x14ac:dyDescent="0.35">
      <c r="A1" s="192" t="s">
        <v>4</v>
      </c>
      <c r="B1" s="192"/>
      <c r="C1" s="105"/>
    </row>
    <row r="2" spans="1:5" x14ac:dyDescent="0.35">
      <c r="A2" s="106" t="s">
        <v>5</v>
      </c>
      <c r="B2" s="107" t="str">
        <f ca="1">MID(CELL("filename",A1),FIND("]",CELL("filename",A1))+1,LEN(CELL("filename",A1))-FIND("]",CELL("filename",A1)))</f>
        <v>TC31</v>
      </c>
    </row>
    <row r="3" spans="1:5" x14ac:dyDescent="0.35">
      <c r="A3" s="104" t="s">
        <v>19</v>
      </c>
      <c r="B3" s="112">
        <f ca="1">VLOOKUP(B2,Table53[#All],2,FALSE)</f>
        <v>0</v>
      </c>
    </row>
    <row r="4" spans="1:5" ht="29" x14ac:dyDescent="0.35">
      <c r="A4" s="113" t="s">
        <v>20</v>
      </c>
      <c r="B4" s="99" t="str">
        <f ca="1">VLOOKUP(B2,Table53[#All],4,FALSE)</f>
        <v>Recurring, Not Declined, No Last Pmt, No Update</v>
      </c>
    </row>
    <row r="5" spans="1:5" x14ac:dyDescent="0.35">
      <c r="A5" s="104" t="s">
        <v>6</v>
      </c>
      <c r="B5" s="93" t="str">
        <f ca="1">VLOOKUP(B2,Table53[#All],3,FALSE)</f>
        <v>Update Information No</v>
      </c>
    </row>
    <row r="7" spans="1:5" ht="15.5" x14ac:dyDescent="0.35">
      <c r="A7" s="100" t="s">
        <v>7</v>
      </c>
      <c r="B7" s="101" t="s">
        <v>8</v>
      </c>
      <c r="C7" s="102" t="s">
        <v>9</v>
      </c>
      <c r="D7" s="102" t="s">
        <v>14</v>
      </c>
      <c r="E7" s="103" t="s">
        <v>10</v>
      </c>
    </row>
    <row r="8" spans="1:5" x14ac:dyDescent="0.35">
      <c r="A8" s="118">
        <v>1</v>
      </c>
      <c r="B8" s="114" t="s">
        <v>114</v>
      </c>
      <c r="C8" s="109" t="s">
        <v>125</v>
      </c>
      <c r="D8" s="128"/>
      <c r="E8" s="125" t="s">
        <v>11</v>
      </c>
    </row>
    <row r="9" spans="1:5" x14ac:dyDescent="0.35">
      <c r="A9" s="118">
        <v>2</v>
      </c>
      <c r="B9" s="114" t="s">
        <v>115</v>
      </c>
      <c r="C9" s="109" t="str">
        <f>VLOOKUP(Table257552526910134344464748495657585963646514[[#This Row],[PEG]],Table1016[#All],2,FALSE)</f>
        <v>To get started, tell me your Account Number</v>
      </c>
      <c r="D9" s="141" t="s">
        <v>245</v>
      </c>
      <c r="E9" s="125" t="str">
        <f>VLOOKUP(Table257552526910134344464748495657585963646514[[#This Row],[PEG]],Table1016[#All],3,FALSE)</f>
        <v>Prompt</v>
      </c>
    </row>
    <row r="10" spans="1:5" x14ac:dyDescent="0.35">
      <c r="A10" s="118">
        <v>3</v>
      </c>
      <c r="B10" s="114" t="s">
        <v>114</v>
      </c>
      <c r="C10" s="109" t="s">
        <v>412</v>
      </c>
      <c r="D10" s="141"/>
      <c r="E10" s="125" t="e">
        <f>VLOOKUP(Table257552526910134344464748495657585963646514[[#This Row],[PEG]],Table1016[#All],3,FALSE)</f>
        <v>#N/A</v>
      </c>
    </row>
    <row r="11" spans="1:5" ht="174" x14ac:dyDescent="0.35">
      <c r="A11" s="118">
        <v>4</v>
      </c>
      <c r="B11" s="114" t="s">
        <v>12</v>
      </c>
      <c r="C11" s="109" t="str">
        <f>VLOOKUP(Table257552526910134344464748495657585963646514[[#This Row],[PEG]],Table1016[#All],2,FALSE)</f>
        <v>SAP HANA – SAP01_GetMember
inputs:
idnumber = iIdnumber	T
idtype 	= iIdtype
outputs:
~ Billing Reference
~ Enrollment Details
~ Billing Details
~ Last Payment
~ Recurring Payment Method
~ Stored Payment Method</v>
      </c>
      <c r="D11" s="141" t="s">
        <v>371</v>
      </c>
      <c r="E11" s="125" t="str">
        <f>VLOOKUP(Table257552526910134344464748495657585963646514[[#This Row],[PEG]],Table1016[#All],3,FALSE)</f>
        <v>DB</v>
      </c>
    </row>
    <row r="12" spans="1:5" x14ac:dyDescent="0.35">
      <c r="A12" s="118">
        <v>5</v>
      </c>
      <c r="B12" s="114" t="s">
        <v>115</v>
      </c>
      <c r="C12" s="109" t="str">
        <f>VLOOKUP(Table257552526910134344464748495657585963646514[[#This Row],[PEG]],Table1016[#All],2,FALSE)</f>
        <v>Thanks, I found your account!</v>
      </c>
      <c r="D12" s="141" t="s">
        <v>248</v>
      </c>
      <c r="E12" s="125" t="str">
        <f>VLOOKUP(Table257552526910134344464748495657585963646514[[#This Row],[PEG]],Table1016[#All],3,FALSE)</f>
        <v>Prompt</v>
      </c>
    </row>
    <row r="13" spans="1:5" ht="29" x14ac:dyDescent="0.35">
      <c r="A13" s="118">
        <v>6</v>
      </c>
      <c r="B13" s="114" t="s">
        <v>115</v>
      </c>
      <c r="C13" s="109" t="str">
        <f>VLOOKUP(Table257552526910134344464748495657585963646514[[#This Row],[PEG]],Table1016[#All],2,FALSE)</f>
        <v>You are already setup for recurring payments in the amount of &lt;SAP01_CurrentDue&gt; to be deducted on the last day of each month.</v>
      </c>
      <c r="D13" s="141" t="s">
        <v>266</v>
      </c>
      <c r="E13" s="125" t="str">
        <f>VLOOKUP(Table257552526910134344464748495657585963646514[[#This Row],[PEG]],Table1016[#All],3,FALSE)</f>
        <v>Prompt</v>
      </c>
    </row>
    <row r="14" spans="1:5" x14ac:dyDescent="0.35">
      <c r="A14" s="118">
        <v>7</v>
      </c>
      <c r="B14" s="114" t="s">
        <v>115</v>
      </c>
      <c r="C14" s="109" t="str">
        <f>VLOOKUP(Table257552526910134344464748495657585963646514[[#This Row],[PEG]],Table1016[#All],2,FALSE)</f>
        <v>Do you need to update your payment information?</v>
      </c>
      <c r="D14" s="141" t="s">
        <v>272</v>
      </c>
      <c r="E14" s="125" t="str">
        <f>VLOOKUP(Table257552526910134344464748495657585963646514[[#This Row],[PEG]],Table1016[#All],3,FALSE)</f>
        <v>Prompt</v>
      </c>
    </row>
    <row r="15" spans="1:5" x14ac:dyDescent="0.35">
      <c r="A15" s="118">
        <v>8</v>
      </c>
      <c r="B15" s="114" t="s">
        <v>114</v>
      </c>
      <c r="C15" s="109">
        <v>2</v>
      </c>
      <c r="D15" s="116"/>
      <c r="E15" s="125" t="e">
        <f>VLOOKUP(Table257552526910134344464748495657585963646514[[#This Row],[PEG]],Table1016[#All],3,FALSE)</f>
        <v>#N/A</v>
      </c>
    </row>
    <row r="16" spans="1:5" ht="29" x14ac:dyDescent="0.35">
      <c r="A16" s="118">
        <v>9</v>
      </c>
      <c r="B16" s="114" t="s">
        <v>115</v>
      </c>
      <c r="C16" s="109" t="str">
        <f>VLOOKUP(Table257552526910134344464748495657585963646514[[#This Row],[PEG]],Table1016[#All],2,FALSE)</f>
        <v>For future transactions you can also access your plan details, or manage your account online anytime at members.lacare.com.  Thank you for calling.</v>
      </c>
      <c r="D16" s="142" t="s">
        <v>362</v>
      </c>
      <c r="E16" s="125" t="str">
        <f>VLOOKUP(Table257552526910134344464748495657585963646514[[#This Row],[PEG]],Table1016[#All],3,FALSE)</f>
        <v>Prompt</v>
      </c>
    </row>
    <row r="17" spans="1:5" x14ac:dyDescent="0.35">
      <c r="A17" s="118">
        <v>10</v>
      </c>
      <c r="B17" s="114" t="s">
        <v>13</v>
      </c>
      <c r="C17" s="109" t="s">
        <v>13</v>
      </c>
      <c r="D17" s="117"/>
      <c r="E17" s="125" t="e">
        <f>VLOOKUP(Table257552526910134344464748495657585963646514[[#This Row],[PEG]],Table1016[#All],3,FALSE)</f>
        <v>#N/A</v>
      </c>
    </row>
    <row r="18" spans="1:5" x14ac:dyDescent="0.35">
      <c r="C18" s="26"/>
      <c r="D18" s="111" t="s">
        <v>0</v>
      </c>
    </row>
    <row r="19" spans="1:5" x14ac:dyDescent="0.35">
      <c r="C19" s="26"/>
    </row>
    <row r="20" spans="1:5" x14ac:dyDescent="0.35">
      <c r="C20" s="26"/>
    </row>
    <row r="21" spans="1:5" x14ac:dyDescent="0.35">
      <c r="C21" s="26"/>
    </row>
    <row r="22" spans="1:5" x14ac:dyDescent="0.35">
      <c r="C22" s="26"/>
    </row>
    <row r="23" spans="1:5" x14ac:dyDescent="0.35">
      <c r="C23" s="26"/>
    </row>
    <row r="24" spans="1:5" x14ac:dyDescent="0.35">
      <c r="C24" s="26"/>
    </row>
    <row r="25" spans="1:5" x14ac:dyDescent="0.35">
      <c r="C25" s="26"/>
    </row>
    <row r="26" spans="1:5" x14ac:dyDescent="0.35">
      <c r="C26" s="26"/>
    </row>
    <row r="27" spans="1:5" x14ac:dyDescent="0.35">
      <c r="C27" s="26"/>
    </row>
    <row r="28" spans="1:5" x14ac:dyDescent="0.35">
      <c r="C28" s="26"/>
    </row>
    <row r="29" spans="1:5" x14ac:dyDescent="0.35">
      <c r="C29" s="26"/>
    </row>
    <row r="30" spans="1:5" x14ac:dyDescent="0.35">
      <c r="C30" s="26"/>
    </row>
    <row r="31" spans="1:5" x14ac:dyDescent="0.35">
      <c r="C31" s="26"/>
    </row>
    <row r="32" spans="1:5" x14ac:dyDescent="0.35">
      <c r="C32" s="26"/>
    </row>
    <row r="33" spans="3:3" x14ac:dyDescent="0.35">
      <c r="C33" s="27"/>
    </row>
    <row r="34" spans="3:3" x14ac:dyDescent="0.35">
      <c r="C34" s="27"/>
    </row>
    <row r="35" spans="3:3" x14ac:dyDescent="0.35">
      <c r="C35" s="27"/>
    </row>
  </sheetData>
  <mergeCells count="1">
    <mergeCell ref="A1:B1"/>
  </mergeCells>
  <conditionalFormatting sqref="C18:C9974">
    <cfRule type="expression" dxfId="5088" priority="67">
      <formula>$B18="Dial"</formula>
    </cfRule>
    <cfRule type="expression" dxfId="5087" priority="69">
      <formula>$B18="HANGUP"</formula>
    </cfRule>
  </conditionalFormatting>
  <conditionalFormatting sqref="B8:B17">
    <cfRule type="containsText" dxfId="5086" priority="16" operator="containsText" text="Hear">
      <formula>NOT(ISERROR(SEARCH("Hear",B8)))</formula>
    </cfRule>
  </conditionalFormatting>
  <conditionalFormatting sqref="C15">
    <cfRule type="expression" dxfId="5085" priority="1">
      <formula>$B15="Dial"</formula>
    </cfRule>
    <cfRule type="expression" dxfId="5084" priority="3">
      <formula>$B15="HANGUP"</formula>
    </cfRule>
  </conditionalFormatting>
  <conditionalFormatting sqref="C15">
    <cfRule type="expression" dxfId="5083" priority="2">
      <formula>$B15="Speak"</formula>
    </cfRule>
  </conditionalFormatting>
  <hyperlinks>
    <hyperlink ref="A1" location="'Test Case Overview'!A1" display="Return to Test Case Overview" xr:uid="{00000000-0004-0000-1F00-000000000000}"/>
  </hyperlinks>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expression" priority="61" id="{466B055B-9518-4951-8B34-87040A470957}">
            <xm:f>'TC1'!$B8="Dial"</xm:f>
            <x14:dxf>
              <font>
                <b/>
                <i val="0"/>
                <color rgb="FFFF0000"/>
              </font>
            </x14:dxf>
          </x14:cfRule>
          <x14:cfRule type="expression" priority="63" id="{032EE956-4DBF-4108-AF58-58766BADE3BC}">
            <xm:f>'TC1'!$B8="HANGUP"</xm:f>
            <x14:dxf>
              <font>
                <b/>
                <i val="0"/>
              </font>
            </x14:dxf>
          </x14:cfRule>
          <xm:sqref>C8 C10</xm:sqref>
        </x14:conditionalFormatting>
        <x14:conditionalFormatting xmlns:xm="http://schemas.microsoft.com/office/excel/2006/main">
          <x14:cfRule type="expression" priority="62" id="{A1643F2C-3F1F-49F4-BE5B-6D53389A6BBF}">
            <xm:f>'TC1'!$B8="Speak"</xm:f>
            <x14:dxf>
              <font>
                <b/>
                <i val="0"/>
                <color rgb="FFFF0000"/>
              </font>
            </x14:dxf>
          </x14:cfRule>
          <xm:sqref>C8 C10</xm:sqref>
        </x14:conditionalFormatting>
        <x14:conditionalFormatting xmlns:xm="http://schemas.microsoft.com/office/excel/2006/main">
          <x14:cfRule type="expression" priority="925" id="{466B055B-9518-4951-8B34-87040A470957}">
            <xm:f>'TC1'!#REF!="Dial"</xm:f>
            <x14:dxf>
              <font>
                <b/>
                <i val="0"/>
                <color rgb="FFFF0000"/>
              </font>
            </x14:dxf>
          </x14:cfRule>
          <x14:cfRule type="expression" priority="926" id="{032EE956-4DBF-4108-AF58-58766BADE3BC}">
            <xm:f>'TC1'!#REF!="HANGUP"</xm:f>
            <x14:dxf>
              <font>
                <b/>
                <i val="0"/>
              </font>
            </x14:dxf>
          </x14:cfRule>
          <xm:sqref>C17</xm:sqref>
        </x14:conditionalFormatting>
        <x14:conditionalFormatting xmlns:xm="http://schemas.microsoft.com/office/excel/2006/main">
          <x14:cfRule type="expression" priority="931" id="{A1643F2C-3F1F-49F4-BE5B-6D53389A6BBF}">
            <xm:f>'TC1'!#REF!="Speak"</xm:f>
            <x14:dxf>
              <font>
                <b/>
                <i val="0"/>
                <color rgb="FFFF0000"/>
              </font>
            </x14:dxf>
          </x14:cfRule>
          <xm:sqref>C17</xm:sqref>
        </x14:conditionalFormatting>
        <x14:conditionalFormatting xmlns:xm="http://schemas.microsoft.com/office/excel/2006/main">
          <x14:cfRule type="containsText" priority="937" operator="containsText" text="WEB SERVICE" id="{0A45611B-ACA2-4712-9307-30A2A0A73F43}">
            <xm:f>NOT(ISERROR(SEARCH("WEB SERVICE",'TC1'!#REF!)))</xm:f>
            <x14:dxf>
              <font>
                <color rgb="FF9C0006"/>
              </font>
              <fill>
                <patternFill>
                  <bgColor rgb="FFFFC7CE"/>
                </patternFill>
              </fill>
            </x14:dxf>
          </x14:cfRule>
          <x14:cfRule type="containsText" priority="938" operator="containsText" text="DB" id="{2F60AB63-BB66-401E-8205-9888A6AF3AAD}">
            <xm:f>NOT(ISERROR(SEARCH("DB",'TC1'!#REF!)))</xm:f>
            <x14:dxf>
              <font>
                <color rgb="FF006100"/>
              </font>
              <fill>
                <patternFill>
                  <bgColor rgb="FFC6EFCE"/>
                </patternFill>
              </fill>
            </x14:dxf>
          </x14:cfRule>
          <xm:sqref>E17</xm:sqref>
        </x14:conditionalFormatting>
        <x14:conditionalFormatting xmlns:xm="http://schemas.microsoft.com/office/excel/2006/main">
          <x14:cfRule type="expression" priority="3770" id="{466B055B-9518-4951-8B34-87040A470957}">
            <xm:f>'TC1'!$B9="Dial"</xm:f>
            <x14:dxf>
              <font>
                <b/>
                <i val="0"/>
                <color rgb="FFFF0000"/>
              </font>
            </x14:dxf>
          </x14:cfRule>
          <x14:cfRule type="expression" priority="3771" id="{032EE956-4DBF-4108-AF58-58766BADE3BC}">
            <xm:f>'TC1'!$B9="HANGUP"</xm:f>
            <x14:dxf>
              <font>
                <b/>
                <i val="0"/>
              </font>
            </x14:dxf>
          </x14:cfRule>
          <xm:sqref>C12 C14 C16</xm:sqref>
        </x14:conditionalFormatting>
        <x14:conditionalFormatting xmlns:xm="http://schemas.microsoft.com/office/excel/2006/main">
          <x14:cfRule type="expression" priority="3772" id="{466B055B-9518-4951-8B34-87040A470957}">
            <xm:f>'TC1'!#REF!="Dial"</xm:f>
            <x14:dxf>
              <font>
                <b/>
                <i val="0"/>
                <color rgb="FFFF0000"/>
              </font>
            </x14:dxf>
          </x14:cfRule>
          <x14:cfRule type="expression" priority="3773" id="{032EE956-4DBF-4108-AF58-58766BADE3BC}">
            <xm:f>'TC1'!#REF!="HANGUP"</xm:f>
            <x14:dxf>
              <font>
                <b/>
                <i val="0"/>
              </font>
            </x14:dxf>
          </x14:cfRule>
          <xm:sqref>C9 C11</xm:sqref>
        </x14:conditionalFormatting>
        <x14:conditionalFormatting xmlns:xm="http://schemas.microsoft.com/office/excel/2006/main">
          <x14:cfRule type="expression" priority="3777" id="{A1643F2C-3F1F-49F4-BE5B-6D53389A6BBF}">
            <xm:f>'TC1'!$B9="Speak"</xm:f>
            <x14:dxf>
              <font>
                <b/>
                <i val="0"/>
                <color rgb="FFFF0000"/>
              </font>
            </x14:dxf>
          </x14:cfRule>
          <xm:sqref>C12 C14 C16</xm:sqref>
        </x14:conditionalFormatting>
        <x14:conditionalFormatting xmlns:xm="http://schemas.microsoft.com/office/excel/2006/main">
          <x14:cfRule type="expression" priority="3778" id="{A1643F2C-3F1F-49F4-BE5B-6D53389A6BBF}">
            <xm:f>'TC1'!#REF!="Speak"</xm:f>
            <x14:dxf>
              <font>
                <b/>
                <i val="0"/>
                <color rgb="FFFF0000"/>
              </font>
            </x14:dxf>
          </x14:cfRule>
          <xm:sqref>C9 C11</xm:sqref>
        </x14:conditionalFormatting>
        <x14:conditionalFormatting xmlns:xm="http://schemas.microsoft.com/office/excel/2006/main">
          <x14:cfRule type="containsText" priority="3780" operator="containsText" text="WEB SERVICE" id="{0A45611B-ACA2-4712-9307-30A2A0A73F43}">
            <xm:f>NOT(ISERROR(SEARCH("WEB SERVICE",'TC1'!#REF!)))</xm:f>
            <x14:dxf>
              <font>
                <color rgb="FF9C0006"/>
              </font>
              <fill>
                <patternFill>
                  <bgColor rgb="FFFFC7CE"/>
                </patternFill>
              </fill>
            </x14:dxf>
          </x14:cfRule>
          <x14:cfRule type="containsText" priority="3781" operator="containsText" text="DB" id="{2F60AB63-BB66-401E-8205-9888A6AF3AAD}">
            <xm:f>NOT(ISERROR(SEARCH("DB",'TC1'!#REF!)))</xm:f>
            <x14:dxf>
              <font>
                <color rgb="FF006100"/>
              </font>
              <fill>
                <patternFill>
                  <bgColor rgb="FFC6EFCE"/>
                </patternFill>
              </fill>
            </x14:dxf>
          </x14:cfRule>
          <xm:sqref>E9:E11</xm:sqref>
        </x14:conditionalFormatting>
        <x14:conditionalFormatting xmlns:xm="http://schemas.microsoft.com/office/excel/2006/main">
          <x14:cfRule type="containsText" priority="3782" operator="containsText" text="WEB SERVICE" id="{0A45611B-ACA2-4712-9307-30A2A0A73F43}">
            <xm:f>NOT(ISERROR(SEARCH("WEB SERVICE",'TC1'!E9)))</xm:f>
            <x14:dxf>
              <font>
                <color rgb="FF9C0006"/>
              </font>
              <fill>
                <patternFill>
                  <bgColor rgb="FFFFC7CE"/>
                </patternFill>
              </fill>
            </x14:dxf>
          </x14:cfRule>
          <x14:cfRule type="containsText" priority="3783" operator="containsText" text="DB" id="{2F60AB63-BB66-401E-8205-9888A6AF3AAD}">
            <xm:f>NOT(ISERROR(SEARCH("DB",'TC1'!E9)))</xm:f>
            <x14:dxf>
              <font>
                <color rgb="FF006100"/>
              </font>
              <fill>
                <patternFill>
                  <bgColor rgb="FFC6EFCE"/>
                </patternFill>
              </fill>
            </x14:dxf>
          </x14:cfRule>
          <xm:sqref>E12:E15</xm:sqref>
        </x14:conditionalFormatting>
        <x14:conditionalFormatting xmlns:xm="http://schemas.microsoft.com/office/excel/2006/main">
          <x14:cfRule type="containsText" priority="6333" operator="containsText" text="WEB SERVICE" id="{0A45611B-ACA2-4712-9307-30A2A0A73F43}">
            <xm:f>NOT(ISERROR(SEARCH("WEB SERVICE",'TC1'!E15)))</xm:f>
            <x14:dxf>
              <font>
                <color rgb="FF9C0006"/>
              </font>
              <fill>
                <patternFill>
                  <bgColor rgb="FFFFC7CE"/>
                </patternFill>
              </fill>
            </x14:dxf>
          </x14:cfRule>
          <x14:cfRule type="containsText" priority="6334" operator="containsText" text="DB" id="{2F60AB63-BB66-401E-8205-9888A6AF3AAD}">
            <xm:f>NOT(ISERROR(SEARCH("DB",'TC1'!E15)))</xm:f>
            <x14:dxf>
              <font>
                <color rgb="FF006100"/>
              </font>
              <fill>
                <patternFill>
                  <bgColor rgb="FFC6EFCE"/>
                </patternFill>
              </fill>
            </x14:dxf>
          </x14:cfRule>
          <xm:sqref>E16</xm:sqref>
        </x14:conditionalFormatting>
        <x14:conditionalFormatting xmlns:xm="http://schemas.microsoft.com/office/excel/2006/main">
          <x14:cfRule type="expression" priority="10" id="{B7247618-898E-4A31-B427-22F8EC6CEF9B}">
            <xm:f>'TC1'!#REF!="Dial"</xm:f>
            <x14:dxf>
              <font>
                <b/>
                <i val="0"/>
                <color rgb="FFFF0000"/>
              </font>
            </x14:dxf>
          </x14:cfRule>
          <x14:cfRule type="expression" priority="11" id="{4D0CC866-819B-46ED-9EEC-09CA9C26A4E2}">
            <xm:f>'TC1'!#REF!="HANGUP"</xm:f>
            <x14:dxf>
              <font>
                <b/>
                <i val="0"/>
              </font>
            </x14:dxf>
          </x14:cfRule>
          <xm:sqref>C13</xm:sqref>
        </x14:conditionalFormatting>
        <x14:conditionalFormatting xmlns:xm="http://schemas.microsoft.com/office/excel/2006/main">
          <x14:cfRule type="expression" priority="12" id="{AD1BCF69-309D-40DB-8C1B-AF669C5CF9C8}">
            <xm:f>'TC1'!#REF!="Speak"</xm:f>
            <x14:dxf>
              <font>
                <b/>
                <i val="0"/>
                <color rgb="FFFF0000"/>
              </font>
            </x14:dxf>
          </x14:cfRule>
          <xm:sqref>C13</xm:sqref>
        </x14:conditionalFormatting>
      </x14:conditionalFormattings>
    </ext>
  </extLst>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4"/>
  <dimension ref="A1:E41"/>
  <sheetViews>
    <sheetView topLeftCell="A3" zoomScaleNormal="100" workbookViewId="0">
      <selection activeCell="C5" sqref="C5"/>
    </sheetView>
  </sheetViews>
  <sheetFormatPr defaultRowHeight="14.5" x14ac:dyDescent="0.35"/>
  <cols>
    <col min="1" max="1" width="14.453125" style="97" bestFit="1" customWidth="1"/>
    <col min="2" max="2" width="42.6328125" style="97" customWidth="1"/>
    <col min="3" max="3" width="106.1796875" style="98" customWidth="1"/>
    <col min="4" max="4" width="21.81640625" style="111" bestFit="1" customWidth="1"/>
    <col min="5" max="5" width="20.6328125" style="97" customWidth="1"/>
  </cols>
  <sheetData>
    <row r="1" spans="1:5" ht="18.5" x14ac:dyDescent="0.35">
      <c r="A1" s="192" t="s">
        <v>4</v>
      </c>
      <c r="B1" s="192"/>
      <c r="C1" s="105"/>
    </row>
    <row r="2" spans="1:5" x14ac:dyDescent="0.35">
      <c r="A2" s="106" t="s">
        <v>5</v>
      </c>
      <c r="B2" s="107" t="str">
        <f ca="1">MID(CELL("filename",A1),FIND("]",CELL("filename",A1))+1,LEN(CELL("filename",A1))-FIND("]",CELL("filename",A1)))</f>
        <v>TC32</v>
      </c>
    </row>
    <row r="3" spans="1:5" x14ac:dyDescent="0.35">
      <c r="A3" s="104" t="s">
        <v>19</v>
      </c>
      <c r="B3" s="112">
        <f ca="1">VLOOKUP(B2,Table53[#All],2,FALSE)</f>
        <v>0</v>
      </c>
    </row>
    <row r="4" spans="1:5" ht="29" x14ac:dyDescent="0.35">
      <c r="A4" s="113" t="s">
        <v>20</v>
      </c>
      <c r="B4" s="99" t="str">
        <f ca="1">VLOOKUP(B2,Table53[#All],4,FALSE)</f>
        <v>Recurring, Not Declined, No Last Pmt</v>
      </c>
    </row>
    <row r="5" spans="1:5" x14ac:dyDescent="0.35">
      <c r="A5" s="104" t="s">
        <v>6</v>
      </c>
      <c r="B5" s="93" t="str">
        <f ca="1">VLOOKUP(B2,Table53[#All],3,FALSE)</f>
        <v>Update Information No Input x3</v>
      </c>
    </row>
    <row r="7" spans="1:5" ht="15.5" x14ac:dyDescent="0.35">
      <c r="A7" s="100" t="s">
        <v>7</v>
      </c>
      <c r="B7" s="101" t="s">
        <v>8</v>
      </c>
      <c r="C7" s="102" t="s">
        <v>9</v>
      </c>
      <c r="D7" s="102" t="s">
        <v>14</v>
      </c>
      <c r="E7" s="103" t="s">
        <v>10</v>
      </c>
    </row>
    <row r="8" spans="1:5" x14ac:dyDescent="0.35">
      <c r="A8" s="118">
        <v>1</v>
      </c>
      <c r="B8" s="114" t="s">
        <v>114</v>
      </c>
      <c r="C8" s="109" t="s">
        <v>125</v>
      </c>
      <c r="D8" s="128"/>
      <c r="E8" s="125" t="s">
        <v>11</v>
      </c>
    </row>
    <row r="9" spans="1:5" x14ac:dyDescent="0.35">
      <c r="A9" s="118">
        <v>2</v>
      </c>
      <c r="B9" s="114" t="s">
        <v>115</v>
      </c>
      <c r="C9" s="109" t="str">
        <f>VLOOKUP(Table25755252691013434446474849565758596315[[#This Row],[PEG]],Table1016[#All],2,FALSE)</f>
        <v>To get started, tell me your Account Number</v>
      </c>
      <c r="D9" s="141" t="s">
        <v>245</v>
      </c>
      <c r="E9" s="125" t="str">
        <f>VLOOKUP(Table25755252691013434446474849565758596315[[#This Row],[PEG]],Table1016[#All],3,FALSE)</f>
        <v>Prompt</v>
      </c>
    </row>
    <row r="10" spans="1:5" x14ac:dyDescent="0.35">
      <c r="A10" s="118">
        <v>3</v>
      </c>
      <c r="B10" s="114" t="s">
        <v>114</v>
      </c>
      <c r="C10" s="109" t="s">
        <v>412</v>
      </c>
      <c r="D10" s="141"/>
      <c r="E10" s="125" t="e">
        <f>VLOOKUP(Table25755252691013434446474849565758596315[[#This Row],[PEG]],Table1016[#All],3,FALSE)</f>
        <v>#N/A</v>
      </c>
    </row>
    <row r="11" spans="1:5" ht="174" x14ac:dyDescent="0.35">
      <c r="A11" s="118">
        <v>4</v>
      </c>
      <c r="B11" s="114" t="s">
        <v>12</v>
      </c>
      <c r="C11" s="109" t="str">
        <f>VLOOKUP(Table25755252691013434446474849565758596315[[#This Row],[PEG]],Table1016[#All],2,FALSE)</f>
        <v>SAP HANA – SAP01_GetMember
inputs:
idnumber = iIdnumber	T
idtype 	= iIdtype
outputs:
~ Billing Reference
~ Enrollment Details
~ Billing Details
~ Last Payment
~ Recurring Payment Method
~ Stored Payment Method</v>
      </c>
      <c r="D11" s="141" t="s">
        <v>371</v>
      </c>
      <c r="E11" s="125" t="str">
        <f>VLOOKUP(Table25755252691013434446474849565758596315[[#This Row],[PEG]],Table1016[#All],3,FALSE)</f>
        <v>DB</v>
      </c>
    </row>
    <row r="12" spans="1:5" x14ac:dyDescent="0.35">
      <c r="A12" s="118">
        <v>5</v>
      </c>
      <c r="B12" s="114" t="s">
        <v>115</v>
      </c>
      <c r="C12" s="109" t="str">
        <f>VLOOKUP(Table25755252691013434446474849565758596315[[#This Row],[PEG]],Table1016[#All],2,FALSE)</f>
        <v>Thanks, I found your account!</v>
      </c>
      <c r="D12" s="141" t="s">
        <v>248</v>
      </c>
      <c r="E12" s="125" t="str">
        <f>VLOOKUP(Table25755252691013434446474849565758596315[[#This Row],[PEG]],Table1016[#All],3,FALSE)</f>
        <v>Prompt</v>
      </c>
    </row>
    <row r="13" spans="1:5" ht="29" x14ac:dyDescent="0.35">
      <c r="A13" s="118">
        <v>6</v>
      </c>
      <c r="B13" s="114" t="s">
        <v>115</v>
      </c>
      <c r="C13" s="109" t="str">
        <f>VLOOKUP(Table25755252691013434446474849565758596315[[#This Row],[PEG]],Table1016[#All],2,FALSE)</f>
        <v>You are already setup for recurring payments in the amount of &lt;SAP01_CurrentDue&gt; to be deducted on the last day of each month.</v>
      </c>
      <c r="D13" s="141" t="s">
        <v>266</v>
      </c>
      <c r="E13" s="125" t="str">
        <f>VLOOKUP(Table25755252691013434446474849565758596315[[#This Row],[PEG]],Table1016[#All],3,FALSE)</f>
        <v>Prompt</v>
      </c>
    </row>
    <row r="14" spans="1:5" x14ac:dyDescent="0.35">
      <c r="A14" s="118">
        <v>7</v>
      </c>
      <c r="B14" s="114" t="s">
        <v>115</v>
      </c>
      <c r="C14" s="109" t="str">
        <f>VLOOKUP(Table25755252691013434446474849565758596315[[#This Row],[PEG]],Table1016[#All],2,FALSE)</f>
        <v>Do you need to update your payment information?</v>
      </c>
      <c r="D14" s="141" t="s">
        <v>272</v>
      </c>
      <c r="E14" s="125" t="str">
        <f>VLOOKUP(Table25755252691013434446474849565758596315[[#This Row],[PEG]],Table1016[#All],3,FALSE)</f>
        <v>Prompt</v>
      </c>
    </row>
    <row r="15" spans="1:5" x14ac:dyDescent="0.35">
      <c r="A15" s="118">
        <v>8</v>
      </c>
      <c r="B15" s="114" t="s">
        <v>114</v>
      </c>
      <c r="C15" s="109" t="s">
        <v>478</v>
      </c>
      <c r="D15" s="142"/>
      <c r="E15" s="125" t="e">
        <f>VLOOKUP(Table25755252691013434446474849565758596315[[#This Row],[PEG]],Table1016[#All],3,FALSE)</f>
        <v>#N/A</v>
      </c>
    </row>
    <row r="16" spans="1:5" x14ac:dyDescent="0.35">
      <c r="A16" s="118">
        <v>9</v>
      </c>
      <c r="B16" s="114" t="s">
        <v>115</v>
      </c>
      <c r="C16" s="166" t="str">
        <f>VLOOKUP(Table25755252691013434446474849565758596315[[#This Row],[PEG]],Table1016[#All],2,FALSE)</f>
        <v>I didn’t get that.</v>
      </c>
      <c r="D16" s="142" t="s">
        <v>365</v>
      </c>
      <c r="E16" s="125" t="str">
        <f>VLOOKUP(Table25755252691013434446474849565758596315[[#This Row],[PEG]],Table1016[#All],3,FALSE)</f>
        <v>Prompt</v>
      </c>
    </row>
    <row r="17" spans="1:5" x14ac:dyDescent="0.35">
      <c r="A17" s="118">
        <v>10</v>
      </c>
      <c r="B17" s="114" t="s">
        <v>115</v>
      </c>
      <c r="C17" s="109" t="str">
        <f>VLOOKUP(Table25755252691013434446474849565758596315[[#This Row],[PEG]],Table1016[#All],2,FALSE)</f>
        <v>Do you need to update your payment information?  Just say yes or no.</v>
      </c>
      <c r="D17" s="143" t="s">
        <v>273</v>
      </c>
      <c r="E17" s="125" t="str">
        <f>VLOOKUP(Table25755252691013434446474849565758596315[[#This Row],[PEG]],Table1016[#All],3,FALSE)</f>
        <v>Prompt</v>
      </c>
    </row>
    <row r="18" spans="1:5" x14ac:dyDescent="0.35">
      <c r="A18" s="118">
        <v>11</v>
      </c>
      <c r="B18" s="114" t="s">
        <v>114</v>
      </c>
      <c r="C18" s="109" t="s">
        <v>478</v>
      </c>
      <c r="D18" s="143"/>
      <c r="E18" s="125" t="e">
        <f>VLOOKUP(Table25755252691013434446474849565758596315[[#This Row],[PEG]],Table1016[#All],3,FALSE)</f>
        <v>#N/A</v>
      </c>
    </row>
    <row r="19" spans="1:5" x14ac:dyDescent="0.35">
      <c r="A19" s="118">
        <v>12</v>
      </c>
      <c r="B19" s="114" t="s">
        <v>115</v>
      </c>
      <c r="C19" s="109" t="str">
        <f>VLOOKUP(Table25755252691013434446474849565758596315[[#This Row],[PEG]],Table1016[#All],2,FALSE)</f>
        <v>I still didn’t get that.</v>
      </c>
      <c r="D19" s="143" t="s">
        <v>366</v>
      </c>
      <c r="E19" s="125" t="str">
        <f>VLOOKUP(Table25755252691013434446474849565758596315[[#This Row],[PEG]],Table1016[#All],3,FALSE)</f>
        <v>Prompt</v>
      </c>
    </row>
    <row r="20" spans="1:5" x14ac:dyDescent="0.35">
      <c r="A20" s="118">
        <v>13</v>
      </c>
      <c r="B20" s="114" t="s">
        <v>115</v>
      </c>
      <c r="C20" s="109" t="str">
        <f>VLOOKUP(Table25755252691013434446474849565758596315[[#This Row],[PEG]],Table1016[#All],2,FALSE)</f>
        <v>If you need to update your payment information, say yes or press 1.  Otherwise say no or press 2.</v>
      </c>
      <c r="D20" s="143" t="s">
        <v>274</v>
      </c>
      <c r="E20" s="125" t="str">
        <f>VLOOKUP(Table25755252691013434446474849565758596315[[#This Row],[PEG]],Table1016[#All],3,FALSE)</f>
        <v>Prompt</v>
      </c>
    </row>
    <row r="21" spans="1:5" x14ac:dyDescent="0.35">
      <c r="A21" s="118">
        <v>14</v>
      </c>
      <c r="B21" s="114" t="s">
        <v>114</v>
      </c>
      <c r="C21" s="109" t="s">
        <v>478</v>
      </c>
      <c r="D21" s="143"/>
      <c r="E21" s="125" t="e">
        <f>VLOOKUP(Table25755252691013434446474849565758596315[[#This Row],[PEG]],Table1016[#All],3,FALSE)</f>
        <v>#N/A</v>
      </c>
    </row>
    <row r="22" spans="1:5" ht="29" x14ac:dyDescent="0.35">
      <c r="A22" s="118">
        <v>15</v>
      </c>
      <c r="B22" s="114" t="s">
        <v>115</v>
      </c>
      <c r="C22" s="109" t="str">
        <f>VLOOKUP(Table25755252691013434446474849565758596315[[#This Row],[PEG]],Table1016[#All],2,FALSE)</f>
        <v>For future transactions you can also access your plan details, or manage your account online anytime at members.lacare.com.  Thank you for calling.</v>
      </c>
      <c r="D22" s="143" t="s">
        <v>362</v>
      </c>
      <c r="E22" s="125" t="str">
        <f>VLOOKUP(Table25755252691013434446474849565758596315[[#This Row],[PEG]],Table1016[#All],3,FALSE)</f>
        <v>Prompt</v>
      </c>
    </row>
    <row r="23" spans="1:5" x14ac:dyDescent="0.35">
      <c r="A23" s="118">
        <v>16</v>
      </c>
      <c r="B23" s="114" t="s">
        <v>13</v>
      </c>
      <c r="C23" s="109" t="s">
        <v>13</v>
      </c>
      <c r="D23" s="143"/>
      <c r="E23" s="125" t="e">
        <f>VLOOKUP(Table25755252691013434446474849565758596315[[#This Row],[PEG]],Table1016[#All],3,FALSE)</f>
        <v>#N/A</v>
      </c>
    </row>
    <row r="24" spans="1:5" x14ac:dyDescent="0.35">
      <c r="C24" s="26"/>
      <c r="D24" s="111" t="s">
        <v>0</v>
      </c>
    </row>
    <row r="25" spans="1:5" x14ac:dyDescent="0.35">
      <c r="C25" s="26"/>
    </row>
    <row r="26" spans="1:5" x14ac:dyDescent="0.35">
      <c r="C26" s="26"/>
    </row>
    <row r="27" spans="1:5" x14ac:dyDescent="0.35">
      <c r="C27" s="26"/>
    </row>
    <row r="28" spans="1:5" x14ac:dyDescent="0.35">
      <c r="C28" s="26"/>
    </row>
    <row r="29" spans="1:5" x14ac:dyDescent="0.35">
      <c r="C29" s="26"/>
    </row>
    <row r="30" spans="1:5" x14ac:dyDescent="0.35">
      <c r="C30" s="26"/>
    </row>
    <row r="31" spans="1:5" x14ac:dyDescent="0.35">
      <c r="C31" s="26"/>
    </row>
    <row r="32" spans="1:5" x14ac:dyDescent="0.35">
      <c r="C32" s="26"/>
    </row>
    <row r="33" spans="3:3" x14ac:dyDescent="0.35">
      <c r="C33" s="26"/>
    </row>
    <row r="34" spans="3:3" x14ac:dyDescent="0.35">
      <c r="C34" s="26"/>
    </row>
    <row r="35" spans="3:3" x14ac:dyDescent="0.35">
      <c r="C35" s="26"/>
    </row>
    <row r="36" spans="3:3" x14ac:dyDescent="0.35">
      <c r="C36" s="26"/>
    </row>
    <row r="37" spans="3:3" x14ac:dyDescent="0.35">
      <c r="C37" s="26"/>
    </row>
    <row r="38" spans="3:3" x14ac:dyDescent="0.35">
      <c r="C38" s="26"/>
    </row>
    <row r="39" spans="3:3" x14ac:dyDescent="0.35">
      <c r="C39" s="27"/>
    </row>
    <row r="40" spans="3:3" x14ac:dyDescent="0.35">
      <c r="C40" s="27"/>
    </row>
    <row r="41" spans="3:3" x14ac:dyDescent="0.35">
      <c r="C41" s="27"/>
    </row>
  </sheetData>
  <mergeCells count="1">
    <mergeCell ref="A1:B1"/>
  </mergeCells>
  <conditionalFormatting sqref="C24:C9980">
    <cfRule type="expression" dxfId="5059" priority="71">
      <formula>$B24="Dial"</formula>
    </cfRule>
    <cfRule type="expression" dxfId="5058" priority="73">
      <formula>$B24="HANGUP"</formula>
    </cfRule>
  </conditionalFormatting>
  <conditionalFormatting sqref="B8:B23">
    <cfRule type="containsText" dxfId="5057" priority="25" operator="containsText" text="Hear">
      <formula>NOT(ISERROR(SEARCH("Hear",B8)))</formula>
    </cfRule>
  </conditionalFormatting>
  <conditionalFormatting sqref="C15">
    <cfRule type="expression" dxfId="5056" priority="13">
      <formula>$B15="Dial"</formula>
    </cfRule>
    <cfRule type="expression" dxfId="5055" priority="15">
      <formula>$B15="HANGUP"</formula>
    </cfRule>
  </conditionalFormatting>
  <conditionalFormatting sqref="C15">
    <cfRule type="expression" dxfId="5054" priority="14">
      <formula>$B15="Speak"</formula>
    </cfRule>
  </conditionalFormatting>
  <conditionalFormatting sqref="C18">
    <cfRule type="expression" dxfId="5053" priority="4">
      <formula>$B18="Dial"</formula>
    </cfRule>
    <cfRule type="expression" dxfId="5052" priority="6">
      <formula>$B18="HANGUP"</formula>
    </cfRule>
  </conditionalFormatting>
  <conditionalFormatting sqref="C18">
    <cfRule type="expression" dxfId="5051" priority="5">
      <formula>$B18="Speak"</formula>
    </cfRule>
  </conditionalFormatting>
  <conditionalFormatting sqref="C21">
    <cfRule type="expression" dxfId="5050" priority="1">
      <formula>$B21="Dial"</formula>
    </cfRule>
    <cfRule type="expression" dxfId="5049" priority="3">
      <formula>$B21="HANGUP"</formula>
    </cfRule>
  </conditionalFormatting>
  <conditionalFormatting sqref="C21">
    <cfRule type="expression" dxfId="5048" priority="2">
      <formula>$B21="Speak"</formula>
    </cfRule>
  </conditionalFormatting>
  <hyperlinks>
    <hyperlink ref="A1" location="'Test Case Overview'!A1" display="Return to Test Case Overview" xr:uid="{00000000-0004-0000-2000-000000000000}"/>
  </hyperlinks>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expression" priority="65" id="{0410CD08-A622-4247-9B6D-931291988BC0}">
            <xm:f>'TC1'!$B8="Dial"</xm:f>
            <x14:dxf>
              <font>
                <b/>
                <i val="0"/>
                <color rgb="FFFF0000"/>
              </font>
            </x14:dxf>
          </x14:cfRule>
          <x14:cfRule type="expression" priority="67" id="{5989A651-92F5-4F48-8E18-FB357B4ADC3A}">
            <xm:f>'TC1'!$B8="HANGUP"</xm:f>
            <x14:dxf>
              <font>
                <b/>
                <i val="0"/>
              </font>
            </x14:dxf>
          </x14:cfRule>
          <xm:sqref>C8 C10</xm:sqref>
        </x14:conditionalFormatting>
        <x14:conditionalFormatting xmlns:xm="http://schemas.microsoft.com/office/excel/2006/main">
          <x14:cfRule type="expression" priority="66" id="{21E11288-86AC-4A6D-B526-D43B1CAC530A}">
            <xm:f>'TC1'!$B8="Speak"</xm:f>
            <x14:dxf>
              <font>
                <b/>
                <i val="0"/>
                <color rgb="FFFF0000"/>
              </font>
            </x14:dxf>
          </x14:cfRule>
          <xm:sqref>C8 C10</xm:sqref>
        </x14:conditionalFormatting>
        <x14:conditionalFormatting xmlns:xm="http://schemas.microsoft.com/office/excel/2006/main">
          <x14:cfRule type="expression" priority="954" id="{0410CD08-A622-4247-9B6D-931291988BC0}">
            <xm:f>'TC1'!#REF!="Dial"</xm:f>
            <x14:dxf>
              <font>
                <b/>
                <i val="0"/>
                <color rgb="FFFF0000"/>
              </font>
            </x14:dxf>
          </x14:cfRule>
          <x14:cfRule type="expression" priority="955" id="{5989A651-92F5-4F48-8E18-FB357B4ADC3A}">
            <xm:f>'TC1'!#REF!="HANGUP"</xm:f>
            <x14:dxf>
              <font>
                <b/>
                <i val="0"/>
              </font>
            </x14:dxf>
          </x14:cfRule>
          <xm:sqref>C17 C19:C20 C22:C23</xm:sqref>
        </x14:conditionalFormatting>
        <x14:conditionalFormatting xmlns:xm="http://schemas.microsoft.com/office/excel/2006/main">
          <x14:cfRule type="expression" priority="960" id="{21E11288-86AC-4A6D-B526-D43B1CAC530A}">
            <xm:f>'TC1'!#REF!="Speak"</xm:f>
            <x14:dxf>
              <font>
                <b/>
                <i val="0"/>
                <color rgb="FFFF0000"/>
              </font>
            </x14:dxf>
          </x14:cfRule>
          <xm:sqref>C17 C19:C20 C22:C23</xm:sqref>
        </x14:conditionalFormatting>
        <x14:conditionalFormatting xmlns:xm="http://schemas.microsoft.com/office/excel/2006/main">
          <x14:cfRule type="containsText" priority="966" operator="containsText" text="WEB SERVICE" id="{A63B1B9A-6477-4717-8B09-A9A62614D174}">
            <xm:f>NOT(ISERROR(SEARCH("WEB SERVICE",'TC1'!#REF!)))</xm:f>
            <x14:dxf>
              <font>
                <color rgb="FF9C0006"/>
              </font>
              <fill>
                <patternFill>
                  <bgColor rgb="FFFFC7CE"/>
                </patternFill>
              </fill>
            </x14:dxf>
          </x14:cfRule>
          <x14:cfRule type="containsText" priority="967" operator="containsText" text="DB" id="{9EF3019F-DD93-4D74-A843-28F8F8ACFFB0}">
            <xm:f>NOT(ISERROR(SEARCH("DB",'TC1'!#REF!)))</xm:f>
            <x14:dxf>
              <font>
                <color rgb="FF006100"/>
              </font>
              <fill>
                <patternFill>
                  <bgColor rgb="FFC6EFCE"/>
                </patternFill>
              </fill>
            </x14:dxf>
          </x14:cfRule>
          <xm:sqref>E17:E23</xm:sqref>
        </x14:conditionalFormatting>
        <x14:conditionalFormatting xmlns:xm="http://schemas.microsoft.com/office/excel/2006/main">
          <x14:cfRule type="expression" priority="3797" id="{0410CD08-A622-4247-9B6D-931291988BC0}">
            <xm:f>'TC1'!$B9="Dial"</xm:f>
            <x14:dxf>
              <font>
                <b/>
                <i val="0"/>
                <color rgb="FFFF0000"/>
              </font>
            </x14:dxf>
          </x14:cfRule>
          <x14:cfRule type="expression" priority="3798" id="{5989A651-92F5-4F48-8E18-FB357B4ADC3A}">
            <xm:f>'TC1'!$B9="HANGUP"</xm:f>
            <x14:dxf>
              <font>
                <b/>
                <i val="0"/>
              </font>
            </x14:dxf>
          </x14:cfRule>
          <xm:sqref>C12 C14</xm:sqref>
        </x14:conditionalFormatting>
        <x14:conditionalFormatting xmlns:xm="http://schemas.microsoft.com/office/excel/2006/main">
          <x14:cfRule type="expression" priority="3799" id="{0410CD08-A622-4247-9B6D-931291988BC0}">
            <xm:f>'TC1'!#REF!="Dial"</xm:f>
            <x14:dxf>
              <font>
                <b/>
                <i val="0"/>
                <color rgb="FFFF0000"/>
              </font>
            </x14:dxf>
          </x14:cfRule>
          <x14:cfRule type="expression" priority="3800" id="{5989A651-92F5-4F48-8E18-FB357B4ADC3A}">
            <xm:f>'TC1'!#REF!="HANGUP"</xm:f>
            <x14:dxf>
              <font>
                <b/>
                <i val="0"/>
              </font>
            </x14:dxf>
          </x14:cfRule>
          <xm:sqref>C9 C11</xm:sqref>
        </x14:conditionalFormatting>
        <x14:conditionalFormatting xmlns:xm="http://schemas.microsoft.com/office/excel/2006/main">
          <x14:cfRule type="expression" priority="3804" id="{21E11288-86AC-4A6D-B526-D43B1CAC530A}">
            <xm:f>'TC1'!$B9="Speak"</xm:f>
            <x14:dxf>
              <font>
                <b/>
                <i val="0"/>
                <color rgb="FFFF0000"/>
              </font>
            </x14:dxf>
          </x14:cfRule>
          <xm:sqref>C12 C14</xm:sqref>
        </x14:conditionalFormatting>
        <x14:conditionalFormatting xmlns:xm="http://schemas.microsoft.com/office/excel/2006/main">
          <x14:cfRule type="expression" priority="3805" id="{21E11288-86AC-4A6D-B526-D43B1CAC530A}">
            <xm:f>'TC1'!#REF!="Speak"</xm:f>
            <x14:dxf>
              <font>
                <b/>
                <i val="0"/>
                <color rgb="FFFF0000"/>
              </font>
            </x14:dxf>
          </x14:cfRule>
          <xm:sqref>C9 C11</xm:sqref>
        </x14:conditionalFormatting>
        <x14:conditionalFormatting xmlns:xm="http://schemas.microsoft.com/office/excel/2006/main">
          <x14:cfRule type="containsText" priority="3807" operator="containsText" text="WEB SERVICE" id="{A63B1B9A-6477-4717-8B09-A9A62614D174}">
            <xm:f>NOT(ISERROR(SEARCH("WEB SERVICE",'TC1'!#REF!)))</xm:f>
            <x14:dxf>
              <font>
                <color rgb="FF9C0006"/>
              </font>
              <fill>
                <patternFill>
                  <bgColor rgb="FFFFC7CE"/>
                </patternFill>
              </fill>
            </x14:dxf>
          </x14:cfRule>
          <x14:cfRule type="containsText" priority="3808" operator="containsText" text="DB" id="{9EF3019F-DD93-4D74-A843-28F8F8ACFFB0}">
            <xm:f>NOT(ISERROR(SEARCH("DB",'TC1'!#REF!)))</xm:f>
            <x14:dxf>
              <font>
                <color rgb="FF006100"/>
              </font>
              <fill>
                <patternFill>
                  <bgColor rgb="FFC6EFCE"/>
                </patternFill>
              </fill>
            </x14:dxf>
          </x14:cfRule>
          <xm:sqref>E9:E11</xm:sqref>
        </x14:conditionalFormatting>
        <x14:conditionalFormatting xmlns:xm="http://schemas.microsoft.com/office/excel/2006/main">
          <x14:cfRule type="containsText" priority="3809" operator="containsText" text="WEB SERVICE" id="{A63B1B9A-6477-4717-8B09-A9A62614D174}">
            <xm:f>NOT(ISERROR(SEARCH("WEB SERVICE",'TC1'!E9)))</xm:f>
            <x14:dxf>
              <font>
                <color rgb="FF9C0006"/>
              </font>
              <fill>
                <patternFill>
                  <bgColor rgb="FFFFC7CE"/>
                </patternFill>
              </fill>
            </x14:dxf>
          </x14:cfRule>
          <x14:cfRule type="containsText" priority="3810" operator="containsText" text="DB" id="{9EF3019F-DD93-4D74-A843-28F8F8ACFFB0}">
            <xm:f>NOT(ISERROR(SEARCH("DB",'TC1'!E9)))</xm:f>
            <x14:dxf>
              <font>
                <color rgb="FF006100"/>
              </font>
              <fill>
                <patternFill>
                  <bgColor rgb="FFC6EFCE"/>
                </patternFill>
              </fill>
            </x14:dxf>
          </x14:cfRule>
          <xm:sqref>E12:E15</xm:sqref>
        </x14:conditionalFormatting>
        <x14:conditionalFormatting xmlns:xm="http://schemas.microsoft.com/office/excel/2006/main">
          <x14:cfRule type="expression" priority="6351" id="{0410CD08-A622-4247-9B6D-931291988BC0}">
            <xm:f>'TC1'!$B15="Dial"</xm:f>
            <x14:dxf>
              <font>
                <b/>
                <i val="0"/>
                <color rgb="FFFF0000"/>
              </font>
            </x14:dxf>
          </x14:cfRule>
          <x14:cfRule type="expression" priority="6352" id="{5989A651-92F5-4F48-8E18-FB357B4ADC3A}">
            <xm:f>'TC1'!$B15="HANGUP"</xm:f>
            <x14:dxf>
              <font>
                <b/>
                <i val="0"/>
              </font>
            </x14:dxf>
          </x14:cfRule>
          <xm:sqref>C16</xm:sqref>
        </x14:conditionalFormatting>
        <x14:conditionalFormatting xmlns:xm="http://schemas.microsoft.com/office/excel/2006/main">
          <x14:cfRule type="expression" priority="6354" id="{21E11288-86AC-4A6D-B526-D43B1CAC530A}">
            <xm:f>'TC1'!$B15="Speak"</xm:f>
            <x14:dxf>
              <font>
                <b/>
                <i val="0"/>
                <color rgb="FFFF0000"/>
              </font>
            </x14:dxf>
          </x14:cfRule>
          <xm:sqref>C16</xm:sqref>
        </x14:conditionalFormatting>
        <x14:conditionalFormatting xmlns:xm="http://schemas.microsoft.com/office/excel/2006/main">
          <x14:cfRule type="containsText" priority="6357" operator="containsText" text="WEB SERVICE" id="{A63B1B9A-6477-4717-8B09-A9A62614D174}">
            <xm:f>NOT(ISERROR(SEARCH("WEB SERVICE",'TC1'!E15)))</xm:f>
            <x14:dxf>
              <font>
                <color rgb="FF9C0006"/>
              </font>
              <fill>
                <patternFill>
                  <bgColor rgb="FFFFC7CE"/>
                </patternFill>
              </fill>
            </x14:dxf>
          </x14:cfRule>
          <x14:cfRule type="containsText" priority="6358" operator="containsText" text="DB" id="{9EF3019F-DD93-4D74-A843-28F8F8ACFFB0}">
            <xm:f>NOT(ISERROR(SEARCH("DB",'TC1'!E15)))</xm:f>
            <x14:dxf>
              <font>
                <color rgb="FF006100"/>
              </font>
              <fill>
                <patternFill>
                  <bgColor rgb="FFC6EFCE"/>
                </patternFill>
              </fill>
            </x14:dxf>
          </x14:cfRule>
          <xm:sqref>E16</xm:sqref>
        </x14:conditionalFormatting>
        <x14:conditionalFormatting xmlns:xm="http://schemas.microsoft.com/office/excel/2006/main">
          <x14:cfRule type="expression" priority="22" id="{386BA063-E71A-409E-97C4-ACDBD8B7B4C9}">
            <xm:f>'TC1'!#REF!="Dial"</xm:f>
            <x14:dxf>
              <font>
                <b/>
                <i val="0"/>
                <color rgb="FFFF0000"/>
              </font>
            </x14:dxf>
          </x14:cfRule>
          <x14:cfRule type="expression" priority="23" id="{02361768-0155-4E89-9A2E-B56C22D5A52E}">
            <xm:f>'TC1'!#REF!="HANGUP"</xm:f>
            <x14:dxf>
              <font>
                <b/>
                <i val="0"/>
              </font>
            </x14:dxf>
          </x14:cfRule>
          <xm:sqref>C13</xm:sqref>
        </x14:conditionalFormatting>
        <x14:conditionalFormatting xmlns:xm="http://schemas.microsoft.com/office/excel/2006/main">
          <x14:cfRule type="expression" priority="24" id="{7B5915B1-78F2-4CDC-8E45-CBFA5E5F7B40}">
            <xm:f>'TC1'!#REF!="Speak"</xm:f>
            <x14:dxf>
              <font>
                <b/>
                <i val="0"/>
                <color rgb="FFFF0000"/>
              </font>
            </x14:dxf>
          </x14:cfRule>
          <xm:sqref>C13</xm:sqref>
        </x14:conditionalFormatting>
      </x14:conditionalFormattings>
    </ext>
  </extLst>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5"/>
  <dimension ref="A1:E41"/>
  <sheetViews>
    <sheetView zoomScaleNormal="100" workbookViewId="0">
      <selection sqref="A1:B1"/>
    </sheetView>
  </sheetViews>
  <sheetFormatPr defaultRowHeight="14.5" x14ac:dyDescent="0.35"/>
  <cols>
    <col min="1" max="1" width="14.453125" style="97" bestFit="1" customWidth="1"/>
    <col min="2" max="2" width="42.6328125" style="97" customWidth="1"/>
    <col min="3" max="3" width="106.1796875" style="98" customWidth="1"/>
    <col min="4" max="4" width="21.81640625" style="111" bestFit="1" customWidth="1"/>
    <col min="5" max="5" width="20.6328125" style="97" customWidth="1"/>
  </cols>
  <sheetData>
    <row r="1" spans="1:5" ht="18.5" x14ac:dyDescent="0.35">
      <c r="A1" s="192" t="s">
        <v>4</v>
      </c>
      <c r="B1" s="192"/>
      <c r="C1" s="105"/>
    </row>
    <row r="2" spans="1:5" x14ac:dyDescent="0.35">
      <c r="A2" s="106" t="s">
        <v>5</v>
      </c>
      <c r="B2" s="107" t="str">
        <f ca="1">MID(CELL("filename",A1),FIND("]",CELL("filename",A1))+1,LEN(CELL("filename",A1))-FIND("]",CELL("filename",A1)))</f>
        <v>TC33</v>
      </c>
    </row>
    <row r="3" spans="1:5" x14ac:dyDescent="0.35">
      <c r="A3" s="104" t="s">
        <v>19</v>
      </c>
      <c r="B3" s="112">
        <f ca="1">VLOOKUP(B2,Table53[#All],2,FALSE)</f>
        <v>0</v>
      </c>
    </row>
    <row r="4" spans="1:5" ht="29" x14ac:dyDescent="0.35">
      <c r="A4" s="113" t="s">
        <v>20</v>
      </c>
      <c r="B4" s="99" t="str">
        <f ca="1">VLOOKUP(B2,Table53[#All],4,FALSE)</f>
        <v>Recurring, Not Declined, No Last Pmt</v>
      </c>
    </row>
    <row r="5" spans="1:5" x14ac:dyDescent="0.35">
      <c r="A5" s="104" t="s">
        <v>6</v>
      </c>
      <c r="B5" s="93" t="str">
        <f ca="1">VLOOKUP(B2,Table53[#All],3,FALSE)</f>
        <v>Update information No Match x3</v>
      </c>
      <c r="C5" s="18"/>
    </row>
    <row r="7" spans="1:5" ht="15.5" x14ac:dyDescent="0.35">
      <c r="A7" s="100" t="s">
        <v>7</v>
      </c>
      <c r="B7" s="101" t="s">
        <v>8</v>
      </c>
      <c r="C7" s="102" t="s">
        <v>9</v>
      </c>
      <c r="D7" s="102" t="s">
        <v>14</v>
      </c>
      <c r="E7" s="103" t="s">
        <v>10</v>
      </c>
    </row>
    <row r="8" spans="1:5" x14ac:dyDescent="0.35">
      <c r="A8" s="118">
        <v>1</v>
      </c>
      <c r="B8" s="114" t="s">
        <v>114</v>
      </c>
      <c r="C8" s="109" t="s">
        <v>125</v>
      </c>
      <c r="D8" s="128"/>
      <c r="E8" s="125" t="s">
        <v>11</v>
      </c>
    </row>
    <row r="9" spans="1:5" x14ac:dyDescent="0.35">
      <c r="A9" s="118">
        <v>2</v>
      </c>
      <c r="B9" s="114" t="s">
        <v>115</v>
      </c>
      <c r="C9" s="109" t="str">
        <f>VLOOKUP(Table2575525269101343444647484956575859631518[[#This Row],[PEG]],Table1016[#All],2,FALSE)</f>
        <v>To get started, tell me your Account Number</v>
      </c>
      <c r="D9" s="141" t="s">
        <v>245</v>
      </c>
      <c r="E9" s="125" t="str">
        <f>VLOOKUP(Table2575525269101343444647484956575859631518[[#This Row],[PEG]],Table1016[#All],3,FALSE)</f>
        <v>Prompt</v>
      </c>
    </row>
    <row r="10" spans="1:5" x14ac:dyDescent="0.35">
      <c r="A10" s="118">
        <v>3</v>
      </c>
      <c r="B10" s="114" t="s">
        <v>114</v>
      </c>
      <c r="C10" s="109" t="s">
        <v>412</v>
      </c>
      <c r="D10" s="141"/>
      <c r="E10" s="125" t="e">
        <f>VLOOKUP(Table2575525269101343444647484956575859631518[[#This Row],[PEG]],Table1016[#All],3,FALSE)</f>
        <v>#N/A</v>
      </c>
    </row>
    <row r="11" spans="1:5" ht="174" x14ac:dyDescent="0.35">
      <c r="A11" s="118">
        <v>4</v>
      </c>
      <c r="B11" s="114" t="s">
        <v>12</v>
      </c>
      <c r="C11" s="109" t="str">
        <f>VLOOKUP(Table2575525269101343444647484956575859631518[[#This Row],[PEG]],Table1016[#All],2,FALSE)</f>
        <v>SAP HANA – SAP01_GetMember
inputs:
idnumber = iIdnumber	T
idtype 	= iIdtype
outputs:
~ Billing Reference
~ Enrollment Details
~ Billing Details
~ Last Payment
~ Recurring Payment Method
~ Stored Payment Method</v>
      </c>
      <c r="D11" s="141" t="s">
        <v>371</v>
      </c>
      <c r="E11" s="125" t="str">
        <f>VLOOKUP(Table2575525269101343444647484956575859631518[[#This Row],[PEG]],Table1016[#All],3,FALSE)</f>
        <v>DB</v>
      </c>
    </row>
    <row r="12" spans="1:5" x14ac:dyDescent="0.35">
      <c r="A12" s="118">
        <v>5</v>
      </c>
      <c r="B12" s="114" t="s">
        <v>115</v>
      </c>
      <c r="C12" s="109" t="str">
        <f>VLOOKUP(Table2575525269101343444647484956575859631518[[#This Row],[PEG]],Table1016[#All],2,FALSE)</f>
        <v>Thanks, I found your account!</v>
      </c>
      <c r="D12" s="141" t="s">
        <v>248</v>
      </c>
      <c r="E12" s="125" t="str">
        <f>VLOOKUP(Table2575525269101343444647484956575859631518[[#This Row],[PEG]],Table1016[#All],3,FALSE)</f>
        <v>Prompt</v>
      </c>
    </row>
    <row r="13" spans="1:5" ht="29" x14ac:dyDescent="0.35">
      <c r="A13" s="118">
        <v>6</v>
      </c>
      <c r="B13" s="114" t="s">
        <v>115</v>
      </c>
      <c r="C13" s="109" t="str">
        <f>VLOOKUP(Table2575525269101343444647484956575859631518[[#This Row],[PEG]],Table1016[#All],2,FALSE)</f>
        <v>You are already setup for recurring payments in the amount of &lt;SAP01_CurrentDue&gt; to be deducted on the last day of each month.</v>
      </c>
      <c r="D13" s="141" t="s">
        <v>266</v>
      </c>
      <c r="E13" s="125" t="str">
        <f>VLOOKUP(Table2575525269101343444647484956575859631518[[#This Row],[PEG]],Table1016[#All],3,FALSE)</f>
        <v>Prompt</v>
      </c>
    </row>
    <row r="14" spans="1:5" x14ac:dyDescent="0.35">
      <c r="A14" s="118">
        <v>7</v>
      </c>
      <c r="B14" s="114" t="s">
        <v>115</v>
      </c>
      <c r="C14" s="109" t="str">
        <f>VLOOKUP(Table2575525269101343444647484956575859631518[[#This Row],[PEG]],Table1016[#All],2,FALSE)</f>
        <v>Do you need to update your payment information?</v>
      </c>
      <c r="D14" s="141" t="s">
        <v>272</v>
      </c>
      <c r="E14" s="125" t="str">
        <f>VLOOKUP(Table2575525269101343444647484956575859631518[[#This Row],[PEG]],Table1016[#All],3,FALSE)</f>
        <v>Prompt</v>
      </c>
    </row>
    <row r="15" spans="1:5" x14ac:dyDescent="0.35">
      <c r="A15" s="118">
        <v>8</v>
      </c>
      <c r="B15" s="114" t="s">
        <v>114</v>
      </c>
      <c r="C15" s="109">
        <v>5</v>
      </c>
      <c r="D15" s="142"/>
      <c r="E15" s="125" t="e">
        <f>VLOOKUP(Table2575525269101343444647484956575859631518[[#This Row],[PEG]],Table1016[#All],3,FALSE)</f>
        <v>#N/A</v>
      </c>
    </row>
    <row r="16" spans="1:5" x14ac:dyDescent="0.35">
      <c r="A16" s="118">
        <v>9</v>
      </c>
      <c r="B16" s="114" t="s">
        <v>115</v>
      </c>
      <c r="C16" s="109" t="str">
        <f>VLOOKUP(Table2575525269101343444647484956575859631518[[#This Row],[PEG]],Table1016[#All],2,FALSE)</f>
        <v>Sorry, I didn’t understand.</v>
      </c>
      <c r="D16" s="142" t="s">
        <v>367</v>
      </c>
      <c r="E16" s="125" t="str">
        <f>VLOOKUP(Table2575525269101343444647484956575859631518[[#This Row],[PEG]],Table1016[#All],3,FALSE)</f>
        <v>Prompt</v>
      </c>
    </row>
    <row r="17" spans="1:5" x14ac:dyDescent="0.35">
      <c r="A17" s="118">
        <v>10</v>
      </c>
      <c r="B17" s="114" t="s">
        <v>115</v>
      </c>
      <c r="C17" s="109" t="str">
        <f>VLOOKUP(Table2575525269101343444647484956575859631518[[#This Row],[PEG]],Table1016[#All],2,FALSE)</f>
        <v>Do you need to update your payment information?  Just say yes or no.</v>
      </c>
      <c r="D17" s="143" t="s">
        <v>273</v>
      </c>
      <c r="E17" s="125" t="str">
        <f>VLOOKUP(Table2575525269101343444647484956575859631518[[#This Row],[PEG]],Table1016[#All],3,FALSE)</f>
        <v>Prompt</v>
      </c>
    </row>
    <row r="18" spans="1:5" x14ac:dyDescent="0.35">
      <c r="A18" s="118">
        <v>11</v>
      </c>
      <c r="B18" s="114" t="s">
        <v>114</v>
      </c>
      <c r="C18" s="109">
        <v>5</v>
      </c>
      <c r="D18" s="143"/>
      <c r="E18" s="125" t="e">
        <f>VLOOKUP(Table2575525269101343444647484956575859631518[[#This Row],[PEG]],Table1016[#All],3,FALSE)</f>
        <v>#N/A</v>
      </c>
    </row>
    <row r="19" spans="1:5" x14ac:dyDescent="0.35">
      <c r="A19" s="118">
        <v>12</v>
      </c>
      <c r="B19" s="114" t="s">
        <v>115</v>
      </c>
      <c r="C19" s="109" t="str">
        <f>VLOOKUP(Table2575525269101343444647484956575859631518[[#This Row],[PEG]],Table1016[#All],2,FALSE)</f>
        <v>Let’s try that one more time.</v>
      </c>
      <c r="D19" s="143" t="s">
        <v>368</v>
      </c>
      <c r="E19" s="125" t="str">
        <f>VLOOKUP(Table2575525269101343444647484956575859631518[[#This Row],[PEG]],Table1016[#All],3,FALSE)</f>
        <v>Prompt</v>
      </c>
    </row>
    <row r="20" spans="1:5" x14ac:dyDescent="0.35">
      <c r="A20" s="118">
        <v>13</v>
      </c>
      <c r="B20" s="114" t="s">
        <v>115</v>
      </c>
      <c r="C20" s="109" t="str">
        <f>VLOOKUP(Table2575525269101343444647484956575859631518[[#This Row],[PEG]],Table1016[#All],2,FALSE)</f>
        <v>If you need to update your payment information, say yes or press 1.  Otherwise say no or press 2.</v>
      </c>
      <c r="D20" s="143" t="s">
        <v>274</v>
      </c>
      <c r="E20" s="125" t="str">
        <f>VLOOKUP(Table2575525269101343444647484956575859631518[[#This Row],[PEG]],Table1016[#All],3,FALSE)</f>
        <v>Prompt</v>
      </c>
    </row>
    <row r="21" spans="1:5" x14ac:dyDescent="0.35">
      <c r="A21" s="118">
        <v>14</v>
      </c>
      <c r="B21" s="114" t="s">
        <v>114</v>
      </c>
      <c r="C21" s="109">
        <v>5</v>
      </c>
      <c r="D21" s="143"/>
      <c r="E21" s="125" t="e">
        <f>VLOOKUP(Table2575525269101343444647484956575859631518[[#This Row],[PEG]],Table1016[#All],3,FALSE)</f>
        <v>#N/A</v>
      </c>
    </row>
    <row r="22" spans="1:5" ht="29" x14ac:dyDescent="0.35">
      <c r="A22" s="118">
        <v>15</v>
      </c>
      <c r="B22" s="114" t="s">
        <v>115</v>
      </c>
      <c r="C22" s="109" t="str">
        <f>VLOOKUP(Table2575525269101343444647484956575859631518[[#This Row],[PEG]],Table1016[#All],2,FALSE)</f>
        <v>For future transactions you can also access your plan details, or manage your account online anytime at members.lacare.com.  Thank you for calling.</v>
      </c>
      <c r="D22" s="143" t="s">
        <v>362</v>
      </c>
      <c r="E22" s="125" t="str">
        <f>VLOOKUP(Table2575525269101343444647484956575859631518[[#This Row],[PEG]],Table1016[#All],3,FALSE)</f>
        <v>Prompt</v>
      </c>
    </row>
    <row r="23" spans="1:5" x14ac:dyDescent="0.35">
      <c r="A23" s="118">
        <v>16</v>
      </c>
      <c r="B23" s="114" t="s">
        <v>13</v>
      </c>
      <c r="C23" s="109" t="s">
        <v>13</v>
      </c>
      <c r="D23" s="117"/>
      <c r="E23" s="125" t="e">
        <f>VLOOKUP(Table2575525269101343444647484956575859631518[[#This Row],[PEG]],Table1016[#All],3,FALSE)</f>
        <v>#N/A</v>
      </c>
    </row>
    <row r="24" spans="1:5" x14ac:dyDescent="0.35">
      <c r="C24" s="26"/>
      <c r="D24" s="111" t="s">
        <v>0</v>
      </c>
    </row>
    <row r="25" spans="1:5" x14ac:dyDescent="0.35">
      <c r="C25" s="26"/>
    </row>
    <row r="26" spans="1:5" x14ac:dyDescent="0.35">
      <c r="C26" s="26"/>
    </row>
    <row r="27" spans="1:5" x14ac:dyDescent="0.35">
      <c r="C27" s="26"/>
    </row>
    <row r="28" spans="1:5" x14ac:dyDescent="0.35">
      <c r="C28" s="26"/>
    </row>
    <row r="29" spans="1:5" x14ac:dyDescent="0.35">
      <c r="C29" s="26"/>
    </row>
    <row r="30" spans="1:5" x14ac:dyDescent="0.35">
      <c r="C30" s="26"/>
    </row>
    <row r="31" spans="1:5" x14ac:dyDescent="0.35">
      <c r="C31" s="26"/>
    </row>
    <row r="32" spans="1:5" x14ac:dyDescent="0.35">
      <c r="C32" s="26"/>
    </row>
    <row r="33" spans="3:3" x14ac:dyDescent="0.35">
      <c r="C33" s="26"/>
    </row>
    <row r="34" spans="3:3" x14ac:dyDescent="0.35">
      <c r="C34" s="26"/>
    </row>
    <row r="35" spans="3:3" x14ac:dyDescent="0.35">
      <c r="C35" s="26"/>
    </row>
    <row r="36" spans="3:3" x14ac:dyDescent="0.35">
      <c r="C36" s="26"/>
    </row>
    <row r="37" spans="3:3" x14ac:dyDescent="0.35">
      <c r="C37" s="26"/>
    </row>
    <row r="38" spans="3:3" x14ac:dyDescent="0.35">
      <c r="C38" s="26"/>
    </row>
    <row r="39" spans="3:3" x14ac:dyDescent="0.35">
      <c r="C39" s="27"/>
    </row>
    <row r="40" spans="3:3" x14ac:dyDescent="0.35">
      <c r="C40" s="27"/>
    </row>
    <row r="41" spans="3:3" x14ac:dyDescent="0.35">
      <c r="C41" s="27"/>
    </row>
  </sheetData>
  <mergeCells count="1">
    <mergeCell ref="A1:B1"/>
  </mergeCells>
  <conditionalFormatting sqref="C24:C9980">
    <cfRule type="expression" dxfId="5021" priority="60">
      <formula>$B24="Dial"</formula>
    </cfRule>
    <cfRule type="expression" dxfId="5020" priority="62">
      <formula>$B24="HANGUP"</formula>
    </cfRule>
  </conditionalFormatting>
  <conditionalFormatting sqref="B8:B23">
    <cfRule type="containsText" dxfId="5019" priority="25" operator="containsText" text="Hear">
      <formula>NOT(ISERROR(SEARCH("Hear",B8)))</formula>
    </cfRule>
  </conditionalFormatting>
  <conditionalFormatting sqref="C15">
    <cfRule type="expression" dxfId="5018" priority="10">
      <formula>$B15="Dial"</formula>
    </cfRule>
    <cfRule type="expression" dxfId="5017" priority="12">
      <formula>$B15="HANGUP"</formula>
    </cfRule>
  </conditionalFormatting>
  <conditionalFormatting sqref="C15">
    <cfRule type="expression" dxfId="5016" priority="11">
      <formula>$B15="Speak"</formula>
    </cfRule>
  </conditionalFormatting>
  <conditionalFormatting sqref="C18">
    <cfRule type="expression" dxfId="5015" priority="7">
      <formula>$B18="Dial"</formula>
    </cfRule>
    <cfRule type="expression" dxfId="5014" priority="9">
      <formula>$B18="HANGUP"</formula>
    </cfRule>
  </conditionalFormatting>
  <conditionalFormatting sqref="C18">
    <cfRule type="expression" dxfId="5013" priority="8">
      <formula>$B18="Speak"</formula>
    </cfRule>
  </conditionalFormatting>
  <conditionalFormatting sqref="C21">
    <cfRule type="expression" dxfId="5012" priority="4">
      <formula>$B21="Dial"</formula>
    </cfRule>
    <cfRule type="expression" dxfId="5011" priority="6">
      <formula>$B21="HANGUP"</formula>
    </cfRule>
  </conditionalFormatting>
  <conditionalFormatting sqref="C21">
    <cfRule type="expression" dxfId="5010" priority="5">
      <formula>$B21="Speak"</formula>
    </cfRule>
  </conditionalFormatting>
  <conditionalFormatting sqref="C5">
    <cfRule type="expression" dxfId="5009" priority="1">
      <formula>$B5="Dial"</formula>
    </cfRule>
    <cfRule type="expression" dxfId="5008" priority="3">
      <formula>$B5="HANGUP"</formula>
    </cfRule>
  </conditionalFormatting>
  <conditionalFormatting sqref="C5">
    <cfRule type="expression" dxfId="5007" priority="2">
      <formula>$B5="Speak"</formula>
    </cfRule>
  </conditionalFormatting>
  <hyperlinks>
    <hyperlink ref="A1" location="'Test Case Overview'!A1" display="Return to Test Case Overview" xr:uid="{00000000-0004-0000-2100-000000000000}"/>
  </hyperlinks>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expression" priority="51" id="{1207A0B6-E379-4521-AE3D-E4A5ADA11478}">
            <xm:f>'TC1'!$B8="HANGUP"</xm:f>
            <x14:dxf>
              <font>
                <b/>
                <i val="0"/>
              </font>
            </x14:dxf>
          </x14:cfRule>
          <x14:cfRule type="expression" priority="64" id="{BF5F32E5-6D9E-4685-B2FA-41379EAA8534}">
            <xm:f>'TC1'!$B8="Dial"</xm:f>
            <x14:dxf>
              <font>
                <b/>
                <i val="0"/>
                <color rgb="FFFF0000"/>
              </font>
            </x14:dxf>
          </x14:cfRule>
          <xm:sqref>C8</xm:sqref>
        </x14:conditionalFormatting>
        <x14:conditionalFormatting xmlns:xm="http://schemas.microsoft.com/office/excel/2006/main">
          <x14:cfRule type="expression" priority="65" id="{0C0BEAED-7D2D-4890-A6BC-A21EC6DB93F8}">
            <xm:f>'TC1'!$B8="Speak"</xm:f>
            <x14:dxf>
              <font>
                <b/>
                <i val="0"/>
                <color rgb="FFFF0000"/>
              </font>
            </x14:dxf>
          </x14:cfRule>
          <xm:sqref>C8 C10</xm:sqref>
        </x14:conditionalFormatting>
        <x14:conditionalFormatting xmlns:xm="http://schemas.microsoft.com/office/excel/2006/main">
          <x14:cfRule type="expression" priority="974" id="{1207A0B6-E379-4521-AE3D-E4A5ADA11478}">
            <xm:f>'TC1'!#REF!="HANGUP"</xm:f>
            <x14:dxf>
              <font>
                <b/>
                <i val="0"/>
              </font>
            </x14:dxf>
          </x14:cfRule>
          <x14:cfRule type="expression" priority="975" id="{BF5F32E5-6D9E-4685-B2FA-41379EAA8534}">
            <xm:f>'TC1'!#REF!="Dial"</xm:f>
            <x14:dxf>
              <font>
                <b/>
                <i val="0"/>
                <color rgb="FFFF0000"/>
              </font>
            </x14:dxf>
          </x14:cfRule>
          <xm:sqref>C17 C19:C20 C22:C23</xm:sqref>
        </x14:conditionalFormatting>
        <x14:conditionalFormatting xmlns:xm="http://schemas.microsoft.com/office/excel/2006/main">
          <x14:cfRule type="expression" priority="980" id="{0C0BEAED-7D2D-4890-A6BC-A21EC6DB93F8}">
            <xm:f>'TC1'!#REF!="Speak"</xm:f>
            <x14:dxf>
              <font>
                <b/>
                <i val="0"/>
                <color rgb="FFFF0000"/>
              </font>
            </x14:dxf>
          </x14:cfRule>
          <xm:sqref>C17 C19:C20 C22:C23</xm:sqref>
        </x14:conditionalFormatting>
        <x14:conditionalFormatting xmlns:xm="http://schemas.microsoft.com/office/excel/2006/main">
          <x14:cfRule type="containsText" priority="986" operator="containsText" text="WEB SERVICE" id="{4DDAA72A-E383-474D-9272-B710F979D83D}">
            <xm:f>NOT(ISERROR(SEARCH("WEB SERVICE",'TC1'!#REF!)))</xm:f>
            <x14:dxf>
              <font>
                <color rgb="FF9C0006"/>
              </font>
              <fill>
                <patternFill>
                  <bgColor rgb="FFFFC7CE"/>
                </patternFill>
              </fill>
            </x14:dxf>
          </x14:cfRule>
          <x14:cfRule type="containsText" priority="987" operator="containsText" text="DB" id="{2AC239B1-294A-4048-B5B2-65B23D8A4D46}">
            <xm:f>NOT(ISERROR(SEARCH("DB",'TC1'!#REF!)))</xm:f>
            <x14:dxf>
              <font>
                <color rgb="FF006100"/>
              </font>
              <fill>
                <patternFill>
                  <bgColor rgb="FFC6EFCE"/>
                </patternFill>
              </fill>
            </x14:dxf>
          </x14:cfRule>
          <xm:sqref>E17:E23</xm:sqref>
        </x14:conditionalFormatting>
        <x14:conditionalFormatting xmlns:xm="http://schemas.microsoft.com/office/excel/2006/main">
          <x14:cfRule type="expression" priority="3815" id="{1207A0B6-E379-4521-AE3D-E4A5ADA11478}">
            <xm:f>'TC1'!$B9="HANGUP"</xm:f>
            <x14:dxf>
              <font>
                <b/>
                <i val="0"/>
              </font>
            </x14:dxf>
          </x14:cfRule>
          <x14:cfRule type="expression" priority="3816" id="{BF5F32E5-6D9E-4685-B2FA-41379EAA8534}">
            <xm:f>'TC1'!$B9="Dial"</xm:f>
            <x14:dxf>
              <font>
                <b/>
                <i val="0"/>
                <color rgb="FFFF0000"/>
              </font>
            </x14:dxf>
          </x14:cfRule>
          <xm:sqref>C12 C14 C16</xm:sqref>
        </x14:conditionalFormatting>
        <x14:conditionalFormatting xmlns:xm="http://schemas.microsoft.com/office/excel/2006/main">
          <x14:cfRule type="expression" priority="3817" id="{1207A0B6-E379-4521-AE3D-E4A5ADA11478}">
            <xm:f>'TC1'!#REF!="HANGUP"</xm:f>
            <x14:dxf>
              <font>
                <b/>
                <i val="0"/>
              </font>
            </x14:dxf>
          </x14:cfRule>
          <x14:cfRule type="expression" priority="3818" id="{BF5F32E5-6D9E-4685-B2FA-41379EAA8534}">
            <xm:f>'TC1'!#REF!="Dial"</xm:f>
            <x14:dxf>
              <font>
                <b/>
                <i val="0"/>
                <color rgb="FFFF0000"/>
              </font>
            </x14:dxf>
          </x14:cfRule>
          <xm:sqref>C9 C11</xm:sqref>
        </x14:conditionalFormatting>
        <x14:conditionalFormatting xmlns:xm="http://schemas.microsoft.com/office/excel/2006/main">
          <x14:cfRule type="expression" priority="3822" id="{0C0BEAED-7D2D-4890-A6BC-A21EC6DB93F8}">
            <xm:f>'TC1'!$B9="Speak"</xm:f>
            <x14:dxf>
              <font>
                <b/>
                <i val="0"/>
                <color rgb="FFFF0000"/>
              </font>
            </x14:dxf>
          </x14:cfRule>
          <xm:sqref>C12 C14 C16</xm:sqref>
        </x14:conditionalFormatting>
        <x14:conditionalFormatting xmlns:xm="http://schemas.microsoft.com/office/excel/2006/main">
          <x14:cfRule type="expression" priority="3823" id="{0C0BEAED-7D2D-4890-A6BC-A21EC6DB93F8}">
            <xm:f>'TC1'!#REF!="Speak"</xm:f>
            <x14:dxf>
              <font>
                <b/>
                <i val="0"/>
                <color rgb="FFFF0000"/>
              </font>
            </x14:dxf>
          </x14:cfRule>
          <xm:sqref>C9 C11</xm:sqref>
        </x14:conditionalFormatting>
        <x14:conditionalFormatting xmlns:xm="http://schemas.microsoft.com/office/excel/2006/main">
          <x14:cfRule type="containsText" priority="3825" operator="containsText" text="WEB SERVICE" id="{4DDAA72A-E383-474D-9272-B710F979D83D}">
            <xm:f>NOT(ISERROR(SEARCH("WEB SERVICE",'TC1'!#REF!)))</xm:f>
            <x14:dxf>
              <font>
                <color rgb="FF9C0006"/>
              </font>
              <fill>
                <patternFill>
                  <bgColor rgb="FFFFC7CE"/>
                </patternFill>
              </fill>
            </x14:dxf>
          </x14:cfRule>
          <x14:cfRule type="containsText" priority="3826" operator="containsText" text="DB" id="{2AC239B1-294A-4048-B5B2-65B23D8A4D46}">
            <xm:f>NOT(ISERROR(SEARCH("DB",'TC1'!#REF!)))</xm:f>
            <x14:dxf>
              <font>
                <color rgb="FF006100"/>
              </font>
              <fill>
                <patternFill>
                  <bgColor rgb="FFC6EFCE"/>
                </patternFill>
              </fill>
            </x14:dxf>
          </x14:cfRule>
          <xm:sqref>E9:E11</xm:sqref>
        </x14:conditionalFormatting>
        <x14:conditionalFormatting xmlns:xm="http://schemas.microsoft.com/office/excel/2006/main">
          <x14:cfRule type="containsText" priority="3827" operator="containsText" text="WEB SERVICE" id="{4DDAA72A-E383-474D-9272-B710F979D83D}">
            <xm:f>NOT(ISERROR(SEARCH("WEB SERVICE",'TC1'!E9)))</xm:f>
            <x14:dxf>
              <font>
                <color rgb="FF9C0006"/>
              </font>
              <fill>
                <patternFill>
                  <bgColor rgb="FFFFC7CE"/>
                </patternFill>
              </fill>
            </x14:dxf>
          </x14:cfRule>
          <x14:cfRule type="containsText" priority="3828" operator="containsText" text="DB" id="{2AC239B1-294A-4048-B5B2-65B23D8A4D46}">
            <xm:f>NOT(ISERROR(SEARCH("DB",'TC1'!E9)))</xm:f>
            <x14:dxf>
              <font>
                <color rgb="FF006100"/>
              </font>
              <fill>
                <patternFill>
                  <bgColor rgb="FFC6EFCE"/>
                </patternFill>
              </fill>
            </x14:dxf>
          </x14:cfRule>
          <xm:sqref>E12:E15</xm:sqref>
        </x14:conditionalFormatting>
        <x14:conditionalFormatting xmlns:xm="http://schemas.microsoft.com/office/excel/2006/main">
          <x14:cfRule type="containsText" priority="6370" operator="containsText" text="WEB SERVICE" id="{4DDAA72A-E383-474D-9272-B710F979D83D}">
            <xm:f>NOT(ISERROR(SEARCH("WEB SERVICE",'TC1'!E15)))</xm:f>
            <x14:dxf>
              <font>
                <color rgb="FF9C0006"/>
              </font>
              <fill>
                <patternFill>
                  <bgColor rgb="FFFFC7CE"/>
                </patternFill>
              </fill>
            </x14:dxf>
          </x14:cfRule>
          <x14:cfRule type="containsText" priority="6371" operator="containsText" text="DB" id="{2AC239B1-294A-4048-B5B2-65B23D8A4D46}">
            <xm:f>NOT(ISERROR(SEARCH("DB",'TC1'!E15)))</xm:f>
            <x14:dxf>
              <font>
                <color rgb="FF006100"/>
              </font>
              <fill>
                <patternFill>
                  <bgColor rgb="FFC6EFCE"/>
                </patternFill>
              </fill>
            </x14:dxf>
          </x14:cfRule>
          <xm:sqref>E16</xm:sqref>
        </x14:conditionalFormatting>
        <x14:conditionalFormatting xmlns:xm="http://schemas.microsoft.com/office/excel/2006/main">
          <x14:cfRule type="expression" priority="22" id="{96209BB2-D18F-4E41-B918-10766B61FA1A}">
            <xm:f>'TC1'!#REF!="HANGUP"</xm:f>
            <x14:dxf>
              <font>
                <b/>
                <i val="0"/>
              </font>
            </x14:dxf>
          </x14:cfRule>
          <x14:cfRule type="expression" priority="23" id="{64CD7BFE-8328-49C0-9EC0-349CF4B942CB}">
            <xm:f>'TC1'!#REF!="Dial"</xm:f>
            <x14:dxf>
              <font>
                <b/>
                <i val="0"/>
                <color rgb="FFFF0000"/>
              </font>
            </x14:dxf>
          </x14:cfRule>
          <xm:sqref>C13</xm:sqref>
        </x14:conditionalFormatting>
        <x14:conditionalFormatting xmlns:xm="http://schemas.microsoft.com/office/excel/2006/main">
          <x14:cfRule type="expression" priority="24" id="{3AD232A5-A95B-4C36-B51C-42C457B722D8}">
            <xm:f>'TC1'!#REF!="Speak"</xm:f>
            <x14:dxf>
              <font>
                <b/>
                <i val="0"/>
                <color rgb="FFFF0000"/>
              </font>
            </x14:dxf>
          </x14:cfRule>
          <xm:sqref>C13</xm:sqref>
        </x14:conditionalFormatting>
        <x14:conditionalFormatting xmlns:xm="http://schemas.microsoft.com/office/excel/2006/main">
          <x14:cfRule type="expression" priority="16" id="{52EA8DBA-1CA6-420B-9464-0FB14E92F1B9}">
            <xm:f>'TC1'!$B10="Dial"</xm:f>
            <x14:dxf>
              <font>
                <b/>
                <i val="0"/>
                <color rgb="FFFF0000"/>
              </font>
            </x14:dxf>
          </x14:cfRule>
          <x14:cfRule type="expression" priority="18" id="{72713362-7ACC-4429-95A6-0C66E1FE6DCB}">
            <xm:f>'TC1'!$B10="HANGUP"</xm:f>
            <x14:dxf>
              <font>
                <b/>
                <i val="0"/>
              </font>
            </x14:dxf>
          </x14:cfRule>
          <xm:sqref>C10</xm:sqref>
        </x14:conditionalFormatting>
      </x14:conditionalFormattings>
    </ext>
  </extLst>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6"/>
  <dimension ref="A1:E43"/>
  <sheetViews>
    <sheetView zoomScaleNormal="100" workbookViewId="0">
      <selection sqref="A1:B1"/>
    </sheetView>
  </sheetViews>
  <sheetFormatPr defaultRowHeight="14.5" x14ac:dyDescent="0.35"/>
  <cols>
    <col min="1" max="1" width="14.453125" style="97" bestFit="1" customWidth="1"/>
    <col min="2" max="2" width="42.6328125" style="97" customWidth="1"/>
    <col min="3" max="3" width="106.1796875" style="98" customWidth="1"/>
    <col min="4" max="4" width="21.81640625" style="111" bestFit="1" customWidth="1"/>
    <col min="5" max="5" width="20.6328125" style="97" customWidth="1"/>
  </cols>
  <sheetData>
    <row r="1" spans="1:5" ht="18.5" x14ac:dyDescent="0.35">
      <c r="A1" s="192" t="s">
        <v>4</v>
      </c>
      <c r="B1" s="192"/>
      <c r="C1" s="105"/>
    </row>
    <row r="2" spans="1:5" x14ac:dyDescent="0.35">
      <c r="A2" s="106" t="s">
        <v>5</v>
      </c>
      <c r="B2" s="107" t="str">
        <f ca="1">MID(CELL("filename",A1),FIND("]",CELL("filename",A1))+1,LEN(CELL("filename",A1))-FIND("]",CELL("filename",A1)))</f>
        <v>TC34</v>
      </c>
    </row>
    <row r="3" spans="1:5" x14ac:dyDescent="0.35">
      <c r="A3" s="104" t="s">
        <v>19</v>
      </c>
      <c r="B3" s="112">
        <f ca="1">VLOOKUP(B2,Table53[#All],2,FALSE)</f>
        <v>0</v>
      </c>
    </row>
    <row r="4" spans="1:5" ht="29" x14ac:dyDescent="0.35">
      <c r="A4" s="113" t="s">
        <v>20</v>
      </c>
      <c r="B4" s="99" t="str">
        <f ca="1">VLOOKUP(B2,Table53[#All],4,FALSE)</f>
        <v>No Recurring, Current Due, Savings</v>
      </c>
    </row>
    <row r="5" spans="1:5" x14ac:dyDescent="0.35">
      <c r="A5" s="104" t="s">
        <v>6</v>
      </c>
      <c r="B5" s="93" t="str">
        <f ca="1">VLOOKUP(B2,Table53[#All],3,FALSE)</f>
        <v>Stored Mthd No Input x3</v>
      </c>
    </row>
    <row r="7" spans="1:5" ht="15.5" x14ac:dyDescent="0.35">
      <c r="A7" s="100" t="s">
        <v>7</v>
      </c>
      <c r="B7" s="101" t="s">
        <v>8</v>
      </c>
      <c r="C7" s="102" t="s">
        <v>9</v>
      </c>
      <c r="D7" s="102" t="s">
        <v>14</v>
      </c>
      <c r="E7" s="103" t="s">
        <v>10</v>
      </c>
    </row>
    <row r="8" spans="1:5" x14ac:dyDescent="0.35">
      <c r="A8" s="118">
        <v>1</v>
      </c>
      <c r="B8" s="114" t="s">
        <v>114</v>
      </c>
      <c r="C8" s="109" t="s">
        <v>125</v>
      </c>
      <c r="D8" s="128"/>
      <c r="E8" s="125" t="s">
        <v>11</v>
      </c>
    </row>
    <row r="9" spans="1:5" x14ac:dyDescent="0.35">
      <c r="A9" s="118">
        <v>2</v>
      </c>
      <c r="B9" s="114" t="s">
        <v>115</v>
      </c>
      <c r="C9" s="109" t="str">
        <f>VLOOKUP(Table257552526910134344464748495657585963151817[[#This Row],[PEG]],Table1016[#All],2,FALSE)</f>
        <v>To get started, tell me your Account Number</v>
      </c>
      <c r="D9" s="141" t="s">
        <v>245</v>
      </c>
      <c r="E9" s="125" t="str">
        <f>VLOOKUP(Table257552526910134344464748495657585963151817[[#This Row],[PEG]],Table1016[#All],3,FALSE)</f>
        <v>Prompt</v>
      </c>
    </row>
    <row r="10" spans="1:5" x14ac:dyDescent="0.35">
      <c r="A10" s="118">
        <v>3</v>
      </c>
      <c r="B10" s="114" t="s">
        <v>114</v>
      </c>
      <c r="C10" s="109" t="s">
        <v>412</v>
      </c>
      <c r="D10" s="141"/>
      <c r="E10" s="125" t="e">
        <f>VLOOKUP(Table257552526910134344464748495657585963151817[[#This Row],[PEG]],Table1016[#All],3,FALSE)</f>
        <v>#N/A</v>
      </c>
    </row>
    <row r="11" spans="1:5" ht="174" x14ac:dyDescent="0.35">
      <c r="A11" s="118">
        <v>4</v>
      </c>
      <c r="B11" s="114" t="s">
        <v>12</v>
      </c>
      <c r="C11" s="109" t="str">
        <f>VLOOKUP(Table257552526910134344464748495657585963151817[[#This Row],[PEG]],Table1016[#All],2,FALSE)</f>
        <v>SAP HANA – SAP01_GetMember
inputs:
idnumber = iIdnumber	T
idtype 	= iIdtype
outputs:
~ Billing Reference
~ Enrollment Details
~ Billing Details
~ Last Payment
~ Recurring Payment Method
~ Stored Payment Method</v>
      </c>
      <c r="D11" s="165" t="s">
        <v>371</v>
      </c>
      <c r="E11" s="125" t="str">
        <f>VLOOKUP(Table257552526910134344464748495657585963151817[[#This Row],[PEG]],Table1016[#All],3,FALSE)</f>
        <v>DB</v>
      </c>
    </row>
    <row r="12" spans="1:5" x14ac:dyDescent="0.35">
      <c r="A12" s="118">
        <v>5</v>
      </c>
      <c r="B12" s="114" t="s">
        <v>115</v>
      </c>
      <c r="C12" s="109" t="str">
        <f>VLOOKUP(Table257552526910134344464748495657585963151817[[#This Row],[PEG]],Table1016[#All],2,FALSE)</f>
        <v>Thanks, I found your account!</v>
      </c>
      <c r="D12" s="141" t="s">
        <v>248</v>
      </c>
      <c r="E12" s="125" t="str">
        <f>VLOOKUP(Table257552526910134344464748495657585963151817[[#This Row],[PEG]],Table1016[#All],3,FALSE)</f>
        <v>Prompt</v>
      </c>
    </row>
    <row r="13" spans="1:5" x14ac:dyDescent="0.35">
      <c r="A13" s="118">
        <v>6</v>
      </c>
      <c r="B13" s="114" t="s">
        <v>115</v>
      </c>
      <c r="C13" s="109" t="str">
        <f>VLOOKUP(Table257552526910134344464748495657585963151817[[#This Row],[PEG]],Table1016[#All],2,FALSE)</f>
        <v>A current balance of &lt;SAP01_CurrentDue&gt; is due by &lt;SAP01_Duedate&gt;.</v>
      </c>
      <c r="D13" s="141" t="s">
        <v>258</v>
      </c>
      <c r="E13" s="125" t="str">
        <f>VLOOKUP(Table257552526910134344464748495657585963151817[[#This Row],[PEG]],Table1016[#All],3,FALSE)</f>
        <v>Prompt</v>
      </c>
    </row>
    <row r="14" spans="1:5" x14ac:dyDescent="0.35">
      <c r="A14" s="118">
        <v>7</v>
      </c>
      <c r="B14" s="114" t="s">
        <v>115</v>
      </c>
      <c r="C14" s="109" t="str">
        <f>VLOOKUP(Table257552526910134344464748495657585963151817[[#This Row],[PEG]],Table1016[#All],2,FALSE)</f>
        <v>Would you like to pay this in full today?</v>
      </c>
      <c r="D14" s="141" t="s">
        <v>260</v>
      </c>
      <c r="E14" s="125" t="str">
        <f>VLOOKUP(Table257552526910134344464748495657585963151817[[#This Row],[PEG]],Table1016[#All],3,FALSE)</f>
        <v>Prompt</v>
      </c>
    </row>
    <row r="15" spans="1:5" x14ac:dyDescent="0.35">
      <c r="A15" s="118">
        <v>8</v>
      </c>
      <c r="B15" s="114" t="s">
        <v>114</v>
      </c>
      <c r="C15" s="109">
        <v>1</v>
      </c>
      <c r="D15" s="141"/>
      <c r="E15" s="125" t="e">
        <f>VLOOKUP(Table257552526910134344464748495657585963151817[[#This Row],[PEG]],Table1016[#All],3,FALSE)</f>
        <v>#N/A</v>
      </c>
    </row>
    <row r="16" spans="1:5" x14ac:dyDescent="0.35">
      <c r="A16" s="118">
        <v>9</v>
      </c>
      <c r="B16" s="114" t="s">
        <v>115</v>
      </c>
      <c r="C16" s="109" t="str">
        <f>VLOOKUP(Table257552526910134344464748495657585963151817[[#This Row],[PEG]],Table1016[#All],2,FALSE)</f>
        <v>Do you want to use the savings account on file ending in &lt;SAP01_ivrStoredPmtLast4Digits&gt;.</v>
      </c>
      <c r="D16" s="164" t="s">
        <v>276</v>
      </c>
      <c r="E16" s="125" t="str">
        <f>VLOOKUP(Table257552526910134344464748495657585963151817[[#This Row],[PEG]],Table1016[#All],3,FALSE)</f>
        <v>Prompt</v>
      </c>
    </row>
    <row r="17" spans="1:5" x14ac:dyDescent="0.35">
      <c r="A17" s="118">
        <v>10</v>
      </c>
      <c r="B17" s="114" t="s">
        <v>114</v>
      </c>
      <c r="C17" s="109" t="s">
        <v>510</v>
      </c>
      <c r="D17" s="164"/>
      <c r="E17" s="125" t="e">
        <f>VLOOKUP(Table257552526910134344464748495657585963151817[[#This Row],[PEG]],Table1016[#All],3,FALSE)</f>
        <v>#N/A</v>
      </c>
    </row>
    <row r="18" spans="1:5" x14ac:dyDescent="0.35">
      <c r="A18" s="118">
        <v>11</v>
      </c>
      <c r="B18" s="114" t="s">
        <v>115</v>
      </c>
      <c r="C18" s="109" t="str">
        <f>VLOOKUP(Table257552526910134344464748495657585963151817[[#This Row],[PEG]],Table1016[#All],2,FALSE)</f>
        <v>I didn’t get that.</v>
      </c>
      <c r="D18" s="165" t="s">
        <v>365</v>
      </c>
      <c r="E18" s="125" t="str">
        <f>VLOOKUP(Table257552526910134344464748495657585963151817[[#This Row],[PEG]],Table1016[#All],3,FALSE)</f>
        <v>Prompt</v>
      </c>
    </row>
    <row r="19" spans="1:5" x14ac:dyDescent="0.35">
      <c r="A19" s="118">
        <v>12</v>
      </c>
      <c r="B19" s="114" t="s">
        <v>115</v>
      </c>
      <c r="C19" s="109" t="str">
        <f>VLOOKUP(Table257552526910134344464748495657585963151817[[#This Row],[PEG]],Table1016[#All],2,FALSE)</f>
        <v>Do you want to use the savings account on file ending in &lt;SAP01_ivrStoredPmtLast4Digits&gt;.</v>
      </c>
      <c r="D19" s="143" t="s">
        <v>279</v>
      </c>
      <c r="E19" s="125" t="str">
        <f>VLOOKUP(Table257552526910134344464748495657585963151817[[#This Row],[PEG]],Table1016[#All],3,FALSE)</f>
        <v>Prompt</v>
      </c>
    </row>
    <row r="20" spans="1:5" x14ac:dyDescent="0.35">
      <c r="A20" s="118">
        <v>13</v>
      </c>
      <c r="B20" s="114" t="s">
        <v>114</v>
      </c>
      <c r="C20" s="109" t="s">
        <v>510</v>
      </c>
      <c r="D20" s="143"/>
      <c r="E20" s="125" t="e">
        <f>VLOOKUP(Table257552526910134344464748495657585963151817[[#This Row],[PEG]],Table1016[#All],3,FALSE)</f>
        <v>#N/A</v>
      </c>
    </row>
    <row r="21" spans="1:5" x14ac:dyDescent="0.35">
      <c r="A21" s="118">
        <v>14</v>
      </c>
      <c r="B21" s="114" t="s">
        <v>115</v>
      </c>
      <c r="C21" s="109" t="str">
        <f>VLOOKUP(Table257552526910134344464748495657585963151817[[#This Row],[PEG]],Table1016[#All],2,FALSE)</f>
        <v>I still didn’t get that.</v>
      </c>
      <c r="D21" s="143" t="s">
        <v>366</v>
      </c>
      <c r="E21" s="125" t="str">
        <f>VLOOKUP(Table257552526910134344464748495657585963151817[[#This Row],[PEG]],Table1016[#All],3,FALSE)</f>
        <v>Prompt</v>
      </c>
    </row>
    <row r="22" spans="1:5" x14ac:dyDescent="0.35">
      <c r="A22" s="118">
        <v>15</v>
      </c>
      <c r="B22" s="114" t="s">
        <v>115</v>
      </c>
      <c r="C22" s="109" t="str">
        <f>VLOOKUP(Table257552526910134344464748495657585963151817[[#This Row],[PEG]],Table1016[#All],2,FALSE)</f>
        <v>If you want to use the savings account on file ending in &lt;SAP01_ivrStoredPmtLast4Digits&gt;.</v>
      </c>
      <c r="D22" s="143" t="s">
        <v>282</v>
      </c>
      <c r="E22" s="125" t="str">
        <f>VLOOKUP(Table257552526910134344464748495657585963151817[[#This Row],[PEG]],Table1016[#All],3,FALSE)</f>
        <v>Prompt</v>
      </c>
    </row>
    <row r="23" spans="1:5" x14ac:dyDescent="0.35">
      <c r="A23" s="118">
        <v>16</v>
      </c>
      <c r="B23" s="114" t="s">
        <v>114</v>
      </c>
      <c r="C23" s="109" t="s">
        <v>510</v>
      </c>
      <c r="D23" s="143"/>
      <c r="E23" s="125" t="e">
        <f>VLOOKUP(Table257552526910134344464748495657585963151817[[#This Row],[PEG]],Table1016[#All],3,FALSE)</f>
        <v>#N/A</v>
      </c>
    </row>
    <row r="24" spans="1:5" ht="29" x14ac:dyDescent="0.35">
      <c r="A24" s="118">
        <v>17</v>
      </c>
      <c r="B24" s="114" t="s">
        <v>115</v>
      </c>
      <c r="C24" s="109" t="str">
        <f>VLOOKUP(Table257552526910134344464748495657585963151817[[#This Row],[PEG]],Table1016[#All],2,FALSE)</f>
        <v>For future transactions you can also access your plan details, or manage your account online anytime at members.lacare.com.  Thank you for calling.</v>
      </c>
      <c r="D24" s="143" t="s">
        <v>362</v>
      </c>
      <c r="E24" s="125" t="str">
        <f>VLOOKUP(Table257552526910134344464748495657585963151817[[#This Row],[PEG]],Table1016[#All],3,FALSE)</f>
        <v>Prompt</v>
      </c>
    </row>
    <row r="25" spans="1:5" x14ac:dyDescent="0.35">
      <c r="A25" s="118">
        <v>18</v>
      </c>
      <c r="B25" s="114" t="s">
        <v>13</v>
      </c>
      <c r="C25" s="109" t="s">
        <v>13</v>
      </c>
      <c r="D25" s="117"/>
      <c r="E25" s="125" t="e">
        <f>VLOOKUP(Table257552526910134344464748495657585963151817[[#This Row],[PEG]],Table1016[#All],3,FALSE)</f>
        <v>#N/A</v>
      </c>
    </row>
    <row r="26" spans="1:5" x14ac:dyDescent="0.35">
      <c r="C26" s="26"/>
      <c r="D26" s="111" t="s">
        <v>0</v>
      </c>
    </row>
    <row r="27" spans="1:5" x14ac:dyDescent="0.35">
      <c r="C27" s="26"/>
    </row>
    <row r="28" spans="1:5" x14ac:dyDescent="0.35">
      <c r="C28" s="26"/>
    </row>
    <row r="29" spans="1:5" x14ac:dyDescent="0.35">
      <c r="C29" s="26"/>
    </row>
    <row r="30" spans="1:5" x14ac:dyDescent="0.35">
      <c r="C30" s="26"/>
    </row>
    <row r="31" spans="1:5" x14ac:dyDescent="0.35">
      <c r="C31" s="26"/>
    </row>
    <row r="32" spans="1:5" x14ac:dyDescent="0.35">
      <c r="C32" s="26"/>
    </row>
    <row r="33" spans="3:3" x14ac:dyDescent="0.35">
      <c r="C33" s="26"/>
    </row>
    <row r="34" spans="3:3" x14ac:dyDescent="0.35">
      <c r="C34" s="26"/>
    </row>
    <row r="35" spans="3:3" x14ac:dyDescent="0.35">
      <c r="C35" s="26"/>
    </row>
    <row r="36" spans="3:3" x14ac:dyDescent="0.35">
      <c r="C36" s="26"/>
    </row>
    <row r="37" spans="3:3" x14ac:dyDescent="0.35">
      <c r="C37" s="26"/>
    </row>
    <row r="38" spans="3:3" x14ac:dyDescent="0.35">
      <c r="C38" s="26"/>
    </row>
    <row r="39" spans="3:3" x14ac:dyDescent="0.35">
      <c r="C39" s="26"/>
    </row>
    <row r="40" spans="3:3" x14ac:dyDescent="0.35">
      <c r="C40" s="26"/>
    </row>
    <row r="41" spans="3:3" x14ac:dyDescent="0.35">
      <c r="C41" s="27"/>
    </row>
    <row r="42" spans="3:3" x14ac:dyDescent="0.35">
      <c r="C42" s="27"/>
    </row>
    <row r="43" spans="3:3" x14ac:dyDescent="0.35">
      <c r="C43" s="27"/>
    </row>
  </sheetData>
  <mergeCells count="1">
    <mergeCell ref="A1:B1"/>
  </mergeCells>
  <conditionalFormatting sqref="B23:B25">
    <cfRule type="containsText" dxfId="4981" priority="50" operator="containsText" text="Hear">
      <formula>NOT(ISERROR(SEARCH("Hear",B23)))</formula>
    </cfRule>
  </conditionalFormatting>
  <conditionalFormatting sqref="C26:C9982">
    <cfRule type="expression" dxfId="4980" priority="51">
      <formula>$B26="Dial"</formula>
    </cfRule>
    <cfRule type="expression" dxfId="4979" priority="53">
      <formula>$B26="HANGUP"</formula>
    </cfRule>
  </conditionalFormatting>
  <conditionalFormatting sqref="B8:B22">
    <cfRule type="containsText" dxfId="4978" priority="25" operator="containsText" text="Hear">
      <formula>NOT(ISERROR(SEARCH("Hear",B8)))</formula>
    </cfRule>
  </conditionalFormatting>
  <conditionalFormatting sqref="C15">
    <cfRule type="expression" dxfId="4977" priority="10">
      <formula>$B15="Dial"</formula>
    </cfRule>
    <cfRule type="expression" dxfId="4976" priority="12">
      <formula>$B15="HANGUP"</formula>
    </cfRule>
  </conditionalFormatting>
  <conditionalFormatting sqref="C15">
    <cfRule type="expression" dxfId="4975" priority="11">
      <formula>$B15="Speak"</formula>
    </cfRule>
  </conditionalFormatting>
  <conditionalFormatting sqref="C17">
    <cfRule type="expression" dxfId="4974" priority="7">
      <formula>$B17="Dial"</formula>
    </cfRule>
    <cfRule type="expression" dxfId="4973" priority="9">
      <formula>$B17="HANGUP"</formula>
    </cfRule>
  </conditionalFormatting>
  <conditionalFormatting sqref="C17">
    <cfRule type="expression" dxfId="4972" priority="8">
      <formula>$B17="Speak"</formula>
    </cfRule>
  </conditionalFormatting>
  <conditionalFormatting sqref="C20">
    <cfRule type="expression" dxfId="4971" priority="4">
      <formula>$B20="Dial"</formula>
    </cfRule>
    <cfRule type="expression" dxfId="4970" priority="6">
      <formula>$B20="HANGUP"</formula>
    </cfRule>
  </conditionalFormatting>
  <conditionalFormatting sqref="C20">
    <cfRule type="expression" dxfId="4969" priority="5">
      <formula>$B20="Speak"</formula>
    </cfRule>
  </conditionalFormatting>
  <conditionalFormatting sqref="C23">
    <cfRule type="expression" dxfId="4968" priority="1">
      <formula>$B23="Dial"</formula>
    </cfRule>
    <cfRule type="expression" dxfId="4967" priority="3">
      <formula>$B23="HANGUP"</formula>
    </cfRule>
  </conditionalFormatting>
  <conditionalFormatting sqref="C23">
    <cfRule type="expression" dxfId="4966" priority="2">
      <formula>$B23="Speak"</formula>
    </cfRule>
  </conditionalFormatting>
  <hyperlinks>
    <hyperlink ref="A1" location="'Test Case Overview'!A1" display="Return to Test Case Overview" xr:uid="{00000000-0004-0000-2200-000000000000}"/>
  </hyperlinks>
  <pageMargins left="0.7" right="0.7" top="0.75" bottom="0.75" header="0.3" footer="0.3"/>
  <pageSetup orientation="portrait" r:id="rId1"/>
  <tableParts count="1">
    <tablePart r:id="rId2"/>
  </tableParts>
  <extLst>
    <ext xmlns:x14="http://schemas.microsoft.com/office/spreadsheetml/2009/9/main" uri="{78C0D931-6437-407d-A8EE-F0AAD7539E65}">
      <x14:conditionalFormattings>
        <x14:conditionalFormatting xmlns:xm="http://schemas.microsoft.com/office/excel/2006/main">
          <x14:cfRule type="expression" priority="47" id="{37CF230C-5EC6-429B-99A0-7EDC1905A17B}">
            <xm:f>'TC1'!$B8="HANGUP"</xm:f>
            <x14:dxf>
              <font>
                <b/>
                <i val="0"/>
              </font>
            </x14:dxf>
          </x14:cfRule>
          <x14:cfRule type="expression" priority="55" id="{C1920043-F91E-45E0-BCAB-7281832DFA68}">
            <xm:f>'TC1'!$B8="Dial"</xm:f>
            <x14:dxf>
              <font>
                <b/>
                <i val="0"/>
                <color rgb="FFFF0000"/>
              </font>
            </x14:dxf>
          </x14:cfRule>
          <xm:sqref>C8 C10</xm:sqref>
        </x14:conditionalFormatting>
        <x14:conditionalFormatting xmlns:xm="http://schemas.microsoft.com/office/excel/2006/main">
          <x14:cfRule type="expression" priority="56" id="{DE673ADE-BA72-47BD-BF25-649258481124}">
            <xm:f>'TC1'!$B8="Speak"</xm:f>
            <x14:dxf>
              <font>
                <b/>
                <i val="0"/>
                <color rgb="FFFF0000"/>
              </font>
            </x14:dxf>
          </x14:cfRule>
          <xm:sqref>C8 C10</xm:sqref>
        </x14:conditionalFormatting>
        <x14:conditionalFormatting xmlns:xm="http://schemas.microsoft.com/office/excel/2006/main">
          <x14:cfRule type="expression" priority="992" id="{37CF230C-5EC6-429B-99A0-7EDC1905A17B}">
            <xm:f>'TC1'!#REF!="HANGUP"</xm:f>
            <x14:dxf>
              <font>
                <b/>
                <i val="0"/>
              </font>
            </x14:dxf>
          </x14:cfRule>
          <x14:cfRule type="expression" priority="993" id="{C1920043-F91E-45E0-BCAB-7281832DFA68}">
            <xm:f>'TC1'!#REF!="Dial"</xm:f>
            <x14:dxf>
              <font>
                <b/>
                <i val="0"/>
                <color rgb="FFFF0000"/>
              </font>
            </x14:dxf>
          </x14:cfRule>
          <xm:sqref>C18:C19 C21:C22 C24:C25</xm:sqref>
        </x14:conditionalFormatting>
        <x14:conditionalFormatting xmlns:xm="http://schemas.microsoft.com/office/excel/2006/main">
          <x14:cfRule type="expression" priority="998" id="{DE673ADE-BA72-47BD-BF25-649258481124}">
            <xm:f>'TC1'!#REF!="Speak"</xm:f>
            <x14:dxf>
              <font>
                <b/>
                <i val="0"/>
                <color rgb="FFFF0000"/>
              </font>
            </x14:dxf>
          </x14:cfRule>
          <xm:sqref>C18:C19 C21:C22 C24:C25</xm:sqref>
        </x14:conditionalFormatting>
        <x14:conditionalFormatting xmlns:xm="http://schemas.microsoft.com/office/excel/2006/main">
          <x14:cfRule type="containsText" priority="1002" operator="containsText" text="WEB SERVICE" id="{1A8673C9-EEC4-41D0-B136-FC12DCA37CAE}">
            <xm:f>NOT(ISERROR(SEARCH("WEB SERVICE",'TC1'!#REF!)))</xm:f>
            <x14:dxf>
              <font>
                <color rgb="FF9C0006"/>
              </font>
              <fill>
                <patternFill>
                  <bgColor rgb="FFFFC7CE"/>
                </patternFill>
              </fill>
            </x14:dxf>
          </x14:cfRule>
          <xm:sqref>E17:E25</xm:sqref>
        </x14:conditionalFormatting>
        <x14:conditionalFormatting xmlns:xm="http://schemas.microsoft.com/office/excel/2006/main">
          <x14:cfRule type="expression" priority="3831" id="{37CF230C-5EC6-429B-99A0-7EDC1905A17B}">
            <xm:f>'TC1'!$B9="HANGUP"</xm:f>
            <x14:dxf>
              <font>
                <b/>
                <i val="0"/>
              </font>
            </x14:dxf>
          </x14:cfRule>
          <x14:cfRule type="expression" priority="3832" id="{C1920043-F91E-45E0-BCAB-7281832DFA68}">
            <xm:f>'TC1'!$B9="Dial"</xm:f>
            <x14:dxf>
              <font>
                <b/>
                <i val="0"/>
                <color rgb="FFFF0000"/>
              </font>
            </x14:dxf>
          </x14:cfRule>
          <xm:sqref>C12 C14</xm:sqref>
        </x14:conditionalFormatting>
        <x14:conditionalFormatting xmlns:xm="http://schemas.microsoft.com/office/excel/2006/main">
          <x14:cfRule type="expression" priority="3833" id="{37CF230C-5EC6-429B-99A0-7EDC1905A17B}">
            <xm:f>'TC1'!#REF!="HANGUP"</xm:f>
            <x14:dxf>
              <font>
                <b/>
                <i val="0"/>
              </font>
            </x14:dxf>
          </x14:cfRule>
          <x14:cfRule type="expression" priority="3834" id="{C1920043-F91E-45E0-BCAB-7281832DFA68}">
            <xm:f>'TC1'!#REF!="Dial"</xm:f>
            <x14:dxf>
              <font>
                <b/>
                <i val="0"/>
                <color rgb="FFFF0000"/>
              </font>
            </x14:dxf>
          </x14:cfRule>
          <xm:sqref>C9 C11</xm:sqref>
        </x14:conditionalFormatting>
        <x14:conditionalFormatting xmlns:xm="http://schemas.microsoft.com/office/excel/2006/main">
          <x14:cfRule type="expression" priority="3838" id="{DE673ADE-BA72-47BD-BF25-649258481124}">
            <xm:f>'TC1'!$B9="Speak"</xm:f>
            <x14:dxf>
              <font>
                <b/>
                <i val="0"/>
                <color rgb="FFFF0000"/>
              </font>
            </x14:dxf>
          </x14:cfRule>
          <xm:sqref>C12 C14</xm:sqref>
        </x14:conditionalFormatting>
        <x14:conditionalFormatting xmlns:xm="http://schemas.microsoft.com/office/excel/2006/main">
          <x14:cfRule type="expression" priority="3839" id="{DE673ADE-BA72-47BD-BF25-649258481124}">
            <xm:f>'TC1'!#REF!="Speak"</xm:f>
            <x14:dxf>
              <font>
                <b/>
                <i val="0"/>
                <color rgb="FFFF0000"/>
              </font>
            </x14:dxf>
          </x14:cfRule>
          <xm:sqref>C9 C11</xm:sqref>
        </x14:conditionalFormatting>
        <x14:conditionalFormatting xmlns:xm="http://schemas.microsoft.com/office/excel/2006/main">
          <x14:cfRule type="containsText" priority="3841" operator="containsText" text="WEB SERVICE" id="{1A8673C9-EEC4-41D0-B136-FC12DCA37CAE}">
            <xm:f>NOT(ISERROR(SEARCH("WEB SERVICE",'TC1'!#REF!)))</xm:f>
            <x14:dxf>
              <font>
                <color rgb="FF9C0006"/>
              </font>
              <fill>
                <patternFill>
                  <bgColor rgb="FFFFC7CE"/>
                </patternFill>
              </fill>
            </x14:dxf>
          </x14:cfRule>
          <xm:sqref>E9:E11</xm:sqref>
        </x14:conditionalFormatting>
        <x14:conditionalFormatting xmlns:xm="http://schemas.microsoft.com/office/excel/2006/main">
          <x14:cfRule type="containsText" priority="3842" operator="containsText" text="WEB SERVICE" id="{1A8673C9-EEC4-41D0-B136-FC12DCA37CAE}">
            <xm:f>NOT(ISERROR(SEARCH("WEB SERVICE",'TC1'!E9)))</xm:f>
            <x14:dxf>
              <font>
                <color rgb="FF9C0006"/>
              </font>
              <fill>
                <patternFill>
                  <bgColor rgb="FFFFC7CE"/>
                </patternFill>
              </fill>
            </x14:dxf>
          </x14:cfRule>
          <xm:sqref>E12:E15</xm:sqref>
        </x14:conditionalFormatting>
        <x14:conditionalFormatting xmlns:xm="http://schemas.microsoft.com/office/excel/2006/main">
          <x14:cfRule type="containsText" priority="6382" operator="containsText" text="WEB SERVICE" id="{1A8673C9-EEC4-41D0-B136-FC12DCA37CAE}">
            <xm:f>NOT(ISERROR(SEARCH("WEB SERVICE",'TC1'!E15)))</xm:f>
            <x14:dxf>
              <font>
                <color rgb="FF9C0006"/>
              </font>
              <fill>
                <patternFill>
                  <bgColor rgb="FFFFC7CE"/>
                </patternFill>
              </fill>
            </x14:dxf>
          </x14:cfRule>
          <xm:sqref>E16</xm:sqref>
        </x14:conditionalFormatting>
        <x14:conditionalFormatting xmlns:xm="http://schemas.microsoft.com/office/excel/2006/main">
          <x14:cfRule type="expression" priority="19" id="{594A78D1-E3C4-47CC-8D0A-D5BEA398F230}">
            <xm:f>'TC1'!#REF!="HANGUP"</xm:f>
            <x14:dxf>
              <font>
                <b/>
                <i val="0"/>
              </font>
            </x14:dxf>
          </x14:cfRule>
          <x14:cfRule type="expression" priority="20" id="{D6F607C2-B876-4366-886E-F9BF603D0FAC}">
            <xm:f>'TC1'!#REF!="Dial"</xm:f>
            <x14:dxf>
              <font>
                <b/>
                <i val="0"/>
                <color rgb="FFFF0000"/>
              </font>
            </x14:dxf>
          </x14:cfRule>
          <xm:sqref>C13</xm:sqref>
        </x14:conditionalFormatting>
        <x14:conditionalFormatting xmlns:xm="http://schemas.microsoft.com/office/excel/2006/main">
          <x14:cfRule type="expression" priority="21" id="{EE479242-16A7-4844-88F2-C0E69B05522C}">
            <xm:f>'TC1'!#REF!="Speak"</xm:f>
            <x14:dxf>
              <font>
                <b/>
                <i val="0"/>
                <color rgb="FFFF0000"/>
              </font>
            </x14:dxf>
          </x14:cfRule>
          <xm:sqref>C13</xm:sqref>
        </x14:conditionalFormatting>
        <x14:conditionalFormatting xmlns:xm="http://schemas.microsoft.com/office/excel/2006/main">
          <x14:cfRule type="expression" priority="16" id="{19ED9B25-F907-40BA-B6B9-77E43D403346}">
            <xm:f>'TC1'!#REF!="HANGUP"</xm:f>
            <x14:dxf>
              <font>
                <b/>
                <i val="0"/>
              </font>
            </x14:dxf>
          </x14:cfRule>
          <x14:cfRule type="expression" priority="17" id="{43A598DF-D43E-425D-87E1-EB8C98BC5C5B}">
            <xm:f>'TC1'!#REF!="Dial"</xm:f>
            <x14:dxf>
              <font>
                <b/>
                <i val="0"/>
                <color rgb="FFFF0000"/>
              </font>
            </x14:dxf>
          </x14:cfRule>
          <xm:sqref>C16</xm:sqref>
        </x14:conditionalFormatting>
        <x14:conditionalFormatting xmlns:xm="http://schemas.microsoft.com/office/excel/2006/main">
          <x14:cfRule type="expression" priority="18" id="{B5C7A2D7-2218-497D-ABBA-58F5C22F5859}">
            <xm:f>'TC1'!#REF!="Speak"</xm:f>
            <x14:dxf>
              <font>
                <b/>
                <i val="0"/>
                <color rgb="FFFF0000"/>
              </font>
            </x14:dxf>
          </x14:cfRule>
          <xm:sqref>C16</xm:sqref>
        </x14:conditionalFormatting>
      </x14:conditionalFormattings>
    </ext>
  </extLst>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7"/>
  <dimension ref="A1:E43"/>
  <sheetViews>
    <sheetView zoomScaleNormal="100" workbookViewId="0">
      <selection activeCell="D22" sqref="D22"/>
    </sheetView>
  </sheetViews>
  <sheetFormatPr defaultRowHeight="14.5" x14ac:dyDescent="0.35"/>
  <cols>
    <col min="1" max="1" width="14.453125" style="97" bestFit="1" customWidth="1"/>
    <col min="2" max="2" width="42.6328125" style="97" customWidth="1"/>
    <col min="3" max="3" width="106.1796875" style="98" customWidth="1"/>
    <col min="4" max="4" width="21.81640625" style="111" bestFit="1" customWidth="1"/>
    <col min="5" max="5" width="20.6328125" style="97" customWidth="1"/>
  </cols>
  <sheetData>
    <row r="1" spans="1:5" ht="18.5" x14ac:dyDescent="0.35">
      <c r="A1" s="192" t="s">
        <v>4</v>
      </c>
      <c r="B1" s="192"/>
      <c r="C1" s="105"/>
    </row>
    <row r="2" spans="1:5" x14ac:dyDescent="0.35">
      <c r="A2" s="106" t="s">
        <v>5</v>
      </c>
      <c r="B2" s="107" t="str">
        <f ca="1">MID(CELL("filename",A1),FIND("]",CELL("filename",A1))+1,LEN(CELL("filename",A1))-FIND("]",CELL("filename",A1)))</f>
        <v>TC35</v>
      </c>
    </row>
    <row r="3" spans="1:5" x14ac:dyDescent="0.35">
      <c r="A3" s="104" t="s">
        <v>19</v>
      </c>
      <c r="B3" s="112">
        <f ca="1">VLOOKUP(B2,Table53[#All],2,FALSE)</f>
        <v>0</v>
      </c>
    </row>
    <row r="4" spans="1:5" ht="29" x14ac:dyDescent="0.35">
      <c r="A4" s="113" t="s">
        <v>20</v>
      </c>
      <c r="B4" s="99" t="str">
        <f ca="1">VLOOKUP(B2,Table53[#All],4,FALSE)</f>
        <v>No Recurring, Current Due, Card</v>
      </c>
    </row>
    <row r="5" spans="1:5" x14ac:dyDescent="0.35">
      <c r="A5" s="104" t="s">
        <v>6</v>
      </c>
      <c r="B5" s="93" t="str">
        <f ca="1">VLOOKUP(B2,Table53[#All],3,FALSE)</f>
        <v>Stored Mthd No Match x3</v>
      </c>
    </row>
    <row r="7" spans="1:5" ht="15.5" x14ac:dyDescent="0.35">
      <c r="A7" s="100" t="s">
        <v>7</v>
      </c>
      <c r="B7" s="101" t="s">
        <v>8</v>
      </c>
      <c r="C7" s="102" t="s">
        <v>9</v>
      </c>
      <c r="D7" s="102" t="s">
        <v>14</v>
      </c>
      <c r="E7" s="103" t="s">
        <v>10</v>
      </c>
    </row>
    <row r="8" spans="1:5" x14ac:dyDescent="0.35">
      <c r="A8" s="118">
        <v>1</v>
      </c>
      <c r="B8" s="114" t="s">
        <v>114</v>
      </c>
      <c r="C8" s="109" t="s">
        <v>125</v>
      </c>
      <c r="D8" s="128"/>
      <c r="E8" s="125" t="s">
        <v>11</v>
      </c>
    </row>
    <row r="9" spans="1:5" x14ac:dyDescent="0.35">
      <c r="A9" s="118">
        <v>2</v>
      </c>
      <c r="B9" s="114" t="s">
        <v>115</v>
      </c>
      <c r="C9" s="109" t="str">
        <f>VLOOKUP(Table25755252691013434446474849565758596315181719[[#This Row],[PEG]],Table1016[#All],2,FALSE)</f>
        <v>To get started, tell me your Account Number</v>
      </c>
      <c r="D9" s="141" t="s">
        <v>245</v>
      </c>
      <c r="E9" s="125" t="str">
        <f>VLOOKUP(Table25755252691013434446474849565758596315181719[[#This Row],[PEG]],Table1016[#All],3,FALSE)</f>
        <v>Prompt</v>
      </c>
    </row>
    <row r="10" spans="1:5" x14ac:dyDescent="0.35">
      <c r="A10" s="118">
        <v>3</v>
      </c>
      <c r="B10" s="114" t="s">
        <v>114</v>
      </c>
      <c r="C10" s="109" t="s">
        <v>412</v>
      </c>
      <c r="D10" s="141"/>
      <c r="E10" s="125" t="e">
        <f>VLOOKUP(Table25755252691013434446474849565758596315181719[[#This Row],[PEG]],Table1016[#All],3,FALSE)</f>
        <v>#N/A</v>
      </c>
    </row>
    <row r="11" spans="1:5" ht="174" x14ac:dyDescent="0.35">
      <c r="A11" s="118">
        <v>4</v>
      </c>
      <c r="B11" s="114" t="s">
        <v>12</v>
      </c>
      <c r="C11" s="109" t="str">
        <f>VLOOKUP(Table25755252691013434446474849565758596315181719[[#This Row],[PEG]],Table1016[#All],2,FALSE)</f>
        <v>SAP HANA – SAP01_GetMember
inputs:
idnumber = iIdnumber	T
idtype 	= iIdtype
outputs:
~ Billing Reference
~ Enrollment Details
~ Billing Details
~ Last Payment
~ Recurring Payment Method
~ Stored Payment Method</v>
      </c>
      <c r="D11" s="165" t="s">
        <v>371</v>
      </c>
      <c r="E11" s="125" t="str">
        <f>VLOOKUP(Table25755252691013434446474849565758596315181719[[#This Row],[PEG]],Table1016[#All],3,FALSE)</f>
        <v>DB</v>
      </c>
    </row>
    <row r="12" spans="1:5" x14ac:dyDescent="0.35">
      <c r="A12" s="118">
        <v>5</v>
      </c>
      <c r="B12" s="114" t="s">
        <v>115</v>
      </c>
      <c r="C12" s="109" t="str">
        <f>VLOOKUP(Table25755252691013434446474849565758596315181719[[#This Row],[PEG]],Table1016[#All],2,FALSE)</f>
        <v>Thanks, I found your account!</v>
      </c>
      <c r="D12" s="141" t="s">
        <v>248</v>
      </c>
      <c r="E12" s="125" t="str">
        <f>VLOOKUP(Table25755252691013434446474849565758596315181719[[#This Row],[PEG]],Table1016[#All],3,FALSE)</f>
        <v>Prompt</v>
      </c>
    </row>
    <row r="13" spans="1:5" x14ac:dyDescent="0.35">
      <c r="A13" s="118">
        <v>6</v>
      </c>
      <c r="B13" s="114" t="s">
        <v>115</v>
      </c>
      <c r="C13" s="109" t="str">
        <f>VLOOKUP(Table25755252691013434446474849565758596315181719[[#This Row],[PEG]],Table1016[#All],2,FALSE)</f>
        <v>A current balance of &lt;SAP01_CurrentDue&gt; is due by &lt;SAP01_Duedate&gt;.</v>
      </c>
      <c r="D13" s="141" t="s">
        <v>258</v>
      </c>
      <c r="E13" s="125" t="str">
        <f>VLOOKUP(Table25755252691013434446474849565758596315181719[[#This Row],[PEG]],Table1016[#All],3,FALSE)</f>
        <v>Prompt</v>
      </c>
    </row>
    <row r="14" spans="1:5" x14ac:dyDescent="0.35">
      <c r="A14" s="118">
        <v>7</v>
      </c>
      <c r="B14" s="114" t="s">
        <v>115</v>
      </c>
      <c r="C14" s="109" t="str">
        <f>VLOOKUP(Table25755252691013434446474849565758596315181719[[#This Row],[PEG]],Table1016[#All],2,FALSE)</f>
        <v>Would you like to pay this in full today?</v>
      </c>
      <c r="D14" s="141" t="s">
        <v>260</v>
      </c>
      <c r="E14" s="125" t="str">
        <f>VLOOKUP(Table25755252691013434446474849565758596315181719[[#This Row],[PEG]],Table1016[#All],3,FALSE)</f>
        <v>Prompt</v>
      </c>
    </row>
    <row r="15" spans="1:5" x14ac:dyDescent="0.35">
      <c r="A15" s="118">
        <v>8</v>
      </c>
      <c r="B15" s="114" t="s">
        <v>114</v>
      </c>
      <c r="C15" s="109">
        <v>1</v>
      </c>
      <c r="D15" s="141"/>
      <c r="E15" s="125" t="e">
        <f>VLOOKUP(Table25755252691013434446474849565758596315181719[[#This Row],[PEG]],Table1016[#All],3,FALSE)</f>
        <v>#N/A</v>
      </c>
    </row>
    <row r="16" spans="1:5" x14ac:dyDescent="0.35">
      <c r="A16" s="118">
        <v>9</v>
      </c>
      <c r="B16" s="114" t="s">
        <v>115</v>
      </c>
      <c r="C16" s="109" t="str">
        <f>VLOOKUP(Table25755252691013434446474849565758596315181719[[#This Row],[PEG]],Table1016[#All],2,FALSE)</f>
        <v>Do you want to use the savings account on file ending in &lt;SAP01_ivrStoredPmtLast4Digits&gt;.</v>
      </c>
      <c r="D16" s="164" t="s">
        <v>276</v>
      </c>
      <c r="E16" s="125" t="str">
        <f>VLOOKUP(Table25755252691013434446474849565758596315181719[[#This Row],[PEG]],Table1016[#All],3,FALSE)</f>
        <v>Prompt</v>
      </c>
    </row>
    <row r="17" spans="1:5" x14ac:dyDescent="0.35">
      <c r="A17" s="118">
        <v>10</v>
      </c>
      <c r="B17" s="114" t="s">
        <v>114</v>
      </c>
      <c r="C17" s="109">
        <v>5</v>
      </c>
      <c r="D17" s="164"/>
      <c r="E17" s="125" t="e">
        <f>VLOOKUP(Table25755252691013434446474849565758596315181719[[#This Row],[PEG]],Table1016[#All],3,FALSE)</f>
        <v>#N/A</v>
      </c>
    </row>
    <row r="18" spans="1:5" x14ac:dyDescent="0.35">
      <c r="A18" s="118">
        <v>11</v>
      </c>
      <c r="B18" s="114" t="s">
        <v>115</v>
      </c>
      <c r="C18" s="109" t="str">
        <f>VLOOKUP(Table25755252691013434446474849565758596315181719[[#This Row],[PEG]],Table1016[#All],2,FALSE)</f>
        <v>Sorry, I didn’t understand.</v>
      </c>
      <c r="D18" s="165" t="s">
        <v>367</v>
      </c>
      <c r="E18" s="125" t="str">
        <f>VLOOKUP(Table25755252691013434446474849565758596315181719[[#This Row],[PEG]],Table1016[#All],3,FALSE)</f>
        <v>Prompt</v>
      </c>
    </row>
    <row r="19" spans="1:5" x14ac:dyDescent="0.35">
      <c r="A19" s="118">
        <v>12</v>
      </c>
      <c r="B19" s="114" t="s">
        <v>115</v>
      </c>
      <c r="C19" s="109" t="str">
        <f>VLOOKUP(Table25755252691013434446474849565758596315181719[[#This Row],[PEG]],Table1016[#All],2,FALSE)</f>
        <v>Do you want to use the savings account on file ending in &lt;SAP01_ivrStoredPmtLast4Digits&gt;.</v>
      </c>
      <c r="D19" s="143" t="s">
        <v>279</v>
      </c>
      <c r="E19" s="125" t="str">
        <f>VLOOKUP(Table25755252691013434446474849565758596315181719[[#This Row],[PEG]],Table1016[#All],3,FALSE)</f>
        <v>Prompt</v>
      </c>
    </row>
    <row r="20" spans="1:5" x14ac:dyDescent="0.35">
      <c r="A20" s="118">
        <v>13</v>
      </c>
      <c r="B20" s="114" t="s">
        <v>114</v>
      </c>
      <c r="C20" s="109">
        <v>5</v>
      </c>
      <c r="D20" s="143"/>
      <c r="E20" s="125" t="e">
        <f>VLOOKUP(Table25755252691013434446474849565758596315181719[[#This Row],[PEG]],Table1016[#All],3,FALSE)</f>
        <v>#N/A</v>
      </c>
    </row>
    <row r="21" spans="1:5" x14ac:dyDescent="0.35">
      <c r="A21" s="118">
        <v>14</v>
      </c>
      <c r="B21" s="114" t="s">
        <v>115</v>
      </c>
      <c r="C21" s="109" t="str">
        <f>VLOOKUP(Table25755252691013434446474849565758596315181719[[#This Row],[PEG]],Table1016[#All],2,FALSE)</f>
        <v>Let’s try that one more time.</v>
      </c>
      <c r="D21" s="143" t="s">
        <v>368</v>
      </c>
      <c r="E21" s="125" t="str">
        <f>VLOOKUP(Table25755252691013434446474849565758596315181719[[#This Row],[PEG]],Table1016[#All],3,FALSE)</f>
        <v>Prompt</v>
      </c>
    </row>
    <row r="22" spans="1:5" x14ac:dyDescent="0.35">
      <c r="A22" s="118">
        <v>15</v>
      </c>
      <c r="B22" s="114" t="s">
        <v>115</v>
      </c>
      <c r="C22" s="109" t="str">
        <f>VLOOKUP(Table25755252691013434446474849565758596315181719[[#This Row],[PEG]],Table1016[#All],2,FALSE)</f>
        <v>If you want to use the savings account on file ending in &lt;SAP01_ivrStoredPmtLast4Digits&gt;.</v>
      </c>
      <c r="D22" s="143" t="s">
        <v>282</v>
      </c>
      <c r="E22" s="125" t="str">
        <f>VLOOKUP(Table25755252691013434446474849565758596315181719[[#This Row],[PEG]],Table1016[#All],3,FALSE)</f>
        <v>Prompt</v>
      </c>
    </row>
    <row r="23" spans="1:5" x14ac:dyDescent="0.35">
      <c r="A23" s="118">
        <v>16</v>
      </c>
      <c r="B23" s="114" t="s">
        <v>114</v>
      </c>
      <c r="C23" s="109">
        <v>5</v>
      </c>
      <c r="D23" s="143"/>
      <c r="E23" s="125" t="e">
        <f>VLOOKUP(Table25755252691013434446474849565758596315181719[[#This Row],[PEG]],Table1016[#All],3,FALSE)</f>
        <v>#N/A</v>
      </c>
    </row>
    <row r="24" spans="1:5" ht="29" x14ac:dyDescent="0.35">
      <c r="A24" s="118">
        <v>17</v>
      </c>
      <c r="B24" s="114" t="s">
        <v>115</v>
      </c>
      <c r="C24" s="109" t="str">
        <f>VLOOKUP(Table25755252691013434446474849565758596315181719[[#This Row],[PEG]],Table1016[#All],2,FALSE)</f>
        <v>For future transactions you can also access your plan details, or manage your account online anytime at members.lacare.com.  Thank you for calling.</v>
      </c>
      <c r="D24" s="143" t="s">
        <v>362</v>
      </c>
      <c r="E24" s="125" t="str">
        <f>VLOOKUP(Table25755252691013434446474849565758596315181719[[#This Row],[PEG]],Table1016[#All],3,FALSE)</f>
        <v>Prompt</v>
      </c>
    </row>
    <row r="25" spans="1:5" x14ac:dyDescent="0.35">
      <c r="A25" s="118">
        <v>34</v>
      </c>
      <c r="B25" s="114" t="s">
        <v>13</v>
      </c>
      <c r="C25" s="18" t="s">
        <v>13</v>
      </c>
      <c r="D25" s="115"/>
      <c r="E25" s="32"/>
    </row>
    <row r="26" spans="1:5" x14ac:dyDescent="0.35">
      <c r="C26" s="26"/>
      <c r="D26" s="111" t="s">
        <v>0</v>
      </c>
    </row>
    <row r="27" spans="1:5" x14ac:dyDescent="0.35">
      <c r="C27" s="26"/>
    </row>
    <row r="28" spans="1:5" x14ac:dyDescent="0.35">
      <c r="C28" s="26"/>
    </row>
    <row r="29" spans="1:5" x14ac:dyDescent="0.35">
      <c r="C29" s="26"/>
    </row>
    <row r="30" spans="1:5" x14ac:dyDescent="0.35">
      <c r="C30" s="26"/>
    </row>
    <row r="31" spans="1:5" x14ac:dyDescent="0.35">
      <c r="C31" s="26"/>
    </row>
    <row r="32" spans="1:5" x14ac:dyDescent="0.35">
      <c r="C32" s="26"/>
    </row>
    <row r="33" spans="3:3" x14ac:dyDescent="0.35">
      <c r="C33" s="26"/>
    </row>
    <row r="34" spans="3:3" x14ac:dyDescent="0.35">
      <c r="C34" s="26"/>
    </row>
    <row r="35" spans="3:3" x14ac:dyDescent="0.35">
      <c r="C35" s="26"/>
    </row>
    <row r="36" spans="3:3" x14ac:dyDescent="0.35">
      <c r="C36" s="26"/>
    </row>
    <row r="37" spans="3:3" x14ac:dyDescent="0.35">
      <c r="C37" s="26"/>
    </row>
    <row r="38" spans="3:3" x14ac:dyDescent="0.35">
      <c r="C38" s="26"/>
    </row>
    <row r="39" spans="3:3" x14ac:dyDescent="0.35">
      <c r="C39" s="26"/>
    </row>
    <row r="40" spans="3:3" x14ac:dyDescent="0.35">
      <c r="C40" s="26"/>
    </row>
    <row r="41" spans="3:3" x14ac:dyDescent="0.35">
      <c r="C41" s="27"/>
    </row>
    <row r="42" spans="3:3" x14ac:dyDescent="0.35">
      <c r="C42" s="27"/>
    </row>
    <row r="43" spans="3:3" x14ac:dyDescent="0.35">
      <c r="C43" s="27"/>
    </row>
  </sheetData>
  <mergeCells count="1">
    <mergeCell ref="A1:B1"/>
  </mergeCells>
  <conditionalFormatting sqref="B25">
    <cfRule type="containsText" dxfId="4943" priority="38" operator="containsText" text="Hear">
      <formula>NOT(ISERROR(SEARCH("Hear",B25)))</formula>
    </cfRule>
  </conditionalFormatting>
  <conditionalFormatting sqref="E25">
    <cfRule type="containsText" dxfId="4942" priority="36" operator="containsText" text="WEB SERVICE">
      <formula>NOT(ISERROR(SEARCH("WEB SERVICE",E25)))</formula>
    </cfRule>
    <cfRule type="containsText" dxfId="4941" priority="37" operator="containsText" text="DB">
      <formula>NOT(ISERROR(SEARCH("DB",E25)))</formula>
    </cfRule>
  </conditionalFormatting>
  <conditionalFormatting sqref="C25:C9982">
    <cfRule type="expression" dxfId="4940" priority="39">
      <formula>$B25="Dial"</formula>
    </cfRule>
    <cfRule type="expression" dxfId="4939" priority="41">
      <formula>$B25="HANGUP"</formula>
    </cfRule>
  </conditionalFormatting>
  <conditionalFormatting sqref="C25">
    <cfRule type="expression" dxfId="4938" priority="40">
      <formula>$B25="Speak"</formula>
    </cfRule>
  </conditionalFormatting>
  <conditionalFormatting sqref="B8:B24">
    <cfRule type="containsText" dxfId="4937" priority="22" operator="containsText" text="Hear">
      <formula>NOT(ISERROR(SEARCH("Hear",B8)))</formula>
    </cfRule>
  </conditionalFormatting>
  <conditionalFormatting sqref="C15">
    <cfRule type="expression" dxfId="4936" priority="13">
      <formula>$B15="Dial"</formula>
    </cfRule>
    <cfRule type="expression" dxfId="4935" priority="15">
      <formula>$B15="HANGUP"</formula>
    </cfRule>
  </conditionalFormatting>
  <conditionalFormatting sqref="C15">
    <cfRule type="expression" dxfId="4934" priority="14">
      <formula>$B15="Speak"</formula>
    </cfRule>
  </conditionalFormatting>
  <conditionalFormatting sqref="C10">
    <cfRule type="expression" dxfId="4933" priority="10">
      <formula>$B10="Dial"</formula>
    </cfRule>
    <cfRule type="expression" dxfId="4932" priority="12">
      <formula>$B10="HANGUP"</formula>
    </cfRule>
  </conditionalFormatting>
  <conditionalFormatting sqref="C10">
    <cfRule type="expression" dxfId="4931" priority="11">
      <formula>$B10="Speak"</formula>
    </cfRule>
  </conditionalFormatting>
  <conditionalFormatting sqref="C17">
    <cfRule type="expression" dxfId="4930" priority="7">
      <formula>$B17="Dial"</formula>
    </cfRule>
    <cfRule type="expression" dxfId="4929" priority="9">
      <formula>$B17="HANGUP"</formula>
    </cfRule>
  </conditionalFormatting>
  <conditionalFormatting sqref="C17">
    <cfRule type="expression" dxfId="4928" priority="8">
      <formula>$B17="Speak"</formula>
    </cfRule>
  </conditionalFormatting>
  <conditionalFormatting sqref="C20">
    <cfRule type="expression" dxfId="4927" priority="4">
      <formula>$B20="Dial"</formula>
    </cfRule>
    <cfRule type="expression" dxfId="4926" priority="6">
      <formula>$B20="HANGUP"</formula>
    </cfRule>
  </conditionalFormatting>
  <conditionalFormatting sqref="C20">
    <cfRule type="expression" dxfId="4925" priority="5">
      <formula>$B20="Speak"</formula>
    </cfRule>
  </conditionalFormatting>
  <conditionalFormatting sqref="C23">
    <cfRule type="expression" dxfId="4924" priority="1">
      <formula>$B23="Dial"</formula>
    </cfRule>
    <cfRule type="expression" dxfId="4923" priority="3">
      <formula>$B23="HANGUP"</formula>
    </cfRule>
  </conditionalFormatting>
  <conditionalFormatting sqref="C23">
    <cfRule type="expression" dxfId="4922" priority="2">
      <formula>$B23="Speak"</formula>
    </cfRule>
  </conditionalFormatting>
  <hyperlinks>
    <hyperlink ref="A1" location="'Test Case Overview'!A1" display="Return to Test Case Overview" xr:uid="{00000000-0004-0000-2300-000000000000}"/>
  </hyperlinks>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expression" priority="35" id="{3BC1DE1F-85AC-4967-B51D-A2FBCC1F20FB}">
            <xm:f>'TC1'!$B8="HANGUP"</xm:f>
            <x14:dxf>
              <font>
                <b/>
                <i val="0"/>
              </font>
            </x14:dxf>
          </x14:cfRule>
          <x14:cfRule type="expression" priority="43" id="{9884A083-360E-479B-8072-9DE4FC886737}">
            <xm:f>'TC1'!$B8="Dial"</xm:f>
            <x14:dxf>
              <font>
                <b/>
                <i val="0"/>
                <color rgb="FFFF0000"/>
              </font>
            </x14:dxf>
          </x14:cfRule>
          <xm:sqref>C8</xm:sqref>
        </x14:conditionalFormatting>
        <x14:conditionalFormatting xmlns:xm="http://schemas.microsoft.com/office/excel/2006/main">
          <x14:cfRule type="expression" priority="44" id="{B74E2A40-D7FC-40F8-A316-3A67BBC6F006}">
            <xm:f>'TC1'!$B8="Speak"</xm:f>
            <x14:dxf>
              <font>
                <b/>
                <i val="0"/>
                <color rgb="FFFF0000"/>
              </font>
            </x14:dxf>
          </x14:cfRule>
          <xm:sqref>C8</xm:sqref>
        </x14:conditionalFormatting>
        <x14:conditionalFormatting xmlns:xm="http://schemas.microsoft.com/office/excel/2006/main">
          <x14:cfRule type="expression" priority="1004" id="{3BC1DE1F-85AC-4967-B51D-A2FBCC1F20FB}">
            <xm:f>'TC1'!#REF!="HANGUP"</xm:f>
            <x14:dxf>
              <font>
                <b/>
                <i val="0"/>
              </font>
            </x14:dxf>
          </x14:cfRule>
          <x14:cfRule type="expression" priority="1005" id="{9884A083-360E-479B-8072-9DE4FC886737}">
            <xm:f>'TC1'!#REF!="Dial"</xm:f>
            <x14:dxf>
              <font>
                <b/>
                <i val="0"/>
                <color rgb="FFFF0000"/>
              </font>
            </x14:dxf>
          </x14:cfRule>
          <xm:sqref>C18:C19 C21:C22 C24</xm:sqref>
        </x14:conditionalFormatting>
        <x14:conditionalFormatting xmlns:xm="http://schemas.microsoft.com/office/excel/2006/main">
          <x14:cfRule type="expression" priority="1010" id="{B74E2A40-D7FC-40F8-A316-3A67BBC6F006}">
            <xm:f>'TC1'!#REF!="Speak"</xm:f>
            <x14:dxf>
              <font>
                <b/>
                <i val="0"/>
                <color rgb="FFFF0000"/>
              </font>
            </x14:dxf>
          </x14:cfRule>
          <xm:sqref>C18:C19 C21:C22 C24</xm:sqref>
        </x14:conditionalFormatting>
        <x14:conditionalFormatting xmlns:xm="http://schemas.microsoft.com/office/excel/2006/main">
          <x14:cfRule type="containsText" priority="1016" operator="containsText" text="DB" id="{D34FAF6E-43B8-48F8-B373-723581D5C3E3}">
            <xm:f>NOT(ISERROR(SEARCH("DB",'TC1'!#REF!)))</xm:f>
            <x14:dxf>
              <font>
                <color rgb="FF006100"/>
              </font>
              <fill>
                <patternFill>
                  <bgColor rgb="FFC6EFCE"/>
                </patternFill>
              </fill>
            </x14:dxf>
          </x14:cfRule>
          <x14:cfRule type="containsText" priority="1017" operator="containsText" text="WEB SERVICE" id="{C7F3BF6A-E326-4BC0-B76B-7DDA753175B6}">
            <xm:f>NOT(ISERROR(SEARCH("WEB SERVICE",'TC1'!#REF!)))</xm:f>
            <x14:dxf>
              <font>
                <color rgb="FF9C0006"/>
              </font>
              <fill>
                <patternFill>
                  <bgColor rgb="FFFFC7CE"/>
                </patternFill>
              </fill>
            </x14:dxf>
          </x14:cfRule>
          <xm:sqref>E17:E24</xm:sqref>
        </x14:conditionalFormatting>
        <x14:conditionalFormatting xmlns:xm="http://schemas.microsoft.com/office/excel/2006/main">
          <x14:cfRule type="expression" priority="3842" id="{3BC1DE1F-85AC-4967-B51D-A2FBCC1F20FB}">
            <xm:f>'TC1'!$B9="HANGUP"</xm:f>
            <x14:dxf>
              <font>
                <b/>
                <i val="0"/>
              </font>
            </x14:dxf>
          </x14:cfRule>
          <x14:cfRule type="expression" priority="3843" id="{9884A083-360E-479B-8072-9DE4FC886737}">
            <xm:f>'TC1'!$B9="Dial"</xm:f>
            <x14:dxf>
              <font>
                <b/>
                <i val="0"/>
                <color rgb="FFFF0000"/>
              </font>
            </x14:dxf>
          </x14:cfRule>
          <xm:sqref>C12 C14</xm:sqref>
        </x14:conditionalFormatting>
        <x14:conditionalFormatting xmlns:xm="http://schemas.microsoft.com/office/excel/2006/main">
          <x14:cfRule type="expression" priority="3844" id="{3BC1DE1F-85AC-4967-B51D-A2FBCC1F20FB}">
            <xm:f>'TC1'!#REF!="HANGUP"</xm:f>
            <x14:dxf>
              <font>
                <b/>
                <i val="0"/>
              </font>
            </x14:dxf>
          </x14:cfRule>
          <x14:cfRule type="expression" priority="3845" id="{9884A083-360E-479B-8072-9DE4FC886737}">
            <xm:f>'TC1'!#REF!="Dial"</xm:f>
            <x14:dxf>
              <font>
                <b/>
                <i val="0"/>
                <color rgb="FFFF0000"/>
              </font>
            </x14:dxf>
          </x14:cfRule>
          <xm:sqref>C9 C11</xm:sqref>
        </x14:conditionalFormatting>
        <x14:conditionalFormatting xmlns:xm="http://schemas.microsoft.com/office/excel/2006/main">
          <x14:cfRule type="expression" priority="3849" id="{B74E2A40-D7FC-40F8-A316-3A67BBC6F006}">
            <xm:f>'TC1'!$B9="Speak"</xm:f>
            <x14:dxf>
              <font>
                <b/>
                <i val="0"/>
                <color rgb="FFFF0000"/>
              </font>
            </x14:dxf>
          </x14:cfRule>
          <xm:sqref>C12 C14</xm:sqref>
        </x14:conditionalFormatting>
        <x14:conditionalFormatting xmlns:xm="http://schemas.microsoft.com/office/excel/2006/main">
          <x14:cfRule type="expression" priority="3850" id="{B74E2A40-D7FC-40F8-A316-3A67BBC6F006}">
            <xm:f>'TC1'!#REF!="Speak"</xm:f>
            <x14:dxf>
              <font>
                <b/>
                <i val="0"/>
                <color rgb="FFFF0000"/>
              </font>
            </x14:dxf>
          </x14:cfRule>
          <xm:sqref>C9 C11</xm:sqref>
        </x14:conditionalFormatting>
        <x14:conditionalFormatting xmlns:xm="http://schemas.microsoft.com/office/excel/2006/main">
          <x14:cfRule type="containsText" priority="3852" operator="containsText" text="DB" id="{D34FAF6E-43B8-48F8-B373-723581D5C3E3}">
            <xm:f>NOT(ISERROR(SEARCH("DB",'TC1'!#REF!)))</xm:f>
            <x14:dxf>
              <font>
                <color rgb="FF006100"/>
              </font>
              <fill>
                <patternFill>
                  <bgColor rgb="FFC6EFCE"/>
                </patternFill>
              </fill>
            </x14:dxf>
          </x14:cfRule>
          <x14:cfRule type="containsText" priority="3853" operator="containsText" text="WEB SERVICE" id="{C7F3BF6A-E326-4BC0-B76B-7DDA753175B6}">
            <xm:f>NOT(ISERROR(SEARCH("WEB SERVICE",'TC1'!#REF!)))</xm:f>
            <x14:dxf>
              <font>
                <color rgb="FF9C0006"/>
              </font>
              <fill>
                <patternFill>
                  <bgColor rgb="FFFFC7CE"/>
                </patternFill>
              </fill>
            </x14:dxf>
          </x14:cfRule>
          <xm:sqref>E9:E11</xm:sqref>
        </x14:conditionalFormatting>
        <x14:conditionalFormatting xmlns:xm="http://schemas.microsoft.com/office/excel/2006/main">
          <x14:cfRule type="containsText" priority="3854" operator="containsText" text="DB" id="{D34FAF6E-43B8-48F8-B373-723581D5C3E3}">
            <xm:f>NOT(ISERROR(SEARCH("DB",'TC1'!E9)))</xm:f>
            <x14:dxf>
              <font>
                <color rgb="FF006100"/>
              </font>
              <fill>
                <patternFill>
                  <bgColor rgb="FFC6EFCE"/>
                </patternFill>
              </fill>
            </x14:dxf>
          </x14:cfRule>
          <x14:cfRule type="containsText" priority="3855" operator="containsText" text="WEB SERVICE" id="{C7F3BF6A-E326-4BC0-B76B-7DDA753175B6}">
            <xm:f>NOT(ISERROR(SEARCH("WEB SERVICE",'TC1'!E9)))</xm:f>
            <x14:dxf>
              <font>
                <color rgb="FF9C0006"/>
              </font>
              <fill>
                <patternFill>
                  <bgColor rgb="FFFFC7CE"/>
                </patternFill>
              </fill>
            </x14:dxf>
          </x14:cfRule>
          <xm:sqref>E12:E15</xm:sqref>
        </x14:conditionalFormatting>
        <x14:conditionalFormatting xmlns:xm="http://schemas.microsoft.com/office/excel/2006/main">
          <x14:cfRule type="containsText" priority="6391" operator="containsText" text="DB" id="{D34FAF6E-43B8-48F8-B373-723581D5C3E3}">
            <xm:f>NOT(ISERROR(SEARCH("DB",'TC1'!E15)))</xm:f>
            <x14:dxf>
              <font>
                <color rgb="FF006100"/>
              </font>
              <fill>
                <patternFill>
                  <bgColor rgb="FFC6EFCE"/>
                </patternFill>
              </fill>
            </x14:dxf>
          </x14:cfRule>
          <x14:cfRule type="containsText" priority="6392" operator="containsText" text="WEB SERVICE" id="{C7F3BF6A-E326-4BC0-B76B-7DDA753175B6}">
            <xm:f>NOT(ISERROR(SEARCH("WEB SERVICE",'TC1'!E15)))</xm:f>
            <x14:dxf>
              <font>
                <color rgb="FF9C0006"/>
              </font>
              <fill>
                <patternFill>
                  <bgColor rgb="FFFFC7CE"/>
                </patternFill>
              </fill>
            </x14:dxf>
          </x14:cfRule>
          <xm:sqref>E16</xm:sqref>
        </x14:conditionalFormatting>
        <x14:conditionalFormatting xmlns:xm="http://schemas.microsoft.com/office/excel/2006/main">
          <x14:cfRule type="expression" priority="19" id="{FA82EE90-4353-4B04-8896-8460BE64D0EB}">
            <xm:f>'TC1'!#REF!="HANGUP"</xm:f>
            <x14:dxf>
              <font>
                <b/>
                <i val="0"/>
              </font>
            </x14:dxf>
          </x14:cfRule>
          <x14:cfRule type="expression" priority="20" id="{CDBBF53E-EA77-4820-B380-1C94ADC17BA7}">
            <xm:f>'TC1'!#REF!="Dial"</xm:f>
            <x14:dxf>
              <font>
                <b/>
                <i val="0"/>
                <color rgb="FFFF0000"/>
              </font>
            </x14:dxf>
          </x14:cfRule>
          <xm:sqref>C16</xm:sqref>
        </x14:conditionalFormatting>
        <x14:conditionalFormatting xmlns:xm="http://schemas.microsoft.com/office/excel/2006/main">
          <x14:cfRule type="expression" priority="21" id="{25649208-7512-4E39-A16C-8EEA03FF477C}">
            <xm:f>'TC1'!#REF!="Speak"</xm:f>
            <x14:dxf>
              <font>
                <b/>
                <i val="0"/>
                <color rgb="FFFF0000"/>
              </font>
            </x14:dxf>
          </x14:cfRule>
          <xm:sqref>C16</xm:sqref>
        </x14:conditionalFormatting>
        <x14:conditionalFormatting xmlns:xm="http://schemas.microsoft.com/office/excel/2006/main">
          <x14:cfRule type="expression" priority="16" id="{1ECB6CEC-C8C0-4E17-91A0-272C0774196F}">
            <xm:f>'TC1'!#REF!="HANGUP"</xm:f>
            <x14:dxf>
              <font>
                <b/>
                <i val="0"/>
              </font>
            </x14:dxf>
          </x14:cfRule>
          <x14:cfRule type="expression" priority="17" id="{6833BFDC-AD03-496D-8EAA-97E41A715CE8}">
            <xm:f>'TC1'!#REF!="Dial"</xm:f>
            <x14:dxf>
              <font>
                <b/>
                <i val="0"/>
                <color rgb="FFFF0000"/>
              </font>
            </x14:dxf>
          </x14:cfRule>
          <xm:sqref>C13</xm:sqref>
        </x14:conditionalFormatting>
        <x14:conditionalFormatting xmlns:xm="http://schemas.microsoft.com/office/excel/2006/main">
          <x14:cfRule type="expression" priority="18" id="{12C2F492-9840-4966-AA36-05F2B600DC7B}">
            <xm:f>'TC1'!#REF!="Speak"</xm:f>
            <x14:dxf>
              <font>
                <b/>
                <i val="0"/>
                <color rgb="FFFF0000"/>
              </font>
            </x14:dxf>
          </x14:cfRule>
          <xm:sqref>C13</xm:sqref>
        </x14:conditionalFormatting>
      </x14:conditionalFormattings>
    </ext>
  </extLst>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8"/>
  <dimension ref="A1:E49"/>
  <sheetViews>
    <sheetView zoomScaleNormal="100" workbookViewId="0">
      <selection sqref="A1:B1"/>
    </sheetView>
  </sheetViews>
  <sheetFormatPr defaultRowHeight="14.5" x14ac:dyDescent="0.35"/>
  <cols>
    <col min="1" max="1" width="14.453125" style="97" bestFit="1" customWidth="1"/>
    <col min="2" max="2" width="42.6328125" style="97" customWidth="1"/>
    <col min="3" max="3" width="106.1796875" style="98" customWidth="1"/>
    <col min="4" max="4" width="21.81640625" style="111" bestFit="1" customWidth="1"/>
    <col min="5" max="5" width="20.6328125" style="97" customWidth="1"/>
  </cols>
  <sheetData>
    <row r="1" spans="1:5" ht="18.5" x14ac:dyDescent="0.35">
      <c r="A1" s="192" t="s">
        <v>4</v>
      </c>
      <c r="B1" s="192"/>
      <c r="C1" s="105"/>
    </row>
    <row r="2" spans="1:5" x14ac:dyDescent="0.35">
      <c r="A2" s="106" t="s">
        <v>5</v>
      </c>
      <c r="B2" s="107" t="str">
        <f ca="1">MID(CELL("filename",A1),FIND("]",CELL("filename",A1))+1,LEN(CELL("filename",A1))-FIND("]",CELL("filename",A1)))</f>
        <v>TC36</v>
      </c>
    </row>
    <row r="3" spans="1:5" x14ac:dyDescent="0.35">
      <c r="A3" s="104" t="s">
        <v>19</v>
      </c>
      <c r="B3" s="112">
        <f ca="1">VLOOKUP(B2,Table53[#All],2,FALSE)</f>
        <v>0</v>
      </c>
    </row>
    <row r="4" spans="1:5" ht="29" x14ac:dyDescent="0.35">
      <c r="A4" s="113" t="s">
        <v>20</v>
      </c>
      <c r="B4" s="99" t="str">
        <f ca="1">VLOOKUP(B2,Table53[#All],4,FALSE)</f>
        <v>No Recurring, Current Due, Store Mthd- Checking, Change Payment Type- Debit card no input</v>
      </c>
    </row>
    <row r="5" spans="1:5" x14ac:dyDescent="0.35">
      <c r="A5" s="104" t="s">
        <v>6</v>
      </c>
      <c r="B5" s="93" t="str">
        <f ca="1">VLOOKUP(B2,Table53[#All],3,FALSE)</f>
        <v>Get Card - No Input x3</v>
      </c>
    </row>
    <row r="7" spans="1:5" ht="15.5" x14ac:dyDescent="0.35">
      <c r="A7" s="100" t="s">
        <v>7</v>
      </c>
      <c r="B7" s="101" t="s">
        <v>8</v>
      </c>
      <c r="C7" s="102" t="s">
        <v>9</v>
      </c>
      <c r="D7" s="102" t="s">
        <v>14</v>
      </c>
      <c r="E7" s="103" t="s">
        <v>10</v>
      </c>
    </row>
    <row r="8" spans="1:5" x14ac:dyDescent="0.35">
      <c r="A8" s="118">
        <v>1</v>
      </c>
      <c r="B8" s="114" t="s">
        <v>114</v>
      </c>
      <c r="C8" s="109" t="s">
        <v>125</v>
      </c>
      <c r="D8" s="128"/>
      <c r="E8" s="125" t="s">
        <v>11</v>
      </c>
    </row>
    <row r="9" spans="1:5" x14ac:dyDescent="0.35">
      <c r="A9" s="118">
        <v>2</v>
      </c>
      <c r="B9" s="114" t="s">
        <v>115</v>
      </c>
      <c r="C9" s="109" t="str">
        <f>VLOOKUP(Table2575525269101343444647484956575859631518171922[[#This Row],[PEG]],Table1016[#All],2,FALSE)</f>
        <v>To get started, tell me your Account Number</v>
      </c>
      <c r="D9" s="141" t="s">
        <v>245</v>
      </c>
      <c r="E9" s="125" t="str">
        <f>VLOOKUP(Table2575525269101343444647484956575859631518171922[[#This Row],[PEG]],Table1016[#All],3,FALSE)</f>
        <v>Prompt</v>
      </c>
    </row>
    <row r="10" spans="1:5" x14ac:dyDescent="0.35">
      <c r="A10" s="118">
        <v>3</v>
      </c>
      <c r="B10" s="114" t="s">
        <v>114</v>
      </c>
      <c r="C10" s="109" t="s">
        <v>412</v>
      </c>
      <c r="D10" s="141"/>
      <c r="E10" s="125" t="e">
        <f>VLOOKUP(Table2575525269101343444647484956575859631518171922[[#This Row],[PEG]],Table1016[#All],3,FALSE)</f>
        <v>#N/A</v>
      </c>
    </row>
    <row r="11" spans="1:5" ht="174" x14ac:dyDescent="0.35">
      <c r="A11" s="118">
        <v>4</v>
      </c>
      <c r="B11" s="114" t="s">
        <v>12</v>
      </c>
      <c r="C11" s="109" t="str">
        <f>VLOOKUP(Table2575525269101343444647484956575859631518171922[[#This Row],[PEG]],Table1016[#All],2,FALSE)</f>
        <v>SAP HANA – SAP01_GetMember
inputs:
idnumber = iIdnumber	T
idtype 	= iIdtype
outputs:
~ Billing Reference
~ Enrollment Details
~ Billing Details
~ Last Payment
~ Recurring Payment Method
~ Stored Payment Method</v>
      </c>
      <c r="D11" s="141" t="s">
        <v>371</v>
      </c>
      <c r="E11" s="125" t="str">
        <f>VLOOKUP(Table2575525269101343444647484956575859631518171922[[#This Row],[PEG]],Table1016[#All],3,FALSE)</f>
        <v>DB</v>
      </c>
    </row>
    <row r="12" spans="1:5" x14ac:dyDescent="0.35">
      <c r="A12" s="118">
        <v>5</v>
      </c>
      <c r="B12" s="114" t="s">
        <v>115</v>
      </c>
      <c r="C12" s="109" t="str">
        <f>VLOOKUP(Table2575525269101343444647484956575859631518171922[[#This Row],[PEG]],Table1016[#All],2,FALSE)</f>
        <v>Thanks, I found your account!</v>
      </c>
      <c r="D12" s="141" t="s">
        <v>248</v>
      </c>
      <c r="E12" s="125" t="str">
        <f>VLOOKUP(Table2575525269101343444647484956575859631518171922[[#This Row],[PEG]],Table1016[#All],3,FALSE)</f>
        <v>Prompt</v>
      </c>
    </row>
    <row r="13" spans="1:5" x14ac:dyDescent="0.35">
      <c r="A13" s="118">
        <v>6</v>
      </c>
      <c r="B13" s="114" t="s">
        <v>115</v>
      </c>
      <c r="C13" s="109" t="str">
        <f>VLOOKUP(Table2575525269101343444647484956575859631518171922[[#This Row],[PEG]],Table1016[#All],2,FALSE)</f>
        <v>A current balance of &lt;SAP01_CurrentDue&gt; is due by &lt;SAP01_Duedate&gt;.</v>
      </c>
      <c r="D13" s="141" t="s">
        <v>258</v>
      </c>
      <c r="E13" s="125" t="str">
        <f>VLOOKUP(Table2575525269101343444647484956575859631518171922[[#This Row],[PEG]],Table1016[#All],3,FALSE)</f>
        <v>Prompt</v>
      </c>
    </row>
    <row r="14" spans="1:5" x14ac:dyDescent="0.35">
      <c r="A14" s="118">
        <v>7</v>
      </c>
      <c r="B14" s="114" t="s">
        <v>115</v>
      </c>
      <c r="C14" s="109" t="str">
        <f>VLOOKUP(Table2575525269101343444647484956575859631518171922[[#This Row],[PEG]],Table1016[#All],2,FALSE)</f>
        <v>Would you like to pay this in full today?</v>
      </c>
      <c r="D14" s="141" t="s">
        <v>260</v>
      </c>
      <c r="E14" s="125" t="str">
        <f>VLOOKUP(Table2575525269101343444647484956575859631518171922[[#This Row],[PEG]],Table1016[#All],3,FALSE)</f>
        <v>Prompt</v>
      </c>
    </row>
    <row r="15" spans="1:5" x14ac:dyDescent="0.35">
      <c r="A15" s="118">
        <v>8</v>
      </c>
      <c r="B15" s="114" t="s">
        <v>114</v>
      </c>
      <c r="C15" s="109">
        <v>1</v>
      </c>
      <c r="D15" s="164"/>
      <c r="E15" s="125" t="e">
        <f>VLOOKUP(Table2575525269101343444647484956575859631518171922[[#This Row],[PEG]],Table1016[#All],3,FALSE)</f>
        <v>#N/A</v>
      </c>
    </row>
    <row r="16" spans="1:5" x14ac:dyDescent="0.35">
      <c r="A16" s="118">
        <v>9</v>
      </c>
      <c r="B16" s="114" t="s">
        <v>115</v>
      </c>
      <c r="C16" s="109" t="str">
        <f>VLOOKUP(Table2575525269101343444647484956575859631518171922[[#This Row],[PEG]],Table1016[#All],2,FALSE)</f>
        <v>Do you want to use the checking account on file ending in &lt;SAP01_ivrStoredPmtLast4Digits&gt;.</v>
      </c>
      <c r="D16" s="164" t="s">
        <v>275</v>
      </c>
      <c r="E16" s="125" t="str">
        <f>VLOOKUP(Table2575525269101343444647484956575859631518171922[[#This Row],[PEG]],Table1016[#All],3,FALSE)</f>
        <v>Prompt</v>
      </c>
    </row>
    <row r="17" spans="1:5" x14ac:dyDescent="0.35">
      <c r="A17" s="118">
        <v>10</v>
      </c>
      <c r="B17" s="114" t="s">
        <v>114</v>
      </c>
      <c r="C17" s="109">
        <v>1</v>
      </c>
      <c r="D17" s="165"/>
      <c r="E17" s="125" t="e">
        <f>VLOOKUP(Table2575525269101343444647484956575859631518171922[[#This Row],[PEG]],Table1016[#All],3,FALSE)</f>
        <v>#N/A</v>
      </c>
    </row>
    <row r="18" spans="1:5" ht="29" x14ac:dyDescent="0.35">
      <c r="A18" s="118">
        <v>11</v>
      </c>
      <c r="B18" s="114" t="s">
        <v>115</v>
      </c>
      <c r="C18" s="109" t="str">
        <f>VLOOKUP(Table2575525269101343444647484956575859631518171922[[#This Row],[PEG]],Table1016[#All],2,FALSE)</f>
        <v>To confirm, you want to pay &lt;ivrPmtAmt&gt; with the account ending in &lt;SAP01_ivrStoredPmtLast4Digits&gt;
Is that right?</v>
      </c>
      <c r="D18" s="165" t="s">
        <v>391</v>
      </c>
      <c r="E18" s="125">
        <f>VLOOKUP(Table2575525269101343444647484956575859631518171922[[#This Row],[PEG]],Table1016[#All],3,FALSE)</f>
        <v>0</v>
      </c>
    </row>
    <row r="19" spans="1:5" x14ac:dyDescent="0.35">
      <c r="A19" s="118">
        <v>12</v>
      </c>
      <c r="B19" s="114" t="s">
        <v>114</v>
      </c>
      <c r="C19" s="109">
        <v>2</v>
      </c>
      <c r="D19" s="165"/>
      <c r="E19" s="125" t="e">
        <f>VLOOKUP(Table2575525269101343444647484956575859631518171922[[#This Row],[PEG]],Table1016[#All],3,FALSE)</f>
        <v>#N/A</v>
      </c>
    </row>
    <row r="20" spans="1:5" x14ac:dyDescent="0.35">
      <c r="A20" s="118">
        <v>13</v>
      </c>
      <c r="B20" s="114" t="s">
        <v>115</v>
      </c>
      <c r="C20" s="109" t="str">
        <f>VLOOKUP(Table2575525269101343444647484956575859631518171922[[#This Row],[PEG]],Table1016[#All],2,FALSE)</f>
        <v>Ok, are you using Credit, Debit, Checking or Savings?</v>
      </c>
      <c r="D20" s="165" t="s">
        <v>286</v>
      </c>
      <c r="E20" s="125" t="str">
        <f>VLOOKUP(Table2575525269101343444647484956575859631518171922[[#This Row],[PEG]],Table1016[#All],3,FALSE)</f>
        <v>Prompt</v>
      </c>
    </row>
    <row r="21" spans="1:5" x14ac:dyDescent="0.35">
      <c r="A21" s="118">
        <v>14</v>
      </c>
      <c r="B21" s="114" t="s">
        <v>114</v>
      </c>
      <c r="C21" s="109">
        <v>2</v>
      </c>
      <c r="D21" s="165"/>
      <c r="E21" s="125" t="e">
        <f>VLOOKUP(Table2575525269101343444647484956575859631518171922[[#This Row],[PEG]],Table1016[#All],3,FALSE)</f>
        <v>#N/A</v>
      </c>
    </row>
    <row r="22" spans="1:5" x14ac:dyDescent="0.35">
      <c r="A22" s="118">
        <v>15</v>
      </c>
      <c r="B22" s="114" t="s">
        <v>115</v>
      </c>
      <c r="C22" s="109" t="str">
        <f>VLOOKUP(Table2575525269101343444647484956575859631518171922[[#This Row],[PEG]],Table1016[#All],2,FALSE)</f>
        <v>Tell me the card number you wish to use.</v>
      </c>
      <c r="D22" s="165" t="s">
        <v>318</v>
      </c>
      <c r="E22" s="125" t="str">
        <f>VLOOKUP(Table2575525269101343444647484956575859631518171922[[#This Row],[PEG]],Table1016[#All],3,FALSE)</f>
        <v>Prompt</v>
      </c>
    </row>
    <row r="23" spans="1:5" x14ac:dyDescent="0.35">
      <c r="A23" s="118">
        <v>16</v>
      </c>
      <c r="B23" s="114" t="s">
        <v>114</v>
      </c>
      <c r="C23" s="109" t="s">
        <v>478</v>
      </c>
      <c r="D23" s="165"/>
      <c r="E23" s="125" t="e">
        <f>VLOOKUP(Table2575525269101343444647484956575859631518171922[[#This Row],[PEG]],Table1016[#All],3,FALSE)</f>
        <v>#N/A</v>
      </c>
    </row>
    <row r="24" spans="1:5" s="97" customFormat="1" x14ac:dyDescent="0.35">
      <c r="A24" s="118">
        <v>17</v>
      </c>
      <c r="B24" s="114" t="s">
        <v>115</v>
      </c>
      <c r="C24" s="109" t="str">
        <f>VLOOKUP(Table2575525269101343444647484956575859631518171922[[#This Row],[PEG]],Table1016[#All],2,FALSE)</f>
        <v>I didn’t get that.</v>
      </c>
      <c r="D24" s="165" t="s">
        <v>365</v>
      </c>
      <c r="E24" s="125" t="str">
        <f>VLOOKUP(Table2575525269101343444647484956575859631518171922[[#This Row],[PEG]],Table1016[#All],3,FALSE)</f>
        <v>Prompt</v>
      </c>
    </row>
    <row r="25" spans="1:5" s="97" customFormat="1" x14ac:dyDescent="0.35">
      <c r="A25" s="118">
        <v>18</v>
      </c>
      <c r="B25" s="114" t="s">
        <v>115</v>
      </c>
      <c r="C25" s="109" t="str">
        <f>VLOOKUP(Table2575525269101343444647484956575859631518171922[[#This Row],[PEG]],Table1016[#All],2,FALSE)</f>
        <v>Tell me the card number you wish to use.</v>
      </c>
      <c r="D25" s="165" t="s">
        <v>318</v>
      </c>
      <c r="E25" s="125" t="str">
        <f>VLOOKUP(Table2575525269101343444647484956575859631518171922[[#This Row],[PEG]],Table1016[#All],3,FALSE)</f>
        <v>Prompt</v>
      </c>
    </row>
    <row r="26" spans="1:5" s="97" customFormat="1" x14ac:dyDescent="0.35">
      <c r="A26" s="118">
        <v>19</v>
      </c>
      <c r="B26" s="114" t="s">
        <v>114</v>
      </c>
      <c r="C26" s="109" t="s">
        <v>478</v>
      </c>
      <c r="D26" s="165"/>
      <c r="E26" s="125" t="e">
        <f>VLOOKUP(Table2575525269101343444647484956575859631518171922[[#This Row],[PEG]],Table1016[#All],3,FALSE)</f>
        <v>#N/A</v>
      </c>
    </row>
    <row r="27" spans="1:5" s="97" customFormat="1" x14ac:dyDescent="0.35">
      <c r="A27" s="118">
        <v>20</v>
      </c>
      <c r="B27" s="114" t="s">
        <v>115</v>
      </c>
      <c r="C27" s="109" t="str">
        <f>VLOOKUP(Table2575525269101343444647484956575859631518171922[[#This Row],[PEG]],Table1016[#All],2,FALSE)</f>
        <v>I still didn’t get that.</v>
      </c>
      <c r="D27" s="165" t="s">
        <v>366</v>
      </c>
      <c r="E27" s="125"/>
    </row>
    <row r="28" spans="1:5" s="97" customFormat="1" x14ac:dyDescent="0.35">
      <c r="A28" s="118">
        <v>21</v>
      </c>
      <c r="B28" s="114" t="s">
        <v>115</v>
      </c>
      <c r="C28" s="109" t="str">
        <f>VLOOKUP(Table2575525269101343444647484956575859631518171922[[#This Row],[PEG]],Table1016[#All],2,FALSE)</f>
        <v>Just say or enter the card number 1 digit at a time.</v>
      </c>
      <c r="D28" s="165" t="s">
        <v>319</v>
      </c>
      <c r="E28" s="125"/>
    </row>
    <row r="29" spans="1:5" s="97" customFormat="1" x14ac:dyDescent="0.35">
      <c r="A29" s="118">
        <v>22</v>
      </c>
      <c r="B29" s="114" t="s">
        <v>114</v>
      </c>
      <c r="C29" s="109" t="s">
        <v>478</v>
      </c>
      <c r="D29" s="165"/>
      <c r="E29" s="125"/>
    </row>
    <row r="30" spans="1:5" s="97" customFormat="1" ht="29" x14ac:dyDescent="0.35">
      <c r="A30" s="118">
        <v>23</v>
      </c>
      <c r="B30" s="114" t="s">
        <v>115</v>
      </c>
      <c r="C30" s="109" t="str">
        <f>VLOOKUP(Table2575525269101343444647484956575859631518171922[[#This Row],[PEG]],Table1016[#All],2,FALSE)</f>
        <v>It seems you are having trouble. For future transactions you can also access your plan details, or manage your account online anytime at members.lacare.com. One moment while I get someone to help. Make sure to have your invoice available.</v>
      </c>
      <c r="D30" s="165" t="s">
        <v>361</v>
      </c>
      <c r="E30" s="125"/>
    </row>
    <row r="31" spans="1:5" s="97" customFormat="1" x14ac:dyDescent="0.35">
      <c r="A31" s="118">
        <v>24</v>
      </c>
      <c r="B31" s="114" t="s">
        <v>13</v>
      </c>
      <c r="C31" s="170" t="s">
        <v>13</v>
      </c>
      <c r="D31" s="165"/>
      <c r="E31" s="125" t="e">
        <f>VLOOKUP(Table2575525269101343444647484956575859631518171922[[#This Row],[PEG]],Table1016[#All],3,FALSE)</f>
        <v>#N/A</v>
      </c>
    </row>
    <row r="32" spans="1:5" x14ac:dyDescent="0.35">
      <c r="C32" s="26"/>
      <c r="D32" s="111" t="s">
        <v>0</v>
      </c>
    </row>
    <row r="33" spans="3:3" x14ac:dyDescent="0.35">
      <c r="C33" s="26"/>
    </row>
    <row r="34" spans="3:3" x14ac:dyDescent="0.35">
      <c r="C34" s="26"/>
    </row>
    <row r="35" spans="3:3" x14ac:dyDescent="0.35">
      <c r="C35" s="26"/>
    </row>
    <row r="36" spans="3:3" x14ac:dyDescent="0.35">
      <c r="C36" s="26"/>
    </row>
    <row r="37" spans="3:3" x14ac:dyDescent="0.35">
      <c r="C37" s="26"/>
    </row>
    <row r="38" spans="3:3" x14ac:dyDescent="0.35">
      <c r="C38" s="26"/>
    </row>
    <row r="39" spans="3:3" x14ac:dyDescent="0.35">
      <c r="C39" s="26"/>
    </row>
    <row r="40" spans="3:3" x14ac:dyDescent="0.35">
      <c r="C40" s="26"/>
    </row>
    <row r="41" spans="3:3" x14ac:dyDescent="0.35">
      <c r="C41" s="26"/>
    </row>
    <row r="42" spans="3:3" x14ac:dyDescent="0.35">
      <c r="C42" s="26"/>
    </row>
    <row r="43" spans="3:3" x14ac:dyDescent="0.35">
      <c r="C43" s="26"/>
    </row>
    <row r="44" spans="3:3" x14ac:dyDescent="0.35">
      <c r="C44" s="26"/>
    </row>
    <row r="45" spans="3:3" x14ac:dyDescent="0.35">
      <c r="C45" s="26"/>
    </row>
    <row r="46" spans="3:3" x14ac:dyDescent="0.35">
      <c r="C46" s="26"/>
    </row>
    <row r="47" spans="3:3" x14ac:dyDescent="0.35">
      <c r="C47" s="27"/>
    </row>
    <row r="48" spans="3:3" x14ac:dyDescent="0.35">
      <c r="C48" s="27"/>
    </row>
    <row r="49" spans="3:3" x14ac:dyDescent="0.35">
      <c r="C49" s="27"/>
    </row>
  </sheetData>
  <mergeCells count="1">
    <mergeCell ref="A1:B1"/>
  </mergeCells>
  <conditionalFormatting sqref="B23:B31">
    <cfRule type="containsText" dxfId="4895" priority="29" operator="containsText" text="Hear">
      <formula>NOT(ISERROR(SEARCH("Hear",B23)))</formula>
    </cfRule>
  </conditionalFormatting>
  <conditionalFormatting sqref="C16:C9988">
    <cfRule type="expression" dxfId="4894" priority="30">
      <formula>$B16="Dial"</formula>
    </cfRule>
    <cfRule type="expression" dxfId="4893" priority="32">
      <formula>$B16="HANGUP"</formula>
    </cfRule>
  </conditionalFormatting>
  <conditionalFormatting sqref="B8:B22">
    <cfRule type="containsText" dxfId="4892" priority="13" operator="containsText" text="Hear">
      <formula>NOT(ISERROR(SEARCH("Hear",B8)))</formula>
    </cfRule>
  </conditionalFormatting>
  <conditionalFormatting sqref="C10">
    <cfRule type="expression" dxfId="4891" priority="10">
      <formula>$B10="Dial"</formula>
    </cfRule>
    <cfRule type="expression" dxfId="4890" priority="12">
      <formula>$B10="HANGUP"</formula>
    </cfRule>
  </conditionalFormatting>
  <conditionalFormatting sqref="C10 C16:C31">
    <cfRule type="expression" dxfId="4889" priority="11">
      <formula>$B10="Speak"</formula>
    </cfRule>
  </conditionalFormatting>
  <conditionalFormatting sqref="C13">
    <cfRule type="expression" dxfId="4888" priority="7">
      <formula>$B13="Dial"</formula>
    </cfRule>
    <cfRule type="expression" dxfId="4887" priority="9">
      <formula>$B13="HANGUP"</formula>
    </cfRule>
  </conditionalFormatting>
  <conditionalFormatting sqref="C13">
    <cfRule type="expression" dxfId="4886" priority="8">
      <formula>$B13="Speak"</formula>
    </cfRule>
  </conditionalFormatting>
  <conditionalFormatting sqref="C15">
    <cfRule type="expression" dxfId="4885" priority="4">
      <formula>$B15="Dial"</formula>
    </cfRule>
    <cfRule type="expression" dxfId="4884" priority="6">
      <formula>$B15="HANGUP"</formula>
    </cfRule>
  </conditionalFormatting>
  <conditionalFormatting sqref="C15">
    <cfRule type="expression" dxfId="4883" priority="5">
      <formula>$B15="Speak"</formula>
    </cfRule>
  </conditionalFormatting>
  <hyperlinks>
    <hyperlink ref="A1" location="'Test Case Overview'!A1" display="Return to Test Case Overview" xr:uid="{00000000-0004-0000-2400-000000000000}"/>
  </hyperlinks>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expression" priority="26" id="{2E5AC31C-275D-403B-BEDD-618C38890885}">
            <xm:f>'TC1'!$B8="HANGUP"</xm:f>
            <x14:dxf>
              <font>
                <b/>
                <i val="0"/>
              </font>
            </x14:dxf>
          </x14:cfRule>
          <x14:cfRule type="expression" priority="34" id="{4ECFDAF0-5507-48EA-823C-79A40EA0B634}">
            <xm:f>'TC1'!$B8="Dial"</xm:f>
            <x14:dxf>
              <font>
                <b/>
                <i val="0"/>
                <color rgb="FFFF0000"/>
              </font>
            </x14:dxf>
          </x14:cfRule>
          <xm:sqref>C8</xm:sqref>
        </x14:conditionalFormatting>
        <x14:conditionalFormatting xmlns:xm="http://schemas.microsoft.com/office/excel/2006/main">
          <x14:cfRule type="expression" priority="35" id="{065FD99C-CBC4-47F2-BAE9-9473731A2B3D}">
            <xm:f>'TC1'!$B8="Speak"</xm:f>
            <x14:dxf>
              <font>
                <b/>
                <i val="0"/>
                <color rgb="FFFF0000"/>
              </font>
            </x14:dxf>
          </x14:cfRule>
          <xm:sqref>C8</xm:sqref>
        </x14:conditionalFormatting>
        <x14:conditionalFormatting xmlns:xm="http://schemas.microsoft.com/office/excel/2006/main">
          <x14:cfRule type="containsText" priority="1023" operator="containsText" text="WEB SERVICE" id="{3731F1DA-FA44-42D1-83C5-F8ABB29BE850}">
            <xm:f>NOT(ISERROR(SEARCH("WEB SERVICE",'TC1'!#REF!)))</xm:f>
            <x14:dxf>
              <font>
                <color rgb="FF9C0006"/>
              </font>
              <fill>
                <patternFill>
                  <bgColor rgb="FFFFC7CE"/>
                </patternFill>
              </fill>
            </x14:dxf>
          </x14:cfRule>
          <xm:sqref>E17:E31</xm:sqref>
        </x14:conditionalFormatting>
        <x14:conditionalFormatting xmlns:xm="http://schemas.microsoft.com/office/excel/2006/main">
          <x14:cfRule type="expression" priority="3849" id="{2E5AC31C-275D-403B-BEDD-618C38890885}">
            <xm:f>'TC1'!$B9="HANGUP"</xm:f>
            <x14:dxf>
              <font>
                <b/>
                <i val="0"/>
              </font>
            </x14:dxf>
          </x14:cfRule>
          <x14:cfRule type="expression" priority="3850" id="{4ECFDAF0-5507-48EA-823C-79A40EA0B634}">
            <xm:f>'TC1'!$B9="Dial"</xm:f>
            <x14:dxf>
              <font>
                <b/>
                <i val="0"/>
                <color rgb="FFFF0000"/>
              </font>
            </x14:dxf>
          </x14:cfRule>
          <xm:sqref>C12 C14</xm:sqref>
        </x14:conditionalFormatting>
        <x14:conditionalFormatting xmlns:xm="http://schemas.microsoft.com/office/excel/2006/main">
          <x14:cfRule type="expression" priority="3851" id="{2E5AC31C-275D-403B-BEDD-618C38890885}">
            <xm:f>'TC1'!#REF!="HANGUP"</xm:f>
            <x14:dxf>
              <font>
                <b/>
                <i val="0"/>
              </font>
            </x14:dxf>
          </x14:cfRule>
          <x14:cfRule type="expression" priority="3852" id="{4ECFDAF0-5507-48EA-823C-79A40EA0B634}">
            <xm:f>'TC1'!#REF!="Dial"</xm:f>
            <x14:dxf>
              <font>
                <b/>
                <i val="0"/>
                <color rgb="FFFF0000"/>
              </font>
            </x14:dxf>
          </x14:cfRule>
          <xm:sqref>C9 C11</xm:sqref>
        </x14:conditionalFormatting>
        <x14:conditionalFormatting xmlns:xm="http://schemas.microsoft.com/office/excel/2006/main">
          <x14:cfRule type="expression" priority="3856" id="{065FD99C-CBC4-47F2-BAE9-9473731A2B3D}">
            <xm:f>'TC1'!$B9="Speak"</xm:f>
            <x14:dxf>
              <font>
                <b/>
                <i val="0"/>
                <color rgb="FFFF0000"/>
              </font>
            </x14:dxf>
          </x14:cfRule>
          <xm:sqref>C12 C14</xm:sqref>
        </x14:conditionalFormatting>
        <x14:conditionalFormatting xmlns:xm="http://schemas.microsoft.com/office/excel/2006/main">
          <x14:cfRule type="expression" priority="3857" id="{065FD99C-CBC4-47F2-BAE9-9473731A2B3D}">
            <xm:f>'TC1'!#REF!="Speak"</xm:f>
            <x14:dxf>
              <font>
                <b/>
                <i val="0"/>
                <color rgb="FFFF0000"/>
              </font>
            </x14:dxf>
          </x14:cfRule>
          <xm:sqref>C9 C11</xm:sqref>
        </x14:conditionalFormatting>
        <x14:conditionalFormatting xmlns:xm="http://schemas.microsoft.com/office/excel/2006/main">
          <x14:cfRule type="containsText" priority="3859" operator="containsText" text="WEB SERVICE" id="{3731F1DA-FA44-42D1-83C5-F8ABB29BE850}">
            <xm:f>NOT(ISERROR(SEARCH("WEB SERVICE",'TC1'!#REF!)))</xm:f>
            <x14:dxf>
              <font>
                <color rgb="FF9C0006"/>
              </font>
              <fill>
                <patternFill>
                  <bgColor rgb="FFFFC7CE"/>
                </patternFill>
              </fill>
            </x14:dxf>
          </x14:cfRule>
          <xm:sqref>E9:E11</xm:sqref>
        </x14:conditionalFormatting>
        <x14:conditionalFormatting xmlns:xm="http://schemas.microsoft.com/office/excel/2006/main">
          <x14:cfRule type="containsText" priority="3860" operator="containsText" text="WEB SERVICE" id="{3731F1DA-FA44-42D1-83C5-F8ABB29BE850}">
            <xm:f>NOT(ISERROR(SEARCH("WEB SERVICE",'TC1'!E9)))</xm:f>
            <x14:dxf>
              <font>
                <color rgb="FF9C0006"/>
              </font>
              <fill>
                <patternFill>
                  <bgColor rgb="FFFFC7CE"/>
                </patternFill>
              </fill>
            </x14:dxf>
          </x14:cfRule>
          <xm:sqref>E12:E15</xm:sqref>
        </x14:conditionalFormatting>
        <x14:conditionalFormatting xmlns:xm="http://schemas.microsoft.com/office/excel/2006/main">
          <x14:cfRule type="containsText" priority="6394" operator="containsText" text="WEB SERVICE" id="{3731F1DA-FA44-42D1-83C5-F8ABB29BE850}">
            <xm:f>NOT(ISERROR(SEARCH("WEB SERVICE",'TC1'!E15)))</xm:f>
            <x14:dxf>
              <font>
                <color rgb="FF9C0006"/>
              </font>
              <fill>
                <patternFill>
                  <bgColor rgb="FFFFC7CE"/>
                </patternFill>
              </fill>
            </x14:dxf>
          </x14:cfRule>
          <xm:sqref>E16</xm:sqref>
        </x14:conditionalFormatting>
      </x14:conditionalFormattings>
    </ext>
  </extLst>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9"/>
  <dimension ref="A1:E45"/>
  <sheetViews>
    <sheetView zoomScaleNormal="100" workbookViewId="0">
      <selection sqref="A1:B1"/>
    </sheetView>
  </sheetViews>
  <sheetFormatPr defaultRowHeight="14.5" x14ac:dyDescent="0.35"/>
  <cols>
    <col min="1" max="1" width="14.453125" style="97" bestFit="1" customWidth="1"/>
    <col min="2" max="2" width="42.6328125" style="97" customWidth="1"/>
    <col min="3" max="3" width="106.1796875" style="98" customWidth="1"/>
    <col min="4" max="4" width="21.81640625" style="111" bestFit="1" customWidth="1"/>
    <col min="5" max="5" width="20.6328125" style="97" customWidth="1"/>
  </cols>
  <sheetData>
    <row r="1" spans="1:5" ht="18.5" x14ac:dyDescent="0.35">
      <c r="A1" s="192" t="s">
        <v>4</v>
      </c>
      <c r="B1" s="192"/>
      <c r="C1" s="105"/>
    </row>
    <row r="2" spans="1:5" x14ac:dyDescent="0.35">
      <c r="A2" s="106" t="s">
        <v>5</v>
      </c>
      <c r="B2" s="107" t="str">
        <f ca="1">MID(CELL("filename",A1),FIND("]",CELL("filename",A1))+1,LEN(CELL("filename",A1))-FIND("]",CELL("filename",A1)))</f>
        <v>TC37</v>
      </c>
    </row>
    <row r="3" spans="1:5" x14ac:dyDescent="0.35">
      <c r="A3" s="104" t="s">
        <v>19</v>
      </c>
      <c r="B3" s="112">
        <f ca="1">VLOOKUP(B2,Table53[#All],2,FALSE)</f>
        <v>0</v>
      </c>
    </row>
    <row r="4" spans="1:5" ht="29" x14ac:dyDescent="0.35">
      <c r="A4" s="113" t="s">
        <v>20</v>
      </c>
      <c r="B4" s="99" t="str">
        <f ca="1">VLOOKUP(B2,Table53[#All],4,FALSE)</f>
        <v>No Recurring, Current Due</v>
      </c>
    </row>
    <row r="5" spans="1:5" x14ac:dyDescent="0.35">
      <c r="A5" s="104" t="s">
        <v>6</v>
      </c>
      <c r="B5" s="93" t="str">
        <f ca="1">VLOOKUP(B2,Table53[#All],3,FALSE)</f>
        <v>Stored Mthd Confirm Payment No Match x3</v>
      </c>
    </row>
    <row r="7" spans="1:5" ht="15.5" x14ac:dyDescent="0.35">
      <c r="A7" s="100" t="s">
        <v>7</v>
      </c>
      <c r="B7" s="101" t="s">
        <v>8</v>
      </c>
      <c r="C7" s="102" t="s">
        <v>9</v>
      </c>
      <c r="D7" s="102" t="s">
        <v>14</v>
      </c>
      <c r="E7" s="103" t="s">
        <v>10</v>
      </c>
    </row>
    <row r="8" spans="1:5" x14ac:dyDescent="0.35">
      <c r="A8" s="118">
        <v>1</v>
      </c>
      <c r="B8" s="114" t="s">
        <v>114</v>
      </c>
      <c r="C8" s="109" t="s">
        <v>125</v>
      </c>
      <c r="D8" s="128"/>
      <c r="E8" s="125" t="s">
        <v>11</v>
      </c>
    </row>
    <row r="9" spans="1:5" x14ac:dyDescent="0.35">
      <c r="A9" s="118">
        <v>2</v>
      </c>
      <c r="B9" s="114" t="s">
        <v>115</v>
      </c>
      <c r="C9" s="109" t="str">
        <f>VLOOKUP(Table257552526910134344464748495657585963151817192245[[#This Row],[PEG]],Table1016[#All],2,FALSE)</f>
        <v>To get started, tell me your Account Number</v>
      </c>
      <c r="D9" s="141" t="s">
        <v>245</v>
      </c>
      <c r="E9" s="125" t="str">
        <f>VLOOKUP(Table257552526910134344464748495657585963151817192245[[#This Row],[PEG]],Table1016[#All],3,FALSE)</f>
        <v>Prompt</v>
      </c>
    </row>
    <row r="10" spans="1:5" x14ac:dyDescent="0.35">
      <c r="A10" s="118">
        <v>3</v>
      </c>
      <c r="B10" s="114" t="s">
        <v>114</v>
      </c>
      <c r="C10" s="109" t="s">
        <v>412</v>
      </c>
      <c r="D10" s="141"/>
      <c r="E10" s="125" t="e">
        <f>VLOOKUP(Table257552526910134344464748495657585963151817192245[[#This Row],[PEG]],Table1016[#All],3,FALSE)</f>
        <v>#N/A</v>
      </c>
    </row>
    <row r="11" spans="1:5" ht="174" x14ac:dyDescent="0.35">
      <c r="A11" s="118">
        <v>4</v>
      </c>
      <c r="B11" s="114" t="s">
        <v>12</v>
      </c>
      <c r="C11" s="109" t="str">
        <f>VLOOKUP(Table257552526910134344464748495657585963151817192245[[#This Row],[PEG]],Table1016[#All],2,FALSE)</f>
        <v>SAP HANA – SAP01_GetMember
inputs:
idnumber = iIdnumber	T
idtype 	= iIdtype
outputs:
~ Billing Reference
~ Enrollment Details
~ Billing Details
~ Last Payment
~ Recurring Payment Method
~ Stored Payment Method</v>
      </c>
      <c r="D11" s="141" t="s">
        <v>371</v>
      </c>
      <c r="E11" s="125" t="str">
        <f>VLOOKUP(Table257552526910134344464748495657585963151817192245[[#This Row],[PEG]],Table1016[#All],3,FALSE)</f>
        <v>DB</v>
      </c>
    </row>
    <row r="12" spans="1:5" x14ac:dyDescent="0.35">
      <c r="A12" s="118">
        <v>5</v>
      </c>
      <c r="B12" s="114" t="s">
        <v>115</v>
      </c>
      <c r="C12" s="109" t="str">
        <f>VLOOKUP(Table257552526910134344464748495657585963151817192245[[#This Row],[PEG]],Table1016[#All],2,FALSE)</f>
        <v>Thanks, I found your account!</v>
      </c>
      <c r="D12" s="141" t="s">
        <v>248</v>
      </c>
      <c r="E12" s="125" t="str">
        <f>VLOOKUP(Table257552526910134344464748495657585963151817192245[[#This Row],[PEG]],Table1016[#All],3,FALSE)</f>
        <v>Prompt</v>
      </c>
    </row>
    <row r="13" spans="1:5" x14ac:dyDescent="0.35">
      <c r="A13" s="118">
        <v>6</v>
      </c>
      <c r="B13" s="114" t="s">
        <v>115</v>
      </c>
      <c r="C13" s="109" t="str">
        <f>VLOOKUP(Table257552526910134344464748495657585963151817192245[[#This Row],[PEG]],Table1016[#All],2,FALSE)</f>
        <v>A current balance of &lt;SAP01_CurrentDue&gt; is due by &lt;SAP01_Duedate&gt;.</v>
      </c>
      <c r="D13" s="141" t="s">
        <v>258</v>
      </c>
      <c r="E13" s="125" t="str">
        <f>VLOOKUP(Table257552526910134344464748495657585963151817192245[[#This Row],[PEG]],Table1016[#All],3,FALSE)</f>
        <v>Prompt</v>
      </c>
    </row>
    <row r="14" spans="1:5" x14ac:dyDescent="0.35">
      <c r="A14" s="118">
        <v>7</v>
      </c>
      <c r="B14" s="114" t="s">
        <v>115</v>
      </c>
      <c r="C14" s="109" t="str">
        <f>VLOOKUP(Table257552526910134344464748495657585963151817192245[[#This Row],[PEG]],Table1016[#All],2,FALSE)</f>
        <v>Would you like to pay this in full today?</v>
      </c>
      <c r="D14" s="141" t="s">
        <v>260</v>
      </c>
      <c r="E14" s="125" t="str">
        <f>VLOOKUP(Table257552526910134344464748495657585963151817192245[[#This Row],[PEG]],Table1016[#All],3,FALSE)</f>
        <v>Prompt</v>
      </c>
    </row>
    <row r="15" spans="1:5" x14ac:dyDescent="0.35">
      <c r="A15" s="118">
        <v>8</v>
      </c>
      <c r="B15" s="114" t="s">
        <v>114</v>
      </c>
      <c r="C15" s="109">
        <v>1</v>
      </c>
      <c r="D15" s="164"/>
      <c r="E15" s="125" t="e">
        <f>VLOOKUP(Table257552526910134344464748495657585963151817192245[[#This Row],[PEG]],Table1016[#All],3,FALSE)</f>
        <v>#N/A</v>
      </c>
    </row>
    <row r="16" spans="1:5" x14ac:dyDescent="0.35">
      <c r="A16" s="118">
        <v>9</v>
      </c>
      <c r="B16" s="114" t="s">
        <v>115</v>
      </c>
      <c r="C16" s="109" t="str">
        <f>VLOOKUP(Table257552526910134344464748495657585963151817192245[[#This Row],[PEG]],Table1016[#All],2,FALSE)</f>
        <v>Do you want to use the checking account on file ending in &lt;SAP01_ivrStoredPmtLast4Digits&gt;.</v>
      </c>
      <c r="D16" s="164" t="s">
        <v>275</v>
      </c>
      <c r="E16" s="125" t="str">
        <f>VLOOKUP(Table257552526910134344464748495657585963151817192245[[#This Row],[PEG]],Table1016[#All],3,FALSE)</f>
        <v>Prompt</v>
      </c>
    </row>
    <row r="17" spans="1:5" x14ac:dyDescent="0.35">
      <c r="A17" s="118">
        <v>10</v>
      </c>
      <c r="B17" s="114" t="s">
        <v>114</v>
      </c>
      <c r="C17" s="109">
        <v>1</v>
      </c>
      <c r="D17" s="165"/>
      <c r="E17" s="125" t="e">
        <f>VLOOKUP(Table257552526910134344464748495657585963151817192245[[#This Row],[PEG]],Table1016[#All],3,FALSE)</f>
        <v>#N/A</v>
      </c>
    </row>
    <row r="18" spans="1:5" ht="29" x14ac:dyDescent="0.35">
      <c r="A18" s="118">
        <v>11</v>
      </c>
      <c r="B18" s="114" t="s">
        <v>115</v>
      </c>
      <c r="C18" s="109" t="str">
        <f>VLOOKUP(Table257552526910134344464748495657585963151817192245[[#This Row],[PEG]],Table1016[#All],2,FALSE)</f>
        <v>To confirm, you want to pay &lt;ivrPmtAmt&gt; with the account ending in &lt;SAP01_ivrStoredPmtLast4Digits&gt;
Is that right?</v>
      </c>
      <c r="D18" s="165" t="s">
        <v>391</v>
      </c>
      <c r="E18" s="125">
        <f>VLOOKUP(Table257552526910134344464748495657585963151817192245[[#This Row],[PEG]],Table1016[#All],3,FALSE)</f>
        <v>0</v>
      </c>
    </row>
    <row r="19" spans="1:5" x14ac:dyDescent="0.35">
      <c r="A19" s="118">
        <v>12</v>
      </c>
      <c r="B19" s="114" t="s">
        <v>114</v>
      </c>
      <c r="C19" s="109">
        <v>3</v>
      </c>
      <c r="D19" s="165"/>
      <c r="E19" s="125" t="e">
        <f>VLOOKUP(Table257552526910134344464748495657585963151817192245[[#This Row],[PEG]],Table1016[#All],3,FALSE)</f>
        <v>#N/A</v>
      </c>
    </row>
    <row r="20" spans="1:5" x14ac:dyDescent="0.35">
      <c r="A20" s="118">
        <v>13</v>
      </c>
      <c r="B20" s="114" t="s">
        <v>115</v>
      </c>
      <c r="C20" s="109" t="str">
        <f>VLOOKUP(Table257552526910134344464748495657585963151817192245[[#This Row],[PEG]],Table1016[#All],2,FALSE)</f>
        <v>Sorry, I didn’t understand.</v>
      </c>
      <c r="D20" s="165" t="s">
        <v>367</v>
      </c>
      <c r="E20" s="125" t="str">
        <f>VLOOKUP(Table257552526910134344464748495657585963151817192245[[#This Row],[PEG]],Table1016[#All],3,FALSE)</f>
        <v>Prompt</v>
      </c>
    </row>
    <row r="21" spans="1:5" x14ac:dyDescent="0.35">
      <c r="A21" s="118">
        <v>14</v>
      </c>
      <c r="B21" s="114" t="s">
        <v>115</v>
      </c>
      <c r="C21" s="109" t="str">
        <f>VLOOKUP(Table257552526910134344464748495657585963151817192245[[#This Row],[PEG]],Table1016[#All],2,FALSE)</f>
        <v>Is this information correct?  Just say yes or no.</v>
      </c>
      <c r="D21" s="165" t="s">
        <v>284</v>
      </c>
      <c r="E21" s="125">
        <f>VLOOKUP(Table257552526910134344464748495657585963151817192245[[#This Row],[PEG]],Table1016[#All],3,FALSE)</f>
        <v>0</v>
      </c>
    </row>
    <row r="22" spans="1:5" x14ac:dyDescent="0.35">
      <c r="A22" s="118">
        <v>15</v>
      </c>
      <c r="B22" s="114" t="s">
        <v>114</v>
      </c>
      <c r="C22" s="109">
        <v>3</v>
      </c>
      <c r="D22" s="165"/>
      <c r="E22" s="125" t="e">
        <f>VLOOKUP(Table257552526910134344464748495657585963151817192245[[#This Row],[PEG]],Table1016[#All],3,FALSE)</f>
        <v>#N/A</v>
      </c>
    </row>
    <row r="23" spans="1:5" x14ac:dyDescent="0.35">
      <c r="A23" s="118">
        <v>16</v>
      </c>
      <c r="B23" s="114" t="s">
        <v>115</v>
      </c>
      <c r="C23" s="109" t="str">
        <f>VLOOKUP(Table257552526910134344464748495657585963151817192245[[#This Row],[PEG]],Table1016[#All],2,FALSE)</f>
        <v>Let’s try that one more time.</v>
      </c>
      <c r="D23" s="165" t="s">
        <v>368</v>
      </c>
      <c r="E23" s="125" t="str">
        <f>VLOOKUP(Table257552526910134344464748495657585963151817192245[[#This Row],[PEG]],Table1016[#All],3,FALSE)</f>
        <v>Prompt</v>
      </c>
    </row>
    <row r="24" spans="1:5" s="97" customFormat="1" ht="29" x14ac:dyDescent="0.35">
      <c r="A24" s="118">
        <v>17</v>
      </c>
      <c r="B24" s="114" t="s">
        <v>115</v>
      </c>
      <c r="C24" s="109" t="str">
        <f>VLOOKUP(Table257552526910134344464748495657585963151817192245[[#This Row],[PEG]],Table1016[#All],2,FALSE)</f>
        <v>To confirm this payment, say yes or press 1.
Otherwise say no or press 2.</v>
      </c>
      <c r="D24" s="165" t="s">
        <v>285</v>
      </c>
      <c r="E24" s="125" t="str">
        <f>VLOOKUP(Table257552526910134344464748495657585963151817192245[[#This Row],[PEG]],Table1016[#All],3,FALSE)</f>
        <v>Prompt</v>
      </c>
    </row>
    <row r="25" spans="1:5" s="97" customFormat="1" x14ac:dyDescent="0.35">
      <c r="A25" s="118">
        <v>18</v>
      </c>
      <c r="B25" s="114" t="s">
        <v>114</v>
      </c>
      <c r="C25" s="170">
        <v>3</v>
      </c>
      <c r="D25" s="165"/>
      <c r="E25" s="125" t="e">
        <f>VLOOKUP(Table257552526910134344464748495657585963151817192245[[#This Row],[PEG]],Table1016[#All],3,FALSE)</f>
        <v>#N/A</v>
      </c>
    </row>
    <row r="26" spans="1:5" ht="29" x14ac:dyDescent="0.35">
      <c r="A26" s="118">
        <v>19</v>
      </c>
      <c r="B26" s="114" t="s">
        <v>115</v>
      </c>
      <c r="C26" s="109" t="str">
        <f>VLOOKUP(Table257552526910134344464748495657585963151817192245[[#This Row],[PEG]],Table1016[#All],2,FALSE)</f>
        <v>It seems you are having trouble. For future transactions you can also access your plan details, or manage your account online anytime at members.lacare.com. One moment while I get someone to help. Make sure to have your invoice available.</v>
      </c>
      <c r="D26" s="165" t="s">
        <v>361</v>
      </c>
      <c r="E26" s="125" t="str">
        <f>VLOOKUP(Table257552526910134344464748495657585963151817192245[[#This Row],[PEG]],Table1016[#All],3,FALSE)</f>
        <v>Prompt</v>
      </c>
    </row>
    <row r="27" spans="1:5" x14ac:dyDescent="0.35">
      <c r="A27" s="118">
        <v>20</v>
      </c>
      <c r="B27" s="114" t="s">
        <v>13</v>
      </c>
      <c r="C27" s="109" t="s">
        <v>13</v>
      </c>
      <c r="D27" s="165"/>
      <c r="E27" s="125" t="e">
        <f>VLOOKUP(Table257552526910134344464748495657585963151817192245[[#This Row],[PEG]],Table1016[#All],3,FALSE)</f>
        <v>#N/A</v>
      </c>
    </row>
    <row r="28" spans="1:5" x14ac:dyDescent="0.35">
      <c r="C28" s="26"/>
      <c r="D28" s="111" t="s">
        <v>0</v>
      </c>
    </row>
    <row r="29" spans="1:5" x14ac:dyDescent="0.35">
      <c r="C29" s="26"/>
    </row>
    <row r="30" spans="1:5" x14ac:dyDescent="0.35">
      <c r="C30" s="26"/>
    </row>
    <row r="31" spans="1:5" x14ac:dyDescent="0.35">
      <c r="C31" s="26"/>
    </row>
    <row r="32" spans="1:5" x14ac:dyDescent="0.35">
      <c r="C32" s="26"/>
    </row>
    <row r="33" spans="3:3" x14ac:dyDescent="0.35">
      <c r="C33" s="26"/>
    </row>
    <row r="34" spans="3:3" x14ac:dyDescent="0.35">
      <c r="C34" s="26"/>
    </row>
    <row r="35" spans="3:3" x14ac:dyDescent="0.35">
      <c r="C35" s="26"/>
    </row>
    <row r="36" spans="3:3" x14ac:dyDescent="0.35">
      <c r="C36" s="26"/>
    </row>
    <row r="37" spans="3:3" x14ac:dyDescent="0.35">
      <c r="C37" s="26"/>
    </row>
    <row r="38" spans="3:3" x14ac:dyDescent="0.35">
      <c r="C38" s="26"/>
    </row>
    <row r="39" spans="3:3" x14ac:dyDescent="0.35">
      <c r="C39" s="26"/>
    </row>
    <row r="40" spans="3:3" x14ac:dyDescent="0.35">
      <c r="C40" s="26"/>
    </row>
    <row r="41" spans="3:3" x14ac:dyDescent="0.35">
      <c r="C41" s="26"/>
    </row>
    <row r="42" spans="3:3" x14ac:dyDescent="0.35">
      <c r="C42" s="26"/>
    </row>
    <row r="43" spans="3:3" x14ac:dyDescent="0.35">
      <c r="C43" s="27"/>
    </row>
    <row r="44" spans="3:3" x14ac:dyDescent="0.35">
      <c r="C44" s="27"/>
    </row>
    <row r="45" spans="3:3" x14ac:dyDescent="0.35">
      <c r="C45" s="27"/>
    </row>
  </sheetData>
  <mergeCells count="1">
    <mergeCell ref="A1:B1"/>
  </mergeCells>
  <conditionalFormatting sqref="B23:B27">
    <cfRule type="containsText" dxfId="4869" priority="23" operator="containsText" text="Hear">
      <formula>NOT(ISERROR(SEARCH("Hear",B23)))</formula>
    </cfRule>
  </conditionalFormatting>
  <conditionalFormatting sqref="C28:C9984">
    <cfRule type="expression" dxfId="4868" priority="24">
      <formula>$B28="Dial"</formula>
    </cfRule>
    <cfRule type="expression" dxfId="4867" priority="26">
      <formula>$B28="HANGUP"</formula>
    </cfRule>
  </conditionalFormatting>
  <conditionalFormatting sqref="B8:B22">
    <cfRule type="containsText" dxfId="4866" priority="7" operator="containsText" text="Hear">
      <formula>NOT(ISERROR(SEARCH("Hear",B8)))</formula>
    </cfRule>
  </conditionalFormatting>
  <conditionalFormatting sqref="C10">
    <cfRule type="expression" dxfId="4865" priority="4">
      <formula>$B10="Dial"</formula>
    </cfRule>
    <cfRule type="expression" dxfId="4864" priority="6">
      <formula>$B10="HANGUP"</formula>
    </cfRule>
  </conditionalFormatting>
  <conditionalFormatting sqref="C10">
    <cfRule type="expression" dxfId="4863" priority="5">
      <formula>$B10="Speak"</formula>
    </cfRule>
  </conditionalFormatting>
  <conditionalFormatting sqref="C12:C27">
    <cfRule type="expression" dxfId="4862" priority="1">
      <formula>$B12="Dial"</formula>
    </cfRule>
    <cfRule type="expression" dxfId="4861" priority="3">
      <formula>$B12="HANGUP"</formula>
    </cfRule>
  </conditionalFormatting>
  <conditionalFormatting sqref="C12:C27">
    <cfRule type="expression" dxfId="4860" priority="2">
      <formula>$B12="Speak"</formula>
    </cfRule>
  </conditionalFormatting>
  <hyperlinks>
    <hyperlink ref="A1" location="'Test Case Overview'!A1" display="Return to Test Case Overview" xr:uid="{00000000-0004-0000-2500-000000000000}"/>
  </hyperlinks>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expression" priority="20" id="{0688A645-8A2E-40F8-B2CE-37063AC8F56C}">
            <xm:f>'TC1'!$B8="HANGUP"</xm:f>
            <x14:dxf>
              <font>
                <b/>
                <i val="0"/>
              </font>
            </x14:dxf>
          </x14:cfRule>
          <x14:cfRule type="expression" priority="28" id="{CC48B6DA-8720-44AE-A258-448FBCCDFB84}">
            <xm:f>'TC1'!$B8="Dial"</xm:f>
            <x14:dxf>
              <font>
                <b/>
                <i val="0"/>
                <color rgb="FFFF0000"/>
              </font>
            </x14:dxf>
          </x14:cfRule>
          <xm:sqref>C8</xm:sqref>
        </x14:conditionalFormatting>
        <x14:conditionalFormatting xmlns:xm="http://schemas.microsoft.com/office/excel/2006/main">
          <x14:cfRule type="expression" priority="29" id="{B0C459A9-F386-43A1-A05F-021723541204}">
            <xm:f>'TC1'!$B8="Speak"</xm:f>
            <x14:dxf>
              <font>
                <b/>
                <i val="0"/>
                <color rgb="FFFF0000"/>
              </font>
            </x14:dxf>
          </x14:cfRule>
          <xm:sqref>C8</xm:sqref>
        </x14:conditionalFormatting>
        <x14:conditionalFormatting xmlns:xm="http://schemas.microsoft.com/office/excel/2006/main">
          <x14:cfRule type="containsText" priority="1034" operator="containsText" text="DB" id="{E1A9B347-0D7F-492A-AE0B-570FE25AD734}">
            <xm:f>NOT(ISERROR(SEARCH("DB",'TC1'!#REF!)))</xm:f>
            <x14:dxf>
              <font>
                <color rgb="FF006100"/>
              </font>
              <fill>
                <patternFill>
                  <bgColor rgb="FFC6EFCE"/>
                </patternFill>
              </fill>
            </x14:dxf>
          </x14:cfRule>
          <x14:cfRule type="containsText" priority="1035" operator="containsText" text="WEB SERVICE" id="{2383F41A-2A15-4D7D-82D3-E7D9829CECB9}">
            <xm:f>NOT(ISERROR(SEARCH("WEB SERVICE",'TC1'!#REF!)))</xm:f>
            <x14:dxf>
              <font>
                <color rgb="FF9C0006"/>
              </font>
              <fill>
                <patternFill>
                  <bgColor rgb="FFFFC7CE"/>
                </patternFill>
              </fill>
            </x14:dxf>
          </x14:cfRule>
          <xm:sqref>E17:E27</xm:sqref>
        </x14:conditionalFormatting>
        <x14:conditionalFormatting xmlns:xm="http://schemas.microsoft.com/office/excel/2006/main">
          <x14:cfRule type="expression" priority="3859" id="{0688A645-8A2E-40F8-B2CE-37063AC8F56C}">
            <xm:f>'TC1'!#REF!="HANGUP"</xm:f>
            <x14:dxf>
              <font>
                <b/>
                <i val="0"/>
              </font>
            </x14:dxf>
          </x14:cfRule>
          <x14:cfRule type="expression" priority="3860" id="{CC48B6DA-8720-44AE-A258-448FBCCDFB84}">
            <xm:f>'TC1'!#REF!="Dial"</xm:f>
            <x14:dxf>
              <font>
                <b/>
                <i val="0"/>
                <color rgb="FFFF0000"/>
              </font>
            </x14:dxf>
          </x14:cfRule>
          <xm:sqref>C9 C11</xm:sqref>
        </x14:conditionalFormatting>
        <x14:conditionalFormatting xmlns:xm="http://schemas.microsoft.com/office/excel/2006/main">
          <x14:cfRule type="expression" priority="3865" id="{B0C459A9-F386-43A1-A05F-021723541204}">
            <xm:f>'TC1'!#REF!="Speak"</xm:f>
            <x14:dxf>
              <font>
                <b/>
                <i val="0"/>
                <color rgb="FFFF0000"/>
              </font>
            </x14:dxf>
          </x14:cfRule>
          <xm:sqref>C9 C11</xm:sqref>
        </x14:conditionalFormatting>
        <x14:conditionalFormatting xmlns:xm="http://schemas.microsoft.com/office/excel/2006/main">
          <x14:cfRule type="containsText" priority="3867" operator="containsText" text="DB" id="{E1A9B347-0D7F-492A-AE0B-570FE25AD734}">
            <xm:f>NOT(ISERROR(SEARCH("DB",'TC1'!#REF!)))</xm:f>
            <x14:dxf>
              <font>
                <color rgb="FF006100"/>
              </font>
              <fill>
                <patternFill>
                  <bgColor rgb="FFC6EFCE"/>
                </patternFill>
              </fill>
            </x14:dxf>
          </x14:cfRule>
          <x14:cfRule type="containsText" priority="3868" operator="containsText" text="WEB SERVICE" id="{2383F41A-2A15-4D7D-82D3-E7D9829CECB9}">
            <xm:f>NOT(ISERROR(SEARCH("WEB SERVICE",'TC1'!#REF!)))</xm:f>
            <x14:dxf>
              <font>
                <color rgb="FF9C0006"/>
              </font>
              <fill>
                <patternFill>
                  <bgColor rgb="FFFFC7CE"/>
                </patternFill>
              </fill>
            </x14:dxf>
          </x14:cfRule>
          <xm:sqref>E9:E11</xm:sqref>
        </x14:conditionalFormatting>
        <x14:conditionalFormatting xmlns:xm="http://schemas.microsoft.com/office/excel/2006/main">
          <x14:cfRule type="containsText" priority="3869" operator="containsText" text="DB" id="{E1A9B347-0D7F-492A-AE0B-570FE25AD734}">
            <xm:f>NOT(ISERROR(SEARCH("DB",'TC1'!E9)))</xm:f>
            <x14:dxf>
              <font>
                <color rgb="FF006100"/>
              </font>
              <fill>
                <patternFill>
                  <bgColor rgb="FFC6EFCE"/>
                </patternFill>
              </fill>
            </x14:dxf>
          </x14:cfRule>
          <x14:cfRule type="containsText" priority="3870" operator="containsText" text="WEB SERVICE" id="{2383F41A-2A15-4D7D-82D3-E7D9829CECB9}">
            <xm:f>NOT(ISERROR(SEARCH("WEB SERVICE",'TC1'!E9)))</xm:f>
            <x14:dxf>
              <font>
                <color rgb="FF9C0006"/>
              </font>
              <fill>
                <patternFill>
                  <bgColor rgb="FFFFC7CE"/>
                </patternFill>
              </fill>
            </x14:dxf>
          </x14:cfRule>
          <xm:sqref>E12:E15</xm:sqref>
        </x14:conditionalFormatting>
        <x14:conditionalFormatting xmlns:xm="http://schemas.microsoft.com/office/excel/2006/main">
          <x14:cfRule type="containsText" priority="6400" operator="containsText" text="DB" id="{E1A9B347-0D7F-492A-AE0B-570FE25AD734}">
            <xm:f>NOT(ISERROR(SEARCH("DB",'TC1'!E15)))</xm:f>
            <x14:dxf>
              <font>
                <color rgb="FF006100"/>
              </font>
              <fill>
                <patternFill>
                  <bgColor rgb="FFC6EFCE"/>
                </patternFill>
              </fill>
            </x14:dxf>
          </x14:cfRule>
          <x14:cfRule type="containsText" priority="6401" operator="containsText" text="WEB SERVICE" id="{2383F41A-2A15-4D7D-82D3-E7D9829CECB9}">
            <xm:f>NOT(ISERROR(SEARCH("WEB SERVICE",'TC1'!E15)))</xm:f>
            <x14:dxf>
              <font>
                <color rgb="FF9C0006"/>
              </font>
              <fill>
                <patternFill>
                  <bgColor rgb="FFFFC7CE"/>
                </patternFill>
              </fill>
            </x14:dxf>
          </x14:cfRule>
          <xm:sqref>E16</xm:sqref>
        </x14:conditionalFormatting>
      </x14:conditionalFormattings>
    </ext>
  </extLst>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40"/>
  <dimension ref="A1:E44"/>
  <sheetViews>
    <sheetView zoomScaleNormal="100" workbookViewId="0">
      <selection sqref="A1:B1"/>
    </sheetView>
  </sheetViews>
  <sheetFormatPr defaultRowHeight="14.5" x14ac:dyDescent="0.35"/>
  <cols>
    <col min="1" max="1" width="14.453125" style="97" bestFit="1" customWidth="1"/>
    <col min="2" max="2" width="42.6328125" style="97" customWidth="1"/>
    <col min="3" max="3" width="106.1796875" style="98" customWidth="1"/>
    <col min="4" max="4" width="21.81640625" style="111" bestFit="1" customWidth="1"/>
    <col min="5" max="5" width="20.6328125" style="97" customWidth="1"/>
  </cols>
  <sheetData>
    <row r="1" spans="1:5" ht="18.5" x14ac:dyDescent="0.35">
      <c r="A1" s="192" t="s">
        <v>4</v>
      </c>
      <c r="B1" s="192"/>
      <c r="C1" s="105"/>
    </row>
    <row r="2" spans="1:5" x14ac:dyDescent="0.35">
      <c r="A2" s="106" t="s">
        <v>5</v>
      </c>
      <c r="B2" s="107" t="str">
        <f ca="1">MID(CELL("filename",A1),FIND("]",CELL("filename",A1))+1,LEN(CELL("filename",A1))-FIND("]",CELL("filename",A1)))</f>
        <v>TC38</v>
      </c>
    </row>
    <row r="3" spans="1:5" x14ac:dyDescent="0.35">
      <c r="A3" s="104" t="s">
        <v>19</v>
      </c>
      <c r="B3" s="112">
        <f ca="1">VLOOKUP(B2,Table53[#All],2,FALSE)</f>
        <v>0</v>
      </c>
    </row>
    <row r="4" spans="1:5" ht="29" x14ac:dyDescent="0.35">
      <c r="A4" s="113" t="s">
        <v>20</v>
      </c>
      <c r="B4" s="99" t="str">
        <f ca="1">VLOOKUP(B2,Table53[#All],4,FALSE)</f>
        <v>No Recurring, Last Pmt, Current Due, No Stored Mthd</v>
      </c>
    </row>
    <row r="5" spans="1:5" x14ac:dyDescent="0.35">
      <c r="A5" s="104" t="s">
        <v>6</v>
      </c>
      <c r="B5" s="93" t="str">
        <f ca="1">VLOOKUP(B2,Table53[#All],3,FALSE)</f>
        <v>Get Pmt Method No Input x3</v>
      </c>
    </row>
    <row r="7" spans="1:5" ht="15.5" x14ac:dyDescent="0.35">
      <c r="A7" s="100" t="s">
        <v>7</v>
      </c>
      <c r="B7" s="101" t="s">
        <v>8</v>
      </c>
      <c r="C7" s="102" t="s">
        <v>9</v>
      </c>
      <c r="D7" s="102" t="s">
        <v>14</v>
      </c>
      <c r="E7" s="103" t="s">
        <v>10</v>
      </c>
    </row>
    <row r="8" spans="1:5" x14ac:dyDescent="0.35">
      <c r="A8" s="118">
        <v>1</v>
      </c>
      <c r="B8" s="114" t="s">
        <v>114</v>
      </c>
      <c r="C8" s="109" t="s">
        <v>125</v>
      </c>
      <c r="D8" s="128"/>
      <c r="E8" s="125" t="s">
        <v>11</v>
      </c>
    </row>
    <row r="9" spans="1:5" x14ac:dyDescent="0.35">
      <c r="A9" s="118">
        <v>2</v>
      </c>
      <c r="B9" s="114" t="s">
        <v>115</v>
      </c>
      <c r="C9" s="109" t="str">
        <f>VLOOKUP(Table25755252691013434446474849565758596315181719224566[[#This Row],[PEG]],Table1016[#All],2,FALSE)</f>
        <v>To get started, tell me your Account Number</v>
      </c>
      <c r="D9" s="141" t="s">
        <v>245</v>
      </c>
      <c r="E9" s="125" t="str">
        <f>VLOOKUP(Table25755252691013434446474849565758596315181719224566[[#This Row],[PEG]],Table1016[#All],3,FALSE)</f>
        <v>Prompt</v>
      </c>
    </row>
    <row r="10" spans="1:5" x14ac:dyDescent="0.35">
      <c r="A10" s="118">
        <v>3</v>
      </c>
      <c r="B10" s="114" t="s">
        <v>114</v>
      </c>
      <c r="C10" s="109" t="s">
        <v>412</v>
      </c>
      <c r="D10" s="141"/>
      <c r="E10" s="125" t="e">
        <f>VLOOKUP(Table25755252691013434446474849565758596315181719224566[[#This Row],[PEG]],Table1016[#All],3,FALSE)</f>
        <v>#N/A</v>
      </c>
    </row>
    <row r="11" spans="1:5" ht="174" x14ac:dyDescent="0.35">
      <c r="A11" s="118">
        <v>4</v>
      </c>
      <c r="B11" s="114" t="s">
        <v>12</v>
      </c>
      <c r="C11" s="109" t="str">
        <f>VLOOKUP(Table25755252691013434446474849565758596315181719224566[[#This Row],[PEG]],Table1016[#All],2,FALSE)</f>
        <v>SAP HANA – SAP01_GetMember
inputs:
idnumber = iIdnumber	T
idtype 	= iIdtype
outputs:
~ Billing Reference
~ Enrollment Details
~ Billing Details
~ Last Payment
~ Recurring Payment Method
~ Stored Payment Method</v>
      </c>
      <c r="D11" s="141" t="s">
        <v>371</v>
      </c>
      <c r="E11" s="125" t="str">
        <f>VLOOKUP(Table25755252691013434446474849565758596315181719224566[[#This Row],[PEG]],Table1016[#All],3,FALSE)</f>
        <v>DB</v>
      </c>
    </row>
    <row r="12" spans="1:5" x14ac:dyDescent="0.35">
      <c r="A12" s="118">
        <v>5</v>
      </c>
      <c r="B12" s="114" t="s">
        <v>115</v>
      </c>
      <c r="C12" s="109" t="str">
        <f>VLOOKUP(Table25755252691013434446474849565758596315181719224566[[#This Row],[PEG]],Table1016[#All],2,FALSE)</f>
        <v>Thanks, I found your account!</v>
      </c>
      <c r="D12" s="141" t="s">
        <v>248</v>
      </c>
      <c r="E12" s="125" t="str">
        <f>VLOOKUP(Table25755252691013434446474849565758596315181719224566[[#This Row],[PEG]],Table1016[#All],3,FALSE)</f>
        <v>Prompt</v>
      </c>
    </row>
    <row r="13" spans="1:5" x14ac:dyDescent="0.35">
      <c r="A13" s="118">
        <v>6</v>
      </c>
      <c r="B13" s="114" t="s">
        <v>115</v>
      </c>
      <c r="C13" s="109" t="str">
        <f>VLOOKUP(Table25755252691013434446474849565758596315181719224566[[#This Row],[PEG]],Table1016[#All],2,FALSE)</f>
        <v>Your last payment of &lt;SAP01_ivrLastPaymentAmount&gt; was received on &lt;SAP01_ivrLastPaymentDate&gt;</v>
      </c>
      <c r="D13" s="141" t="s">
        <v>257</v>
      </c>
      <c r="E13" s="125" t="str">
        <f>VLOOKUP(Table25755252691013434446474849565758596315181719224566[[#This Row],[PEG]],Table1016[#All],3,FALSE)</f>
        <v>Prompt</v>
      </c>
    </row>
    <row r="14" spans="1:5" x14ac:dyDescent="0.35">
      <c r="A14" s="118">
        <v>7</v>
      </c>
      <c r="B14" s="114" t="s">
        <v>115</v>
      </c>
      <c r="C14" s="109" t="str">
        <f>VLOOKUP(Table25755252691013434446474849565758596315181719224566[[#This Row],[PEG]],Table1016[#All],2,FALSE)</f>
        <v>A current balance of &lt;SAP01_CurrentDue&gt; is due by &lt;SAP01_Duedate&gt;.</v>
      </c>
      <c r="D14" s="141" t="s">
        <v>258</v>
      </c>
      <c r="E14" s="125" t="str">
        <f>VLOOKUP(Table25755252691013434446474849565758596315181719224566[[#This Row],[PEG]],Table1016[#All],3,FALSE)</f>
        <v>Prompt</v>
      </c>
    </row>
    <row r="15" spans="1:5" x14ac:dyDescent="0.35">
      <c r="A15" s="118">
        <v>8</v>
      </c>
      <c r="B15" s="114" t="s">
        <v>115</v>
      </c>
      <c r="C15" s="109" t="str">
        <f>VLOOKUP(Table25755252691013434446474849565758596315181719224566[[#This Row],[PEG]],Table1016[#All],2,FALSE)</f>
        <v>Would you like to pay this in full today?</v>
      </c>
      <c r="D15" s="164" t="s">
        <v>260</v>
      </c>
      <c r="E15" s="125" t="str">
        <f>VLOOKUP(Table25755252691013434446474849565758596315181719224566[[#This Row],[PEG]],Table1016[#All],3,FALSE)</f>
        <v>Prompt</v>
      </c>
    </row>
    <row r="16" spans="1:5" x14ac:dyDescent="0.35">
      <c r="A16" s="118">
        <v>9</v>
      </c>
      <c r="B16" s="114" t="s">
        <v>114</v>
      </c>
      <c r="C16" s="109">
        <v>1</v>
      </c>
      <c r="D16" s="164"/>
      <c r="E16" s="125" t="e">
        <f>VLOOKUP(Table25755252691013434446474849565758596315181719224566[[#This Row],[PEG]],Table1016[#All],3,FALSE)</f>
        <v>#N/A</v>
      </c>
    </row>
    <row r="17" spans="1:5" x14ac:dyDescent="0.35">
      <c r="A17" s="118">
        <v>10</v>
      </c>
      <c r="B17" s="114" t="s">
        <v>115</v>
      </c>
      <c r="C17" s="109" t="str">
        <f>VLOOKUP(Table25755252691013434446474849565758596315181719224566[[#This Row],[PEG]],Table1016[#All],2,FALSE)</f>
        <v>Ok, are you using Credit, Debit, Checking or Savings?</v>
      </c>
      <c r="D17" s="165" t="s">
        <v>286</v>
      </c>
      <c r="E17" s="125" t="str">
        <f>VLOOKUP(Table25755252691013434446474849565758596315181719224566[[#This Row],[PEG]],Table1016[#All],3,FALSE)</f>
        <v>Prompt</v>
      </c>
    </row>
    <row r="18" spans="1:5" x14ac:dyDescent="0.35">
      <c r="A18" s="118">
        <v>11</v>
      </c>
      <c r="B18" s="114" t="s">
        <v>114</v>
      </c>
      <c r="C18" s="109" t="s">
        <v>510</v>
      </c>
      <c r="D18" s="165"/>
      <c r="E18" s="125" t="e">
        <f>VLOOKUP(Table25755252691013434446474849565758596315181719224566[[#This Row],[PEG]],Table1016[#All],3,FALSE)</f>
        <v>#N/A</v>
      </c>
    </row>
    <row r="19" spans="1:5" x14ac:dyDescent="0.35">
      <c r="A19" s="118">
        <v>12</v>
      </c>
      <c r="B19" s="114" t="s">
        <v>115</v>
      </c>
      <c r="C19" s="109" t="str">
        <f>VLOOKUP(Table25755252691013434446474849565758596315181719224566[[#This Row],[PEG]],Table1016[#All],2,FALSE)</f>
        <v>I didn’t get that.</v>
      </c>
      <c r="D19" s="165" t="s">
        <v>365</v>
      </c>
      <c r="E19" s="125" t="str">
        <f>VLOOKUP(Table25755252691013434446474849565758596315181719224566[[#This Row],[PEG]],Table1016[#All],3,FALSE)</f>
        <v>Prompt</v>
      </c>
    </row>
    <row r="20" spans="1:5" x14ac:dyDescent="0.35">
      <c r="A20" s="118">
        <v>13</v>
      </c>
      <c r="B20" s="114" t="s">
        <v>115</v>
      </c>
      <c r="C20" s="109" t="str">
        <f>VLOOKUP(Table25755252691013434446474849565758596315181719224566[[#This Row],[PEG]],Table1016[#All],2,FALSE)</f>
        <v>Are you using Credit, Debit, Checking, or Savings?</v>
      </c>
      <c r="D20" s="165" t="s">
        <v>287</v>
      </c>
      <c r="E20" s="125" t="str">
        <f>VLOOKUP(Table25755252691013434446474849565758596315181719224566[[#This Row],[PEG]],Table1016[#All],3,FALSE)</f>
        <v>Prompt</v>
      </c>
    </row>
    <row r="21" spans="1:5" x14ac:dyDescent="0.35">
      <c r="A21" s="118">
        <v>14</v>
      </c>
      <c r="B21" s="114" t="s">
        <v>114</v>
      </c>
      <c r="C21" s="109" t="s">
        <v>510</v>
      </c>
      <c r="D21" s="165"/>
      <c r="E21" s="125" t="e">
        <f>VLOOKUP(Table25755252691013434446474849565758596315181719224566[[#This Row],[PEG]],Table1016[#All],3,FALSE)</f>
        <v>#N/A</v>
      </c>
    </row>
    <row r="22" spans="1:5" x14ac:dyDescent="0.35">
      <c r="A22" s="118">
        <v>15</v>
      </c>
      <c r="B22" s="114" t="s">
        <v>115</v>
      </c>
      <c r="C22" s="109" t="str">
        <f>VLOOKUP(Table25755252691013434446474849565758596315181719224566[[#This Row],[PEG]],Table1016[#All],2,FALSE)</f>
        <v>I still didn’t get that.</v>
      </c>
      <c r="D22" s="165" t="s">
        <v>366</v>
      </c>
      <c r="E22" s="125" t="str">
        <f>VLOOKUP(Table25755252691013434446474849565758596315181719224566[[#This Row],[PEG]],Table1016[#All],3,FALSE)</f>
        <v>Prompt</v>
      </c>
    </row>
    <row r="23" spans="1:5" ht="58" x14ac:dyDescent="0.35">
      <c r="A23" s="118">
        <v>16</v>
      </c>
      <c r="B23" s="114" t="s">
        <v>115</v>
      </c>
      <c r="C23" s="109" t="str">
        <f>VLOOKUP(Table25755252691013434446474849565758596315181719224566[[#This Row],[PEG]],Table1016[#All],2,FALSE)</f>
        <v>To use a credit card, press 1
Debit card, press 2
Checking account press 3
Savings account press 4</v>
      </c>
      <c r="D23" s="165" t="s">
        <v>288</v>
      </c>
      <c r="E23" s="125" t="str">
        <f>VLOOKUP(Table25755252691013434446474849565758596315181719224566[[#This Row],[PEG]],Table1016[#All],3,FALSE)</f>
        <v>Prompt</v>
      </c>
    </row>
    <row r="24" spans="1:5" x14ac:dyDescent="0.35">
      <c r="A24" s="118">
        <v>17</v>
      </c>
      <c r="B24" s="114" t="s">
        <v>114</v>
      </c>
      <c r="C24" s="109" t="s">
        <v>510</v>
      </c>
      <c r="D24" s="165"/>
      <c r="E24" s="125" t="e">
        <f>VLOOKUP(Table25755252691013434446474849565758596315181719224566[[#This Row],[PEG]],Table1016[#All],3,FALSE)</f>
        <v>#N/A</v>
      </c>
    </row>
    <row r="25" spans="1:5" ht="29" x14ac:dyDescent="0.35">
      <c r="A25" s="118">
        <v>18</v>
      </c>
      <c r="B25" s="114" t="s">
        <v>115</v>
      </c>
      <c r="C25" s="109" t="str">
        <f>VLOOKUP(Table25755252691013434446474849565758596315181719224566[[#This Row],[PEG]],Table1016[#All],2,FALSE)</f>
        <v>It seems you are having trouble. For future transactions you can also access your plan details, or manage your account online anytime at members.lacare.com. One moment while I get someone to help. Make sure to have your invoice available.</v>
      </c>
      <c r="D25" s="165" t="s">
        <v>361</v>
      </c>
      <c r="E25" s="125" t="str">
        <f>VLOOKUP(Table25755252691013434446474849565758596315181719224566[[#This Row],[PEG]],Table1016[#All],3,FALSE)</f>
        <v>Prompt</v>
      </c>
    </row>
    <row r="26" spans="1:5" x14ac:dyDescent="0.35">
      <c r="A26" s="118">
        <v>19</v>
      </c>
      <c r="B26" s="114" t="s">
        <v>13</v>
      </c>
      <c r="C26" s="109" t="s">
        <v>13</v>
      </c>
      <c r="D26" s="165"/>
      <c r="E26" s="125" t="e">
        <f>VLOOKUP(Table25755252691013434446474849565758596315181719224566[[#This Row],[PEG]],Table1016[#All],3,FALSE)</f>
        <v>#N/A</v>
      </c>
    </row>
    <row r="27" spans="1:5" x14ac:dyDescent="0.35">
      <c r="C27" s="26"/>
      <c r="D27" s="111" t="s">
        <v>0</v>
      </c>
    </row>
    <row r="28" spans="1:5" x14ac:dyDescent="0.35">
      <c r="C28" s="26"/>
    </row>
    <row r="29" spans="1:5" x14ac:dyDescent="0.35">
      <c r="C29" s="26"/>
    </row>
    <row r="30" spans="1:5" x14ac:dyDescent="0.35">
      <c r="C30" s="26"/>
    </row>
    <row r="31" spans="1:5" x14ac:dyDescent="0.35">
      <c r="C31" s="26"/>
    </row>
    <row r="32" spans="1:5" x14ac:dyDescent="0.35">
      <c r="C32" s="26"/>
    </row>
    <row r="33" spans="3:3" x14ac:dyDescent="0.35">
      <c r="C33" s="26"/>
    </row>
    <row r="34" spans="3:3" x14ac:dyDescent="0.35">
      <c r="C34" s="26"/>
    </row>
    <row r="35" spans="3:3" x14ac:dyDescent="0.35">
      <c r="C35" s="26"/>
    </row>
    <row r="36" spans="3:3" x14ac:dyDescent="0.35">
      <c r="C36" s="26"/>
    </row>
    <row r="37" spans="3:3" x14ac:dyDescent="0.35">
      <c r="C37" s="26"/>
    </row>
    <row r="38" spans="3:3" x14ac:dyDescent="0.35">
      <c r="C38" s="26"/>
    </row>
    <row r="39" spans="3:3" x14ac:dyDescent="0.35">
      <c r="C39" s="26"/>
    </row>
    <row r="40" spans="3:3" x14ac:dyDescent="0.35">
      <c r="C40" s="26"/>
    </row>
    <row r="41" spans="3:3" x14ac:dyDescent="0.35">
      <c r="C41" s="26"/>
    </row>
    <row r="42" spans="3:3" x14ac:dyDescent="0.35">
      <c r="C42" s="27"/>
    </row>
    <row r="43" spans="3:3" x14ac:dyDescent="0.35">
      <c r="C43" s="27"/>
    </row>
    <row r="44" spans="3:3" x14ac:dyDescent="0.35">
      <c r="C44" s="27"/>
    </row>
  </sheetData>
  <mergeCells count="1">
    <mergeCell ref="A1:B1"/>
  </mergeCells>
  <conditionalFormatting sqref="B22:B26">
    <cfRule type="containsText" dxfId="4845" priority="20" operator="containsText" text="Hear">
      <formula>NOT(ISERROR(SEARCH("Hear",B22)))</formula>
    </cfRule>
  </conditionalFormatting>
  <conditionalFormatting sqref="C27:C9983">
    <cfRule type="expression" dxfId="4844" priority="21">
      <formula>$B27="Dial"</formula>
    </cfRule>
    <cfRule type="expression" dxfId="4843" priority="23">
      <formula>$B27="HANGUP"</formula>
    </cfRule>
  </conditionalFormatting>
  <conditionalFormatting sqref="B8:B21">
    <cfRule type="containsText" dxfId="4842" priority="4" operator="containsText" text="Hear">
      <formula>NOT(ISERROR(SEARCH("Hear",B8)))</formula>
    </cfRule>
  </conditionalFormatting>
  <conditionalFormatting sqref="C10:C26">
    <cfRule type="expression" dxfId="4841" priority="1">
      <formula>$B10="Dial"</formula>
    </cfRule>
    <cfRule type="expression" dxfId="4840" priority="3">
      <formula>$B10="HANGUP"</formula>
    </cfRule>
  </conditionalFormatting>
  <conditionalFormatting sqref="C10:C26">
    <cfRule type="expression" dxfId="4839" priority="2">
      <formula>$B10="Speak"</formula>
    </cfRule>
  </conditionalFormatting>
  <hyperlinks>
    <hyperlink ref="A1" location="'Test Case Overview'!A1" display="Return to Test Case Overview" xr:uid="{00000000-0004-0000-2600-000000000000}"/>
  </hyperlinks>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expression" priority="17" id="{FAD1BE53-41AA-4B0C-8104-0B0A35BB2E2D}">
            <xm:f>'TC1'!$B8="HANGUP"</xm:f>
            <x14:dxf>
              <font>
                <b/>
                <i val="0"/>
              </font>
            </x14:dxf>
          </x14:cfRule>
          <x14:cfRule type="expression" priority="25" id="{0A80D8C0-EABE-42B4-9C4B-A88BD748A368}">
            <xm:f>'TC1'!$B8="Dial"</xm:f>
            <x14:dxf>
              <font>
                <b/>
                <i val="0"/>
                <color rgb="FFFF0000"/>
              </font>
            </x14:dxf>
          </x14:cfRule>
          <xm:sqref>C8</xm:sqref>
        </x14:conditionalFormatting>
        <x14:conditionalFormatting xmlns:xm="http://schemas.microsoft.com/office/excel/2006/main">
          <x14:cfRule type="expression" priority="26" id="{642CAE7D-E70C-4B91-BF05-1C29850610D6}">
            <xm:f>'TC1'!$B8="Speak"</xm:f>
            <x14:dxf>
              <font>
                <b/>
                <i val="0"/>
                <color rgb="FFFF0000"/>
              </font>
            </x14:dxf>
          </x14:cfRule>
          <xm:sqref>C8</xm:sqref>
        </x14:conditionalFormatting>
        <x14:conditionalFormatting xmlns:xm="http://schemas.microsoft.com/office/excel/2006/main">
          <x14:cfRule type="containsText" priority="1047" operator="containsText" text="WEB SERVICE" id="{7C6AB73E-6498-4AF4-9C21-BECD81998570}">
            <xm:f>NOT(ISERROR(SEARCH("WEB SERVICE",'TC1'!#REF!)))</xm:f>
            <x14:dxf>
              <font>
                <color rgb="FF9C0006"/>
              </font>
              <fill>
                <patternFill>
                  <bgColor rgb="FFFFC7CE"/>
                </patternFill>
              </fill>
            </x14:dxf>
          </x14:cfRule>
          <xm:sqref>E17:E26</xm:sqref>
        </x14:conditionalFormatting>
        <x14:conditionalFormatting xmlns:xm="http://schemas.microsoft.com/office/excel/2006/main">
          <x14:cfRule type="expression" priority="3872" id="{FAD1BE53-41AA-4B0C-8104-0B0A35BB2E2D}">
            <xm:f>'TC1'!#REF!="HANGUP"</xm:f>
            <x14:dxf>
              <font>
                <b/>
                <i val="0"/>
              </font>
            </x14:dxf>
          </x14:cfRule>
          <x14:cfRule type="expression" priority="3873" id="{0A80D8C0-EABE-42B4-9C4B-A88BD748A368}">
            <xm:f>'TC1'!#REF!="Dial"</xm:f>
            <x14:dxf>
              <font>
                <b/>
                <i val="0"/>
                <color rgb="FFFF0000"/>
              </font>
            </x14:dxf>
          </x14:cfRule>
          <xm:sqref>C9</xm:sqref>
        </x14:conditionalFormatting>
        <x14:conditionalFormatting xmlns:xm="http://schemas.microsoft.com/office/excel/2006/main">
          <x14:cfRule type="expression" priority="3878" id="{642CAE7D-E70C-4B91-BF05-1C29850610D6}">
            <xm:f>'TC1'!#REF!="Speak"</xm:f>
            <x14:dxf>
              <font>
                <b/>
                <i val="0"/>
                <color rgb="FFFF0000"/>
              </font>
            </x14:dxf>
          </x14:cfRule>
          <xm:sqref>C9</xm:sqref>
        </x14:conditionalFormatting>
        <x14:conditionalFormatting xmlns:xm="http://schemas.microsoft.com/office/excel/2006/main">
          <x14:cfRule type="containsText" priority="3880" operator="containsText" text="WEB SERVICE" id="{7C6AB73E-6498-4AF4-9C21-BECD81998570}">
            <xm:f>NOT(ISERROR(SEARCH("WEB SERVICE",'TC1'!#REF!)))</xm:f>
            <x14:dxf>
              <font>
                <color rgb="FF9C0006"/>
              </font>
              <fill>
                <patternFill>
                  <bgColor rgb="FFFFC7CE"/>
                </patternFill>
              </fill>
            </x14:dxf>
          </x14:cfRule>
          <xm:sqref>E9:E11</xm:sqref>
        </x14:conditionalFormatting>
        <x14:conditionalFormatting xmlns:xm="http://schemas.microsoft.com/office/excel/2006/main">
          <x14:cfRule type="containsText" priority="3881" operator="containsText" text="WEB SERVICE" id="{7C6AB73E-6498-4AF4-9C21-BECD81998570}">
            <xm:f>NOT(ISERROR(SEARCH("WEB SERVICE",'TC1'!E9)))</xm:f>
            <x14:dxf>
              <font>
                <color rgb="FF9C0006"/>
              </font>
              <fill>
                <patternFill>
                  <bgColor rgb="FFFFC7CE"/>
                </patternFill>
              </fill>
            </x14:dxf>
          </x14:cfRule>
          <xm:sqref>E12:E15</xm:sqref>
        </x14:conditionalFormatting>
        <x14:conditionalFormatting xmlns:xm="http://schemas.microsoft.com/office/excel/2006/main">
          <x14:cfRule type="containsText" priority="6409" operator="containsText" text="WEB SERVICE" id="{7C6AB73E-6498-4AF4-9C21-BECD81998570}">
            <xm:f>NOT(ISERROR(SEARCH("WEB SERVICE",'TC1'!E15)))</xm:f>
            <x14:dxf>
              <font>
                <color rgb="FF9C0006"/>
              </font>
              <fill>
                <patternFill>
                  <bgColor rgb="FFFFC7CE"/>
                </patternFill>
              </fill>
            </x14:dxf>
          </x14:cfRule>
          <xm:sqref>E16</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dimension ref="A1:E35"/>
  <sheetViews>
    <sheetView zoomScaleNormal="100" workbookViewId="0">
      <selection activeCell="D8" sqref="D8:D17"/>
    </sheetView>
  </sheetViews>
  <sheetFormatPr defaultRowHeight="14.5" x14ac:dyDescent="0.35"/>
  <cols>
    <col min="1" max="1" width="14.453125" style="97" bestFit="1" customWidth="1"/>
    <col min="2" max="2" width="42.6328125" style="97" customWidth="1"/>
    <col min="3" max="3" width="106.1796875" style="98" customWidth="1"/>
    <col min="4" max="4" width="21.81640625" style="111" bestFit="1" customWidth="1"/>
    <col min="5" max="5" width="20.6328125" style="97" customWidth="1"/>
  </cols>
  <sheetData>
    <row r="1" spans="1:5" ht="18.5" x14ac:dyDescent="0.35">
      <c r="A1" s="192" t="s">
        <v>4</v>
      </c>
      <c r="B1" s="192"/>
      <c r="C1" s="105"/>
    </row>
    <row r="2" spans="1:5" x14ac:dyDescent="0.35">
      <c r="A2" s="106" t="s">
        <v>5</v>
      </c>
      <c r="B2" s="107" t="str">
        <f ca="1">MID(CELL("filename",A1),FIND("]",CELL("filename",A1))+1,LEN(CELL("filename",A1))-FIND("]",CELL("filename",A1)))</f>
        <v>TC3</v>
      </c>
    </row>
    <row r="3" spans="1:5" x14ac:dyDescent="0.35">
      <c r="A3" s="104" t="s">
        <v>19</v>
      </c>
      <c r="B3" s="112">
        <f ca="1">VLOOKUP(B2,Table1[#All],2,FALSE)</f>
        <v>0</v>
      </c>
    </row>
    <row r="4" spans="1:5" ht="29" x14ac:dyDescent="0.35">
      <c r="A4" s="113" t="s">
        <v>20</v>
      </c>
      <c r="B4" s="99" t="str">
        <f ca="1">VLOOKUP(B2,Table1[#All],4,FALSE)</f>
        <v>Current Due, No Stored Pmt Mthd Pay In Full</v>
      </c>
    </row>
    <row r="5" spans="1:5" x14ac:dyDescent="0.35">
      <c r="A5" s="104" t="s">
        <v>6</v>
      </c>
      <c r="B5" s="93" t="str">
        <f ca="1">VLOOKUP(B2,Table1[#All],3,FALSE)</f>
        <v>Account - Future Active</v>
      </c>
    </row>
    <row r="7" spans="1:5" ht="15.5" x14ac:dyDescent="0.35">
      <c r="A7" s="100" t="s">
        <v>7</v>
      </c>
      <c r="B7" s="101" t="s">
        <v>8</v>
      </c>
      <c r="C7" s="102" t="s">
        <v>9</v>
      </c>
      <c r="D7" s="102" t="s">
        <v>14</v>
      </c>
      <c r="E7" s="103" t="s">
        <v>10</v>
      </c>
    </row>
    <row r="8" spans="1:5" s="97" customFormat="1" x14ac:dyDescent="0.35">
      <c r="A8" s="118">
        <v>1</v>
      </c>
      <c r="B8" s="114" t="s">
        <v>114</v>
      </c>
      <c r="C8" s="127" t="s">
        <v>240</v>
      </c>
      <c r="D8" s="128"/>
      <c r="E8" s="125" t="s">
        <v>11</v>
      </c>
    </row>
    <row r="9" spans="1:5" s="97" customFormat="1" x14ac:dyDescent="0.35">
      <c r="A9" s="118">
        <v>2</v>
      </c>
      <c r="B9" s="114" t="s">
        <v>115</v>
      </c>
      <c r="C9" s="109" t="str">
        <f>VLOOKUP(Table257552526910[[#This Row],[PEG]],Table1016[#All],2,FALSE)</f>
        <v>To get started, tell me your Account Number</v>
      </c>
      <c r="D9" s="141" t="s">
        <v>245</v>
      </c>
      <c r="E9" s="125" t="str">
        <f>VLOOKUP(Table257552526910[[#This Row],[PEG]],Table1016[#All],3,FALSE)</f>
        <v>Prompt</v>
      </c>
    </row>
    <row r="10" spans="1:5" s="97" customFormat="1" x14ac:dyDescent="0.35">
      <c r="A10" s="118">
        <v>3</v>
      </c>
      <c r="B10" s="114" t="s">
        <v>124</v>
      </c>
      <c r="C10" s="109"/>
      <c r="D10" s="128"/>
      <c r="E10" s="125" t="e">
        <f>VLOOKUP(Table257552526910[[#This Row],[PEG]],Table1016[#All],3,FALSE)</f>
        <v>#N/A</v>
      </c>
    </row>
    <row r="11" spans="1:5" s="97" customFormat="1" ht="174" x14ac:dyDescent="0.35">
      <c r="A11" s="118">
        <v>4</v>
      </c>
      <c r="B11" s="114" t="s">
        <v>12</v>
      </c>
      <c r="C11" s="109" t="str">
        <f>VLOOKUP(Table257552526910[[#This Row],[PEG]],Table1016[#All],2,FALSE)</f>
        <v>SAP HANA – SAP01_GetMember
inputs:
idnumber = iIdnumber	T
idtype 	= iIdtype
outputs:
~ Billing Reference
~ Enrollment Details
~ Billing Details
~ Last Payment
~ Recurring Payment Method
~ Stored Payment Method</v>
      </c>
      <c r="D11" s="141" t="s">
        <v>371</v>
      </c>
      <c r="E11" s="125"/>
    </row>
    <row r="12" spans="1:5" s="97" customFormat="1" x14ac:dyDescent="0.35">
      <c r="A12" s="118">
        <v>5</v>
      </c>
      <c r="B12" s="114" t="s">
        <v>115</v>
      </c>
      <c r="C12" s="109" t="str">
        <f>VLOOKUP(Table257552526910[[#This Row],[PEG]],Table1016[#All],2,FALSE)</f>
        <v>Thanks, I found your account!</v>
      </c>
      <c r="D12" s="141" t="s">
        <v>248</v>
      </c>
      <c r="E12" s="125" t="str">
        <f>VLOOKUP(Table257552526910[[#This Row],[PEG]],Table1016[#All],3,FALSE)</f>
        <v>Prompt</v>
      </c>
    </row>
    <row r="13" spans="1:5" x14ac:dyDescent="0.35">
      <c r="A13" s="118">
        <v>6</v>
      </c>
      <c r="B13" s="114" t="s">
        <v>115</v>
      </c>
      <c r="C13" s="109" t="str">
        <f>VLOOKUP(Table257552526910[[#This Row],[PEG]],Table1016[#All],2,FALSE)</f>
        <v>Your one-time initial payment of &lt;SAP01_CurrentDue&gt; is due by &lt;SAP01_Duedate&gt;</v>
      </c>
      <c r="D13" s="142" t="s">
        <v>256</v>
      </c>
      <c r="E13" s="125" t="str">
        <f>VLOOKUP(Table257552526910[[#This Row],[PEG]],Table1016[#All],3,FALSE)</f>
        <v>Prompt</v>
      </c>
    </row>
    <row r="14" spans="1:5" x14ac:dyDescent="0.35">
      <c r="A14" s="118">
        <v>7</v>
      </c>
      <c r="B14" s="114" t="s">
        <v>115</v>
      </c>
      <c r="C14" s="109" t="str">
        <f>VLOOKUP(Table257552526910[[#This Row],[PEG]],Table1016[#All],2,FALSE)</f>
        <v>Would you like to pay this in full today?</v>
      </c>
      <c r="D14" s="142" t="s">
        <v>260</v>
      </c>
      <c r="E14" s="125" t="str">
        <f>VLOOKUP(Table257552526910[[#This Row],[PEG]],Table1016[#All],3,FALSE)</f>
        <v>Prompt</v>
      </c>
    </row>
    <row r="15" spans="1:5" x14ac:dyDescent="0.35">
      <c r="A15" s="118">
        <v>8</v>
      </c>
      <c r="B15" s="114" t="s">
        <v>124</v>
      </c>
      <c r="C15" s="109" t="s">
        <v>388</v>
      </c>
      <c r="D15" s="143"/>
      <c r="E15" s="125" t="e">
        <f>VLOOKUP(Table257552526910[[#This Row],[PEG]],Table1016[#All],3,FALSE)</f>
        <v>#N/A</v>
      </c>
    </row>
    <row r="16" spans="1:5" x14ac:dyDescent="0.35">
      <c r="A16" s="118">
        <v>9</v>
      </c>
      <c r="B16" s="114" t="s">
        <v>115</v>
      </c>
      <c r="C16" s="109" t="str">
        <f>VLOOKUP(Table257552526910[[#This Row],[PEG]],Table1016[#All],2,FALSE)</f>
        <v>Ok, are you using Credit, Debit, Checking or Savings?</v>
      </c>
      <c r="D16" s="143" t="s">
        <v>286</v>
      </c>
      <c r="E16" s="125" t="str">
        <f>VLOOKUP(Table257552526910[[#This Row],[PEG]],Table1016[#All],3,FALSE)</f>
        <v>Prompt</v>
      </c>
    </row>
    <row r="17" spans="1:5" x14ac:dyDescent="0.35">
      <c r="A17" s="118">
        <v>10</v>
      </c>
      <c r="B17" s="114" t="s">
        <v>13</v>
      </c>
      <c r="C17" s="127" t="s">
        <v>13</v>
      </c>
      <c r="D17" s="117"/>
      <c r="E17" s="125" t="e">
        <f>VLOOKUP(Table257552526910[[#This Row],[PEG]],Table1016[#All],3,FALSE)</f>
        <v>#N/A</v>
      </c>
    </row>
    <row r="18" spans="1:5" x14ac:dyDescent="0.35">
      <c r="C18" s="26"/>
      <c r="D18" s="111" t="s">
        <v>0</v>
      </c>
    </row>
    <row r="19" spans="1:5" x14ac:dyDescent="0.35">
      <c r="C19" s="26"/>
    </row>
    <row r="20" spans="1:5" x14ac:dyDescent="0.35">
      <c r="C20" s="26"/>
    </row>
    <row r="21" spans="1:5" x14ac:dyDescent="0.35">
      <c r="C21" s="26"/>
    </row>
    <row r="22" spans="1:5" x14ac:dyDescent="0.35">
      <c r="C22" s="26"/>
    </row>
    <row r="23" spans="1:5" x14ac:dyDescent="0.35">
      <c r="C23" s="26"/>
    </row>
    <row r="24" spans="1:5" x14ac:dyDescent="0.35">
      <c r="C24" s="26"/>
    </row>
    <row r="25" spans="1:5" x14ac:dyDescent="0.35">
      <c r="C25" s="26"/>
    </row>
    <row r="26" spans="1:5" x14ac:dyDescent="0.35">
      <c r="C26" s="26"/>
    </row>
    <row r="27" spans="1:5" x14ac:dyDescent="0.35">
      <c r="C27" s="26"/>
    </row>
    <row r="28" spans="1:5" x14ac:dyDescent="0.35">
      <c r="C28" s="26"/>
    </row>
    <row r="29" spans="1:5" x14ac:dyDescent="0.35">
      <c r="C29" s="26"/>
    </row>
    <row r="30" spans="1:5" x14ac:dyDescent="0.35">
      <c r="C30" s="26"/>
    </row>
    <row r="31" spans="1:5" x14ac:dyDescent="0.35">
      <c r="C31" s="26"/>
    </row>
    <row r="32" spans="1:5" x14ac:dyDescent="0.35">
      <c r="C32" s="26"/>
    </row>
    <row r="33" spans="3:3" x14ac:dyDescent="0.35">
      <c r="C33" s="27"/>
    </row>
    <row r="34" spans="3:3" x14ac:dyDescent="0.35">
      <c r="C34" s="27"/>
    </row>
    <row r="35" spans="3:3" x14ac:dyDescent="0.35">
      <c r="C35" s="27"/>
    </row>
  </sheetData>
  <mergeCells count="1">
    <mergeCell ref="A1:B1"/>
  </mergeCells>
  <conditionalFormatting sqref="C18:C9974">
    <cfRule type="expression" dxfId="5937" priority="49">
      <formula>$B18="Dial"</formula>
    </cfRule>
    <cfRule type="expression" dxfId="5936" priority="51">
      <formula>$B18="HANGUP"</formula>
    </cfRule>
  </conditionalFormatting>
  <conditionalFormatting sqref="C17">
    <cfRule type="expression" dxfId="5935" priority="11">
      <formula>$B17="Dial"</formula>
    </cfRule>
    <cfRule type="expression" dxfId="5934" priority="12">
      <formula>$B17="HANGUP"</formula>
    </cfRule>
  </conditionalFormatting>
  <conditionalFormatting sqref="B9:B17">
    <cfRule type="containsText" dxfId="5933" priority="15" operator="containsText" text="Hear">
      <formula>NOT(ISERROR(SEARCH("Hear",B9)))</formula>
    </cfRule>
  </conditionalFormatting>
  <conditionalFormatting sqref="C16 C9:C14">
    <cfRule type="expression" dxfId="5932" priority="16">
      <formula>$B9="Dial"</formula>
    </cfRule>
    <cfRule type="expression" dxfId="5931" priority="18">
      <formula>$B9="HANGUP"</formula>
    </cfRule>
  </conditionalFormatting>
  <conditionalFormatting sqref="C16 C9:C14">
    <cfRule type="expression" dxfId="5930" priority="17">
      <formula>$B9="Speak"</formula>
    </cfRule>
  </conditionalFormatting>
  <conditionalFormatting sqref="B8">
    <cfRule type="containsText" dxfId="5929" priority="6" operator="containsText" text="Hear">
      <formula>NOT(ISERROR(SEARCH("Hear",B8)))</formula>
    </cfRule>
  </conditionalFormatting>
  <conditionalFormatting sqref="C8">
    <cfRule type="expression" dxfId="5928" priority="4">
      <formula>$B8="Dial"</formula>
    </cfRule>
    <cfRule type="expression" dxfId="5927" priority="5">
      <formula>$B8="HANGUP"</formula>
    </cfRule>
  </conditionalFormatting>
  <conditionalFormatting sqref="C15">
    <cfRule type="expression" dxfId="5926" priority="1">
      <formula>$B15="Dial"</formula>
    </cfRule>
    <cfRule type="expression" dxfId="5925" priority="3">
      <formula>$B15="HANGUP"</formula>
    </cfRule>
  </conditionalFormatting>
  <conditionalFormatting sqref="C15">
    <cfRule type="expression" dxfId="5924" priority="2">
      <formula>$B15="Speak"</formula>
    </cfRule>
  </conditionalFormatting>
  <hyperlinks>
    <hyperlink ref="A1" location="'Test Case Overview'!A1" display="Return to Test Case Overview" xr:uid="{00000000-0004-0000-0300-000000000000}"/>
  </hyperlinks>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containsText" priority="702" operator="containsText" text="WEB SERVICE" id="{2257C688-3AA7-494E-B486-7F61C3592F68}">
            <xm:f>NOT(ISERROR(SEARCH("WEB SERVICE",'TC1'!#REF!)))</xm:f>
            <x14:dxf>
              <font>
                <color rgb="FF9C0006"/>
              </font>
              <fill>
                <patternFill>
                  <bgColor rgb="FFFFC7CE"/>
                </patternFill>
              </fill>
            </x14:dxf>
          </x14:cfRule>
          <x14:cfRule type="containsText" priority="703" operator="containsText" text="DB" id="{FDF9F0EB-A709-4B01-BC68-EE7FF9482F94}">
            <xm:f>NOT(ISERROR(SEARCH("DB",'TC1'!#REF!)))</xm:f>
            <x14:dxf>
              <font>
                <color rgb="FF006100"/>
              </font>
              <fill>
                <patternFill>
                  <bgColor rgb="FFC6EFCE"/>
                </patternFill>
              </fill>
            </x14:dxf>
          </x14:cfRule>
          <xm:sqref>E15:E17</xm:sqref>
        </x14:conditionalFormatting>
        <x14:conditionalFormatting xmlns:xm="http://schemas.microsoft.com/office/excel/2006/main">
          <x14:cfRule type="containsText" priority="3520" operator="containsText" text="WEB SERVICE" id="{2257C688-3AA7-494E-B486-7F61C3592F68}">
            <xm:f>NOT(ISERROR(SEARCH("WEB SERVICE",'TC1'!E11)))</xm:f>
            <x14:dxf>
              <font>
                <color rgb="FF9C0006"/>
              </font>
              <fill>
                <patternFill>
                  <bgColor rgb="FFFFC7CE"/>
                </patternFill>
              </fill>
            </x14:dxf>
          </x14:cfRule>
          <x14:cfRule type="containsText" priority="3521" operator="containsText" text="DB" id="{FDF9F0EB-A709-4B01-BC68-EE7FF9482F94}">
            <xm:f>NOT(ISERROR(SEARCH("DB",'TC1'!E11)))</xm:f>
            <x14:dxf>
              <font>
                <color rgb="FF006100"/>
              </font>
              <fill>
                <patternFill>
                  <bgColor rgb="FFC6EFCE"/>
                </patternFill>
              </fill>
            </x14:dxf>
          </x14:cfRule>
          <xm:sqref>E12:E13</xm:sqref>
        </x14:conditionalFormatting>
        <x14:conditionalFormatting xmlns:xm="http://schemas.microsoft.com/office/excel/2006/main">
          <x14:cfRule type="containsText" priority="3561" operator="containsText" text="WEB SERVICE" id="{2257C688-3AA7-494E-B486-7F61C3592F68}">
            <xm:f>NOT(ISERROR(SEARCH("WEB SERVICE",'TC1'!E15)))</xm:f>
            <x14:dxf>
              <font>
                <color rgb="FF9C0006"/>
              </font>
              <fill>
                <patternFill>
                  <bgColor rgb="FFFFC7CE"/>
                </patternFill>
              </fill>
            </x14:dxf>
          </x14:cfRule>
          <x14:cfRule type="containsText" priority="3562" operator="containsText" text="DB" id="{FDF9F0EB-A709-4B01-BC68-EE7FF9482F94}">
            <xm:f>NOT(ISERROR(SEARCH("DB",'TC1'!E15)))</xm:f>
            <x14:dxf>
              <font>
                <color rgb="FF006100"/>
              </font>
              <fill>
                <patternFill>
                  <bgColor rgb="FFC6EFCE"/>
                </patternFill>
              </fill>
            </x14:dxf>
          </x14:cfRule>
          <xm:sqref>E14</xm:sqref>
        </x14:conditionalFormatting>
        <x14:conditionalFormatting xmlns:xm="http://schemas.microsoft.com/office/excel/2006/main">
          <x14:cfRule type="containsText" priority="8262" operator="containsText" text="WEB SERVICE" id="{2257C688-3AA7-494E-B486-7F61C3592F68}">
            <xm:f>NOT(ISERROR(SEARCH("WEB SERVICE",'TC1'!E9)))</xm:f>
            <x14:dxf>
              <font>
                <color rgb="FF9C0006"/>
              </font>
              <fill>
                <patternFill>
                  <bgColor rgb="FFFFC7CE"/>
                </patternFill>
              </fill>
            </x14:dxf>
          </x14:cfRule>
          <x14:cfRule type="containsText" priority="8263" operator="containsText" text="DB" id="{FDF9F0EB-A709-4B01-BC68-EE7FF9482F94}">
            <xm:f>NOT(ISERROR(SEARCH("DB",'TC1'!E9)))</xm:f>
            <x14:dxf>
              <font>
                <color rgb="FF006100"/>
              </font>
              <fill>
                <patternFill>
                  <bgColor rgb="FFC6EFCE"/>
                </patternFill>
              </fill>
            </x14:dxf>
          </x14:cfRule>
          <xm:sqref>E9:E11</xm:sqref>
        </x14:conditionalFormatting>
      </x14:conditionalFormattings>
    </ext>
  </extLst>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41"/>
  <dimension ref="A1:E44"/>
  <sheetViews>
    <sheetView zoomScaleNormal="100" workbookViewId="0">
      <selection sqref="A1:B1"/>
    </sheetView>
  </sheetViews>
  <sheetFormatPr defaultRowHeight="14.5" x14ac:dyDescent="0.35"/>
  <cols>
    <col min="1" max="1" width="14.453125" style="97" bestFit="1" customWidth="1"/>
    <col min="2" max="2" width="42.6328125" style="97" customWidth="1"/>
    <col min="3" max="3" width="106.1796875" style="98" customWidth="1"/>
    <col min="4" max="4" width="21.81640625" style="111" bestFit="1" customWidth="1"/>
    <col min="5" max="5" width="20.6328125" style="97" customWidth="1"/>
  </cols>
  <sheetData>
    <row r="1" spans="1:5" ht="18.5" x14ac:dyDescent="0.35">
      <c r="A1" s="192" t="s">
        <v>4</v>
      </c>
      <c r="B1" s="192"/>
      <c r="C1" s="105"/>
    </row>
    <row r="2" spans="1:5" x14ac:dyDescent="0.35">
      <c r="A2" s="106" t="s">
        <v>5</v>
      </c>
      <c r="B2" s="107" t="str">
        <f ca="1">MID(CELL("filename",A1),FIND("]",CELL("filename",A1))+1,LEN(CELL("filename",A1))-FIND("]",CELL("filename",A1)))</f>
        <v>TC39</v>
      </c>
    </row>
    <row r="3" spans="1:5" x14ac:dyDescent="0.35">
      <c r="A3" s="104" t="s">
        <v>19</v>
      </c>
      <c r="B3" s="112">
        <f ca="1">VLOOKUP(B2,Table53[#All],2,FALSE)</f>
        <v>0</v>
      </c>
    </row>
    <row r="4" spans="1:5" ht="29" x14ac:dyDescent="0.35">
      <c r="A4" s="113" t="s">
        <v>20</v>
      </c>
      <c r="B4" s="99" t="str">
        <f ca="1">VLOOKUP(B2,Table53[#All],4,FALSE)</f>
        <v>No Recurring, Last Pmt, Current Due, No Stored Mthd</v>
      </c>
    </row>
    <row r="5" spans="1:5" x14ac:dyDescent="0.35">
      <c r="A5" s="104" t="s">
        <v>6</v>
      </c>
      <c r="B5" s="93" t="str">
        <f ca="1">VLOOKUP(B2,Table53[#All],3,FALSE)</f>
        <v>Get Pmt Method No Match x3</v>
      </c>
    </row>
    <row r="7" spans="1:5" ht="15.5" x14ac:dyDescent="0.35">
      <c r="A7" s="100" t="s">
        <v>7</v>
      </c>
      <c r="B7" s="101" t="s">
        <v>8</v>
      </c>
      <c r="C7" s="102" t="s">
        <v>9</v>
      </c>
      <c r="D7" s="102" t="s">
        <v>14</v>
      </c>
      <c r="E7" s="103" t="s">
        <v>10</v>
      </c>
    </row>
    <row r="8" spans="1:5" x14ac:dyDescent="0.35">
      <c r="A8" s="118">
        <v>1</v>
      </c>
      <c r="B8" s="114" t="s">
        <v>114</v>
      </c>
      <c r="C8" s="109" t="s">
        <v>125</v>
      </c>
      <c r="D8" s="128"/>
      <c r="E8" s="125" t="s">
        <v>11</v>
      </c>
    </row>
    <row r="9" spans="1:5" x14ac:dyDescent="0.35">
      <c r="A9" s="118">
        <v>2</v>
      </c>
      <c r="B9" s="114" t="s">
        <v>115</v>
      </c>
      <c r="C9" s="109" t="str">
        <f>VLOOKUP(Table2575525269101343444647484956575859631518171922456667[[#This Row],[PEG]],Table1016[#All],2,FALSE)</f>
        <v>To get started, tell me your Account Number</v>
      </c>
      <c r="D9" s="141" t="s">
        <v>245</v>
      </c>
      <c r="E9" s="125" t="str">
        <f>VLOOKUP(Table2575525269101343444647484956575859631518171922456667[[#This Row],[PEG]],Table1016[#All],3,FALSE)</f>
        <v>Prompt</v>
      </c>
    </row>
    <row r="10" spans="1:5" x14ac:dyDescent="0.35">
      <c r="A10" s="118">
        <v>3</v>
      </c>
      <c r="B10" s="114" t="s">
        <v>114</v>
      </c>
      <c r="C10" s="109" t="s">
        <v>412</v>
      </c>
      <c r="D10" s="141"/>
      <c r="E10" s="125" t="e">
        <f>VLOOKUP(Table2575525269101343444647484956575859631518171922456667[[#This Row],[PEG]],Table1016[#All],3,FALSE)</f>
        <v>#N/A</v>
      </c>
    </row>
    <row r="11" spans="1:5" ht="174" x14ac:dyDescent="0.35">
      <c r="A11" s="118">
        <v>4</v>
      </c>
      <c r="B11" s="114" t="s">
        <v>12</v>
      </c>
      <c r="C11" s="109" t="str">
        <f>VLOOKUP(Table2575525269101343444647484956575859631518171922456667[[#This Row],[PEG]],Table1016[#All],2,FALSE)</f>
        <v>SAP HANA – SAP01_GetMember
inputs:
idnumber = iIdnumber	T
idtype 	= iIdtype
outputs:
~ Billing Reference
~ Enrollment Details
~ Billing Details
~ Last Payment
~ Recurring Payment Method
~ Stored Payment Method</v>
      </c>
      <c r="D11" s="141" t="s">
        <v>371</v>
      </c>
      <c r="E11" s="125" t="str">
        <f>VLOOKUP(Table2575525269101343444647484956575859631518171922456667[[#This Row],[PEG]],Table1016[#All],3,FALSE)</f>
        <v>DB</v>
      </c>
    </row>
    <row r="12" spans="1:5" x14ac:dyDescent="0.35">
      <c r="A12" s="118">
        <v>5</v>
      </c>
      <c r="B12" s="114" t="s">
        <v>115</v>
      </c>
      <c r="C12" s="109" t="str">
        <f>VLOOKUP(Table2575525269101343444647484956575859631518171922456667[[#This Row],[PEG]],Table1016[#All],2,FALSE)</f>
        <v>Thanks, I found your account!</v>
      </c>
      <c r="D12" s="141" t="s">
        <v>248</v>
      </c>
      <c r="E12" s="125" t="str">
        <f>VLOOKUP(Table2575525269101343444647484956575859631518171922456667[[#This Row],[PEG]],Table1016[#All],3,FALSE)</f>
        <v>Prompt</v>
      </c>
    </row>
    <row r="13" spans="1:5" x14ac:dyDescent="0.35">
      <c r="A13" s="118">
        <v>6</v>
      </c>
      <c r="B13" s="114" t="s">
        <v>115</v>
      </c>
      <c r="C13" s="109" t="str">
        <f>VLOOKUP(Table2575525269101343444647484956575859631518171922456667[[#This Row],[PEG]],Table1016[#All],2,FALSE)</f>
        <v>Your last payment of &lt;SAP01_ivrLastPaymentAmount&gt; was received on &lt;SAP01_ivrLastPaymentDate&gt;</v>
      </c>
      <c r="D13" s="141" t="s">
        <v>257</v>
      </c>
      <c r="E13" s="125" t="str">
        <f>VLOOKUP(Table2575525269101343444647484956575859631518171922456667[[#This Row],[PEG]],Table1016[#All],3,FALSE)</f>
        <v>Prompt</v>
      </c>
    </row>
    <row r="14" spans="1:5" x14ac:dyDescent="0.35">
      <c r="A14" s="118">
        <v>7</v>
      </c>
      <c r="B14" s="114" t="s">
        <v>115</v>
      </c>
      <c r="C14" s="109" t="str">
        <f>VLOOKUP(Table2575525269101343444647484956575859631518171922456667[[#This Row],[PEG]],Table1016[#All],2,FALSE)</f>
        <v>A current balance of &lt;SAP01_CurrentDue&gt; is due by &lt;SAP01_Duedate&gt;.</v>
      </c>
      <c r="D14" s="141" t="s">
        <v>258</v>
      </c>
      <c r="E14" s="125" t="str">
        <f>VLOOKUP(Table2575525269101343444647484956575859631518171922456667[[#This Row],[PEG]],Table1016[#All],3,FALSE)</f>
        <v>Prompt</v>
      </c>
    </row>
    <row r="15" spans="1:5" x14ac:dyDescent="0.35">
      <c r="A15" s="118">
        <v>8</v>
      </c>
      <c r="B15" s="114" t="s">
        <v>115</v>
      </c>
      <c r="C15" s="109" t="str">
        <f>VLOOKUP(Table2575525269101343444647484956575859631518171922456667[[#This Row],[PEG]],Table1016[#All],2,FALSE)</f>
        <v>Would you like to pay this in full today?</v>
      </c>
      <c r="D15" s="164" t="s">
        <v>260</v>
      </c>
      <c r="E15" s="125" t="str">
        <f>VLOOKUP(Table2575525269101343444647484956575859631518171922456667[[#This Row],[PEG]],Table1016[#All],3,FALSE)</f>
        <v>Prompt</v>
      </c>
    </row>
    <row r="16" spans="1:5" x14ac:dyDescent="0.35">
      <c r="A16" s="118">
        <v>9</v>
      </c>
      <c r="B16" s="114" t="s">
        <v>114</v>
      </c>
      <c r="C16" s="109">
        <v>1</v>
      </c>
      <c r="D16" s="164"/>
      <c r="E16" s="125" t="e">
        <f>VLOOKUP(Table2575525269101343444647484956575859631518171922456667[[#This Row],[PEG]],Table1016[#All],3,FALSE)</f>
        <v>#N/A</v>
      </c>
    </row>
    <row r="17" spans="1:5" x14ac:dyDescent="0.35">
      <c r="A17" s="118">
        <v>10</v>
      </c>
      <c r="B17" s="114" t="s">
        <v>115</v>
      </c>
      <c r="C17" s="109" t="str">
        <f>VLOOKUP(Table2575525269101343444647484956575859631518171922456667[[#This Row],[PEG]],Table1016[#All],2,FALSE)</f>
        <v>Ok, are you using Credit, Debit, Checking or Savings?</v>
      </c>
      <c r="D17" s="165" t="s">
        <v>286</v>
      </c>
      <c r="E17" s="125" t="str">
        <f>VLOOKUP(Table2575525269101343444647484956575859631518171922456667[[#This Row],[PEG]],Table1016[#All],3,FALSE)</f>
        <v>Prompt</v>
      </c>
    </row>
    <row r="18" spans="1:5" x14ac:dyDescent="0.35">
      <c r="A18" s="118">
        <v>11</v>
      </c>
      <c r="B18" s="114" t="s">
        <v>114</v>
      </c>
      <c r="C18" s="109">
        <v>8</v>
      </c>
      <c r="D18" s="165"/>
      <c r="E18" s="125" t="e">
        <f>VLOOKUP(Table2575525269101343444647484956575859631518171922456667[[#This Row],[PEG]],Table1016[#All],3,FALSE)</f>
        <v>#N/A</v>
      </c>
    </row>
    <row r="19" spans="1:5" x14ac:dyDescent="0.35">
      <c r="A19" s="118">
        <v>12</v>
      </c>
      <c r="B19" s="114" t="s">
        <v>115</v>
      </c>
      <c r="C19" s="109" t="str">
        <f>VLOOKUP(Table2575525269101343444647484956575859631518171922456667[[#This Row],[PEG]],Table1016[#All],2,FALSE)</f>
        <v>Sorry, I didn’t understand.</v>
      </c>
      <c r="D19" s="165" t="s">
        <v>367</v>
      </c>
      <c r="E19" s="125" t="str">
        <f>VLOOKUP(Table2575525269101343444647484956575859631518171922456667[[#This Row],[PEG]],Table1016[#All],3,FALSE)</f>
        <v>Prompt</v>
      </c>
    </row>
    <row r="20" spans="1:5" x14ac:dyDescent="0.35">
      <c r="A20" s="118">
        <v>13</v>
      </c>
      <c r="B20" s="114" t="s">
        <v>115</v>
      </c>
      <c r="C20" s="109" t="str">
        <f>VLOOKUP(Table2575525269101343444647484956575859631518171922456667[[#This Row],[PEG]],Table1016[#All],2,FALSE)</f>
        <v>Are you using Credit, Debit, Checking, or Savings?</v>
      </c>
      <c r="D20" s="165" t="s">
        <v>287</v>
      </c>
      <c r="E20" s="125" t="str">
        <f>VLOOKUP(Table2575525269101343444647484956575859631518171922456667[[#This Row],[PEG]],Table1016[#All],3,FALSE)</f>
        <v>Prompt</v>
      </c>
    </row>
    <row r="21" spans="1:5" x14ac:dyDescent="0.35">
      <c r="A21" s="118">
        <v>14</v>
      </c>
      <c r="B21" s="114" t="s">
        <v>114</v>
      </c>
      <c r="C21" s="109">
        <v>8</v>
      </c>
      <c r="D21" s="165"/>
      <c r="E21" s="125" t="e">
        <f>VLOOKUP(Table2575525269101343444647484956575859631518171922456667[[#This Row],[PEG]],Table1016[#All],3,FALSE)</f>
        <v>#N/A</v>
      </c>
    </row>
    <row r="22" spans="1:5" x14ac:dyDescent="0.35">
      <c r="A22" s="118">
        <v>15</v>
      </c>
      <c r="B22" s="114" t="s">
        <v>115</v>
      </c>
      <c r="C22" s="109" t="str">
        <f>VLOOKUP(Table2575525269101343444647484956575859631518171922456667[[#This Row],[PEG]],Table1016[#All],2,FALSE)</f>
        <v>Let’s try that one more time.</v>
      </c>
      <c r="D22" s="165" t="s">
        <v>368</v>
      </c>
      <c r="E22" s="125" t="str">
        <f>VLOOKUP(Table2575525269101343444647484956575859631518171922456667[[#This Row],[PEG]],Table1016[#All],3,FALSE)</f>
        <v>Prompt</v>
      </c>
    </row>
    <row r="23" spans="1:5" ht="58" x14ac:dyDescent="0.35">
      <c r="A23" s="118">
        <v>16</v>
      </c>
      <c r="B23" s="114" t="s">
        <v>115</v>
      </c>
      <c r="C23" s="109" t="str">
        <f>VLOOKUP(Table2575525269101343444647484956575859631518171922456667[[#This Row],[PEG]],Table1016[#All],2,FALSE)</f>
        <v>To use a credit card, press 1
Debit card, press 2
Checking account press 3
Savings account press 4</v>
      </c>
      <c r="D23" s="165" t="s">
        <v>288</v>
      </c>
      <c r="E23" s="125" t="str">
        <f>VLOOKUP(Table2575525269101343444647484956575859631518171922456667[[#This Row],[PEG]],Table1016[#All],3,FALSE)</f>
        <v>Prompt</v>
      </c>
    </row>
    <row r="24" spans="1:5" x14ac:dyDescent="0.35">
      <c r="A24" s="118">
        <v>17</v>
      </c>
      <c r="B24" s="114" t="s">
        <v>114</v>
      </c>
      <c r="C24" s="109">
        <v>8</v>
      </c>
      <c r="D24" s="165"/>
      <c r="E24" s="125" t="e">
        <f>VLOOKUP(Table2575525269101343444647484956575859631518171922456667[[#This Row],[PEG]],Table1016[#All],3,FALSE)</f>
        <v>#N/A</v>
      </c>
    </row>
    <row r="25" spans="1:5" ht="29" x14ac:dyDescent="0.35">
      <c r="A25" s="118">
        <v>18</v>
      </c>
      <c r="B25" s="114" t="s">
        <v>115</v>
      </c>
      <c r="C25" s="109" t="str">
        <f>VLOOKUP(Table2575525269101343444647484956575859631518171922456667[[#This Row],[PEG]],Table1016[#All],2,FALSE)</f>
        <v>It seems you are having trouble. For future transactions you can also access your plan details, or manage your account online anytime at members.lacare.com. One moment while I get someone to help. Make sure to have your invoice available.</v>
      </c>
      <c r="D25" s="165" t="s">
        <v>361</v>
      </c>
      <c r="E25" s="125" t="str">
        <f>VLOOKUP(Table2575525269101343444647484956575859631518171922456667[[#This Row],[PEG]],Table1016[#All],3,FALSE)</f>
        <v>Prompt</v>
      </c>
    </row>
    <row r="26" spans="1:5" x14ac:dyDescent="0.35">
      <c r="A26" s="118">
        <v>19</v>
      </c>
      <c r="B26" s="114" t="s">
        <v>13</v>
      </c>
      <c r="C26" s="109" t="s">
        <v>13</v>
      </c>
      <c r="D26" s="165"/>
      <c r="E26" s="125" t="e">
        <f>VLOOKUP(Table2575525269101343444647484956575859631518171922456667[[#This Row],[PEG]],Table1016[#All],3,FALSE)</f>
        <v>#N/A</v>
      </c>
    </row>
    <row r="27" spans="1:5" x14ac:dyDescent="0.35">
      <c r="C27" s="26"/>
      <c r="D27" s="111" t="s">
        <v>0</v>
      </c>
    </row>
    <row r="28" spans="1:5" x14ac:dyDescent="0.35">
      <c r="C28" s="26"/>
    </row>
    <row r="29" spans="1:5" x14ac:dyDescent="0.35">
      <c r="C29" s="26"/>
    </row>
    <row r="30" spans="1:5" x14ac:dyDescent="0.35">
      <c r="C30" s="26"/>
    </row>
    <row r="31" spans="1:5" x14ac:dyDescent="0.35">
      <c r="C31" s="26"/>
    </row>
    <row r="32" spans="1:5" x14ac:dyDescent="0.35">
      <c r="C32" s="26"/>
    </row>
    <row r="33" spans="3:3" x14ac:dyDescent="0.35">
      <c r="C33" s="26"/>
    </row>
    <row r="34" spans="3:3" x14ac:dyDescent="0.35">
      <c r="C34" s="26"/>
    </row>
    <row r="35" spans="3:3" x14ac:dyDescent="0.35">
      <c r="C35" s="26"/>
    </row>
    <row r="36" spans="3:3" x14ac:dyDescent="0.35">
      <c r="C36" s="26"/>
    </row>
    <row r="37" spans="3:3" x14ac:dyDescent="0.35">
      <c r="C37" s="26"/>
    </row>
    <row r="38" spans="3:3" x14ac:dyDescent="0.35">
      <c r="C38" s="26"/>
    </row>
    <row r="39" spans="3:3" x14ac:dyDescent="0.35">
      <c r="C39" s="26"/>
    </row>
    <row r="40" spans="3:3" x14ac:dyDescent="0.35">
      <c r="C40" s="26"/>
    </row>
    <row r="41" spans="3:3" x14ac:dyDescent="0.35">
      <c r="C41" s="26"/>
    </row>
    <row r="42" spans="3:3" x14ac:dyDescent="0.35">
      <c r="C42" s="27"/>
    </row>
    <row r="43" spans="3:3" x14ac:dyDescent="0.35">
      <c r="C43" s="27"/>
    </row>
    <row r="44" spans="3:3" x14ac:dyDescent="0.35">
      <c r="C44" s="27"/>
    </row>
  </sheetData>
  <mergeCells count="1">
    <mergeCell ref="A1:B1"/>
  </mergeCells>
  <conditionalFormatting sqref="C27:C9983">
    <cfRule type="expression" dxfId="4828" priority="30">
      <formula>$B27="Dial"</formula>
    </cfRule>
    <cfRule type="expression" dxfId="4827" priority="32">
      <formula>$B27="HANGUP"</formula>
    </cfRule>
  </conditionalFormatting>
  <conditionalFormatting sqref="B8">
    <cfRule type="containsText" dxfId="4826" priority="7" operator="containsText" text="Hear">
      <formula>NOT(ISERROR(SEARCH("Hear",B8)))</formula>
    </cfRule>
  </conditionalFormatting>
  <conditionalFormatting sqref="B22:B26">
    <cfRule type="containsText" dxfId="4825" priority="5" operator="containsText" text="Hear">
      <formula>NOT(ISERROR(SEARCH("Hear",B22)))</formula>
    </cfRule>
  </conditionalFormatting>
  <conditionalFormatting sqref="B9:B21">
    <cfRule type="containsText" dxfId="4824" priority="4" operator="containsText" text="Hear">
      <formula>NOT(ISERROR(SEARCH("Hear",B9)))</formula>
    </cfRule>
  </conditionalFormatting>
  <conditionalFormatting sqref="C10:C26">
    <cfRule type="expression" dxfId="4823" priority="1">
      <formula>$B10="Dial"</formula>
    </cfRule>
    <cfRule type="expression" dxfId="4822" priority="3">
      <formula>$B10="HANGUP"</formula>
    </cfRule>
  </conditionalFormatting>
  <conditionalFormatting sqref="C10:C26">
    <cfRule type="expression" dxfId="4821" priority="2">
      <formula>$B10="Speak"</formula>
    </cfRule>
  </conditionalFormatting>
  <hyperlinks>
    <hyperlink ref="A1" location="'Test Case Overview'!A1" display="Return to Test Case Overview" xr:uid="{00000000-0004-0000-2700-000000000000}"/>
  </hyperlinks>
  <pageMargins left="0.7" right="0.7" top="0.75" bottom="0.75" header="0.3" footer="0.3"/>
  <pageSetup orientation="portrait" verticalDpi="0" r:id="rId1"/>
  <tableParts count="1">
    <tablePart r:id="rId2"/>
  </tableParts>
  <extLst>
    <ext xmlns:x14="http://schemas.microsoft.com/office/spreadsheetml/2009/9/main" uri="{78C0D931-6437-407d-A8EE-F0AAD7539E65}">
      <x14:conditionalFormattings>
        <x14:conditionalFormatting xmlns:xm="http://schemas.microsoft.com/office/excel/2006/main">
          <x14:cfRule type="expression" priority="26" id="{22B3B4D5-9A07-4E36-BCB4-9DFF4F413760}">
            <xm:f>'TC1'!$B8="HANGUP"</xm:f>
            <x14:dxf>
              <font>
                <b/>
                <i val="0"/>
              </font>
            </x14:dxf>
          </x14:cfRule>
          <x14:cfRule type="expression" priority="34" id="{0CCA2B80-E0F0-409A-90EA-A5629DF3C1AF}">
            <xm:f>'TC1'!$B8="Dial"</xm:f>
            <x14:dxf>
              <font>
                <b/>
                <i val="0"/>
                <color rgb="FFFF0000"/>
              </font>
            </x14:dxf>
          </x14:cfRule>
          <xm:sqref>C8</xm:sqref>
        </x14:conditionalFormatting>
        <x14:conditionalFormatting xmlns:xm="http://schemas.microsoft.com/office/excel/2006/main">
          <x14:cfRule type="expression" priority="35" id="{83E76C91-B048-4E44-962E-99AF577E7136}">
            <xm:f>'TC1'!$B8="Speak"</xm:f>
            <x14:dxf>
              <font>
                <b/>
                <i val="0"/>
                <color rgb="FFFF0000"/>
              </font>
            </x14:dxf>
          </x14:cfRule>
          <xm:sqref>C8</xm:sqref>
        </x14:conditionalFormatting>
        <x14:conditionalFormatting xmlns:xm="http://schemas.microsoft.com/office/excel/2006/main">
          <x14:cfRule type="containsText" priority="1066" operator="containsText" text="DB" id="{B9BE2868-90FD-4649-99ED-2D5AF48D4F21}">
            <xm:f>NOT(ISERROR(SEARCH("DB",'TC1'!#REF!)))</xm:f>
            <x14:dxf>
              <font>
                <color rgb="FF006100"/>
              </font>
              <fill>
                <patternFill>
                  <bgColor rgb="FFC6EFCE"/>
                </patternFill>
              </fill>
            </x14:dxf>
          </x14:cfRule>
          <x14:cfRule type="containsText" priority="1067" operator="containsText" text="WEB SERVICE" id="{ECEED375-DB38-4603-A227-F142F506865F}">
            <xm:f>NOT(ISERROR(SEARCH("WEB SERVICE",'TC1'!#REF!)))</xm:f>
            <x14:dxf>
              <font>
                <color rgb="FF9C0006"/>
              </font>
              <fill>
                <patternFill>
                  <bgColor rgb="FFFFC7CE"/>
                </patternFill>
              </fill>
            </x14:dxf>
          </x14:cfRule>
          <xm:sqref>E17:E26</xm:sqref>
        </x14:conditionalFormatting>
        <x14:conditionalFormatting xmlns:xm="http://schemas.microsoft.com/office/excel/2006/main">
          <x14:cfRule type="expression" priority="3888" id="{22B3B4D5-9A07-4E36-BCB4-9DFF4F413760}">
            <xm:f>'TC1'!#REF!="HANGUP"</xm:f>
            <x14:dxf>
              <font>
                <b/>
                <i val="0"/>
              </font>
            </x14:dxf>
          </x14:cfRule>
          <x14:cfRule type="expression" priority="3889" id="{0CCA2B80-E0F0-409A-90EA-A5629DF3C1AF}">
            <xm:f>'TC1'!#REF!="Dial"</xm:f>
            <x14:dxf>
              <font>
                <b/>
                <i val="0"/>
                <color rgb="FFFF0000"/>
              </font>
            </x14:dxf>
          </x14:cfRule>
          <xm:sqref>C9</xm:sqref>
        </x14:conditionalFormatting>
        <x14:conditionalFormatting xmlns:xm="http://schemas.microsoft.com/office/excel/2006/main">
          <x14:cfRule type="expression" priority="3894" id="{83E76C91-B048-4E44-962E-99AF577E7136}">
            <xm:f>'TC1'!#REF!="Speak"</xm:f>
            <x14:dxf>
              <font>
                <b/>
                <i val="0"/>
                <color rgb="FFFF0000"/>
              </font>
            </x14:dxf>
          </x14:cfRule>
          <xm:sqref>C9</xm:sqref>
        </x14:conditionalFormatting>
        <x14:conditionalFormatting xmlns:xm="http://schemas.microsoft.com/office/excel/2006/main">
          <x14:cfRule type="containsText" priority="3896" operator="containsText" text="DB" id="{B9BE2868-90FD-4649-99ED-2D5AF48D4F21}">
            <xm:f>NOT(ISERROR(SEARCH("DB",'TC1'!#REF!)))</xm:f>
            <x14:dxf>
              <font>
                <color rgb="FF006100"/>
              </font>
              <fill>
                <patternFill>
                  <bgColor rgb="FFC6EFCE"/>
                </patternFill>
              </fill>
            </x14:dxf>
          </x14:cfRule>
          <x14:cfRule type="containsText" priority="3897" operator="containsText" text="WEB SERVICE" id="{ECEED375-DB38-4603-A227-F142F506865F}">
            <xm:f>NOT(ISERROR(SEARCH("WEB SERVICE",'TC1'!#REF!)))</xm:f>
            <x14:dxf>
              <font>
                <color rgb="FF9C0006"/>
              </font>
              <fill>
                <patternFill>
                  <bgColor rgb="FFFFC7CE"/>
                </patternFill>
              </fill>
            </x14:dxf>
          </x14:cfRule>
          <xm:sqref>E9:E11</xm:sqref>
        </x14:conditionalFormatting>
        <x14:conditionalFormatting xmlns:xm="http://schemas.microsoft.com/office/excel/2006/main">
          <x14:cfRule type="containsText" priority="3898" operator="containsText" text="DB" id="{B9BE2868-90FD-4649-99ED-2D5AF48D4F21}">
            <xm:f>NOT(ISERROR(SEARCH("DB",'TC1'!E9)))</xm:f>
            <x14:dxf>
              <font>
                <color rgb="FF006100"/>
              </font>
              <fill>
                <patternFill>
                  <bgColor rgb="FFC6EFCE"/>
                </patternFill>
              </fill>
            </x14:dxf>
          </x14:cfRule>
          <x14:cfRule type="containsText" priority="3899" operator="containsText" text="WEB SERVICE" id="{ECEED375-DB38-4603-A227-F142F506865F}">
            <xm:f>NOT(ISERROR(SEARCH("WEB SERVICE",'TC1'!E9)))</xm:f>
            <x14:dxf>
              <font>
                <color rgb="FF9C0006"/>
              </font>
              <fill>
                <patternFill>
                  <bgColor rgb="FFFFC7CE"/>
                </patternFill>
              </fill>
            </x14:dxf>
          </x14:cfRule>
          <xm:sqref>E12:E15</xm:sqref>
        </x14:conditionalFormatting>
        <x14:conditionalFormatting xmlns:xm="http://schemas.microsoft.com/office/excel/2006/main">
          <x14:cfRule type="containsText" priority="6423" operator="containsText" text="DB" id="{B9BE2868-90FD-4649-99ED-2D5AF48D4F21}">
            <xm:f>NOT(ISERROR(SEARCH("DB",'TC1'!E15)))</xm:f>
            <x14:dxf>
              <font>
                <color rgb="FF006100"/>
              </font>
              <fill>
                <patternFill>
                  <bgColor rgb="FFC6EFCE"/>
                </patternFill>
              </fill>
            </x14:dxf>
          </x14:cfRule>
          <x14:cfRule type="containsText" priority="6424" operator="containsText" text="WEB SERVICE" id="{ECEED375-DB38-4603-A227-F142F506865F}">
            <xm:f>NOT(ISERROR(SEARCH("WEB SERVICE",'TC1'!E15)))</xm:f>
            <x14:dxf>
              <font>
                <color rgb="FF9C0006"/>
              </font>
              <fill>
                <patternFill>
                  <bgColor rgb="FFFFC7CE"/>
                </patternFill>
              </fill>
            </x14:dxf>
          </x14:cfRule>
          <xm:sqref>E16</xm:sqref>
        </x14:conditionalFormatting>
      </x14:conditionalFormattings>
    </ext>
  </extLst>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42"/>
  <dimension ref="A1:E45"/>
  <sheetViews>
    <sheetView topLeftCell="A10" zoomScaleNormal="100" workbookViewId="0">
      <selection activeCell="D21" sqref="D21"/>
    </sheetView>
  </sheetViews>
  <sheetFormatPr defaultRowHeight="14.5" x14ac:dyDescent="0.35"/>
  <cols>
    <col min="1" max="1" width="14.453125" style="97" bestFit="1" customWidth="1"/>
    <col min="2" max="2" width="42.6328125" style="97" customWidth="1"/>
    <col min="3" max="3" width="106.1796875" style="98" customWidth="1"/>
    <col min="4" max="4" width="21.81640625" style="111" bestFit="1" customWidth="1"/>
    <col min="5" max="5" width="20.6328125" style="97" customWidth="1"/>
  </cols>
  <sheetData>
    <row r="1" spans="1:5" ht="18.5" x14ac:dyDescent="0.35">
      <c r="A1" s="192" t="s">
        <v>4</v>
      </c>
      <c r="B1" s="192"/>
      <c r="C1" s="105"/>
    </row>
    <row r="2" spans="1:5" x14ac:dyDescent="0.35">
      <c r="A2" s="106" t="s">
        <v>5</v>
      </c>
      <c r="B2" s="107" t="str">
        <f ca="1">MID(CELL("filename",A1),FIND("]",CELL("filename",A1))+1,LEN(CELL("filename",A1))-FIND("]",CELL("filename",A1)))</f>
        <v>TC40</v>
      </c>
    </row>
    <row r="3" spans="1:5" x14ac:dyDescent="0.35">
      <c r="A3" s="104" t="s">
        <v>19</v>
      </c>
      <c r="B3" s="112">
        <f ca="1">VLOOKUP(B2,Table53[#All],2,FALSE)</f>
        <v>0</v>
      </c>
    </row>
    <row r="4" spans="1:5" ht="29" x14ac:dyDescent="0.35">
      <c r="A4" s="113" t="s">
        <v>20</v>
      </c>
      <c r="B4" s="99" t="str">
        <f ca="1">VLOOKUP(B2,Table53[#All],4,FALSE)</f>
        <v>No Recurring, Current Due, No Stored Mthd</v>
      </c>
    </row>
    <row r="5" spans="1:5" x14ac:dyDescent="0.35">
      <c r="A5" s="104" t="s">
        <v>6</v>
      </c>
      <c r="B5" s="93" t="str">
        <f ca="1">VLOOKUP(B2,Table53[#All],3,FALSE)</f>
        <v>Get Route Nbr No Input x3</v>
      </c>
    </row>
    <row r="7" spans="1:5" ht="15.5" x14ac:dyDescent="0.35">
      <c r="A7" s="100" t="s">
        <v>7</v>
      </c>
      <c r="B7" s="101" t="s">
        <v>8</v>
      </c>
      <c r="C7" s="102" t="s">
        <v>9</v>
      </c>
      <c r="D7" s="102" t="s">
        <v>14</v>
      </c>
      <c r="E7" s="103" t="s">
        <v>10</v>
      </c>
    </row>
    <row r="8" spans="1:5" x14ac:dyDescent="0.35">
      <c r="A8" s="118">
        <v>1</v>
      </c>
      <c r="B8" s="114" t="s">
        <v>114</v>
      </c>
      <c r="C8" s="109" t="s">
        <v>125</v>
      </c>
      <c r="D8" s="128"/>
      <c r="E8" s="125" t="s">
        <v>11</v>
      </c>
    </row>
    <row r="9" spans="1:5" x14ac:dyDescent="0.35">
      <c r="A9" s="118">
        <v>2</v>
      </c>
      <c r="B9" s="114" t="s">
        <v>115</v>
      </c>
      <c r="C9" s="109" t="str">
        <f>VLOOKUP(Table257552526910134344464748495657585963151817192245666768[[#This Row],[PEG]],Table1016[#All],2,FALSE)</f>
        <v>To get started, tell me your Account Number</v>
      </c>
      <c r="D9" s="141" t="s">
        <v>245</v>
      </c>
      <c r="E9" s="125" t="str">
        <f>VLOOKUP(Table257552526910134344464748495657585963151817192245666768[[#This Row],[PEG]],Table1016[#All],3,FALSE)</f>
        <v>Prompt</v>
      </c>
    </row>
    <row r="10" spans="1:5" x14ac:dyDescent="0.35">
      <c r="A10" s="118">
        <v>3</v>
      </c>
      <c r="B10" s="114" t="s">
        <v>114</v>
      </c>
      <c r="C10" s="109" t="s">
        <v>412</v>
      </c>
      <c r="D10" s="141"/>
      <c r="E10" s="125" t="e">
        <f>VLOOKUP(Table257552526910134344464748495657585963151817192245666768[[#This Row],[PEG]],Table1016[#All],3,FALSE)</f>
        <v>#N/A</v>
      </c>
    </row>
    <row r="11" spans="1:5" ht="174" x14ac:dyDescent="0.35">
      <c r="A11" s="118">
        <v>4</v>
      </c>
      <c r="B11" s="114" t="s">
        <v>12</v>
      </c>
      <c r="C11" s="109" t="str">
        <f>VLOOKUP(Table257552526910134344464748495657585963151817192245666768[[#This Row],[PEG]],Table1016[#All],2,FALSE)</f>
        <v>SAP HANA – SAP01_GetMember
inputs:
idnumber = iIdnumber	T
idtype 	= iIdtype
outputs:
~ Billing Reference
~ Enrollment Details
~ Billing Details
~ Last Payment
~ Recurring Payment Method
~ Stored Payment Method</v>
      </c>
      <c r="D11" s="141" t="s">
        <v>371</v>
      </c>
      <c r="E11" s="125" t="str">
        <f>VLOOKUP(Table257552526910134344464748495657585963151817192245666768[[#This Row],[PEG]],Table1016[#All],3,FALSE)</f>
        <v>DB</v>
      </c>
    </row>
    <row r="12" spans="1:5" x14ac:dyDescent="0.35">
      <c r="A12" s="118">
        <v>5</v>
      </c>
      <c r="B12" s="114" t="s">
        <v>115</v>
      </c>
      <c r="C12" s="109" t="str">
        <f>VLOOKUP(Table257552526910134344464748495657585963151817192245666768[[#This Row],[PEG]],Table1016[#All],2,FALSE)</f>
        <v>Thanks, I found your account!</v>
      </c>
      <c r="D12" s="141" t="s">
        <v>248</v>
      </c>
      <c r="E12" s="125" t="str">
        <f>VLOOKUP(Table257552526910134344464748495657585963151817192245666768[[#This Row],[PEG]],Table1016[#All],3,FALSE)</f>
        <v>Prompt</v>
      </c>
    </row>
    <row r="13" spans="1:5" x14ac:dyDescent="0.35">
      <c r="A13" s="118">
        <v>6</v>
      </c>
      <c r="B13" s="114" t="s">
        <v>115</v>
      </c>
      <c r="C13" s="109" t="str">
        <f>VLOOKUP(Table257552526910134344464748495657585963151817192245666768[[#This Row],[PEG]],Table1016[#All],2,FALSE)</f>
        <v>A current balance of &lt;SAP01_CurrentDue&gt; is due by &lt;SAP01_Duedate&gt;.</v>
      </c>
      <c r="D13" s="141" t="s">
        <v>258</v>
      </c>
      <c r="E13" s="125" t="str">
        <f>VLOOKUP(Table257552526910134344464748495657585963151817192245666768[[#This Row],[PEG]],Table1016[#All],3,FALSE)</f>
        <v>Prompt</v>
      </c>
    </row>
    <row r="14" spans="1:5" x14ac:dyDescent="0.35">
      <c r="A14" s="118">
        <v>7</v>
      </c>
      <c r="B14" s="114" t="s">
        <v>115</v>
      </c>
      <c r="C14" s="109" t="str">
        <f>VLOOKUP(Table257552526910134344464748495657585963151817192245666768[[#This Row],[PEG]],Table1016[#All],2,FALSE)</f>
        <v>Would you like to pay this in full today?</v>
      </c>
      <c r="D14" s="164" t="s">
        <v>260</v>
      </c>
      <c r="E14" s="125" t="str">
        <f>VLOOKUP(Table257552526910134344464748495657585963151817192245666768[[#This Row],[PEG]],Table1016[#All],3,FALSE)</f>
        <v>Prompt</v>
      </c>
    </row>
    <row r="15" spans="1:5" x14ac:dyDescent="0.35">
      <c r="A15" s="118">
        <v>8</v>
      </c>
      <c r="B15" s="114" t="s">
        <v>114</v>
      </c>
      <c r="C15" s="109">
        <v>1</v>
      </c>
      <c r="D15" s="164"/>
      <c r="E15" s="125" t="e">
        <f>VLOOKUP(Table257552526910134344464748495657585963151817192245666768[[#This Row],[PEG]],Table1016[#All],3,FALSE)</f>
        <v>#N/A</v>
      </c>
    </row>
    <row r="16" spans="1:5" x14ac:dyDescent="0.35">
      <c r="A16" s="118">
        <v>9</v>
      </c>
      <c r="B16" s="114" t="s">
        <v>115</v>
      </c>
      <c r="C16" s="109" t="str">
        <f>VLOOKUP(Table257552526910134344464748495657585963151817192245666768[[#This Row],[PEG]],Table1016[#All],2,FALSE)</f>
        <v>Ok, are you using Credit, Debit, Checking or Savings?</v>
      </c>
      <c r="D16" s="143" t="s">
        <v>286</v>
      </c>
      <c r="E16" s="125" t="str">
        <f>VLOOKUP(Table257552526910134344464748495657585963151817192245666768[[#This Row],[PEG]],Table1016[#All],3,FALSE)</f>
        <v>Prompt</v>
      </c>
    </row>
    <row r="17" spans="1:5" x14ac:dyDescent="0.35">
      <c r="A17" s="118">
        <v>10</v>
      </c>
      <c r="B17" s="114" t="s">
        <v>114</v>
      </c>
      <c r="C17" s="109">
        <v>3</v>
      </c>
      <c r="D17" s="143"/>
      <c r="E17" s="125" t="e">
        <f>VLOOKUP(Table257552526910134344464748495657585963151817192245666768[[#This Row],[PEG]],Table1016[#All],3,FALSE)</f>
        <v>#N/A</v>
      </c>
    </row>
    <row r="18" spans="1:5" x14ac:dyDescent="0.35">
      <c r="A18" s="118">
        <v>11</v>
      </c>
      <c r="B18" s="114" t="s">
        <v>115</v>
      </c>
      <c r="C18" s="109" t="str">
        <f>VLOOKUP(Table257552526910134344464748495657585963151817192245666768[[#This Row],[PEG]],Table1016[#All],2,FALSE)</f>
        <v>Tell me your 9-digit routing number.</v>
      </c>
      <c r="D18" s="143" t="s">
        <v>289</v>
      </c>
      <c r="E18" s="125" t="str">
        <f>VLOOKUP(Table257552526910134344464748495657585963151817192245666768[[#This Row],[PEG]],Table1016[#All],3,FALSE)</f>
        <v>Prompt</v>
      </c>
    </row>
    <row r="19" spans="1:5" x14ac:dyDescent="0.35">
      <c r="A19" s="118">
        <v>12</v>
      </c>
      <c r="B19" s="114" t="s">
        <v>114</v>
      </c>
      <c r="C19" s="109" t="s">
        <v>510</v>
      </c>
      <c r="D19" s="143"/>
      <c r="E19" s="125" t="e">
        <f>VLOOKUP(Table257552526910134344464748495657585963151817192245666768[[#This Row],[PEG]],Table1016[#All],3,FALSE)</f>
        <v>#N/A</v>
      </c>
    </row>
    <row r="20" spans="1:5" x14ac:dyDescent="0.35">
      <c r="A20" s="118">
        <v>13</v>
      </c>
      <c r="B20" s="114" t="s">
        <v>115</v>
      </c>
      <c r="C20" s="109" t="str">
        <f>VLOOKUP(Table257552526910134344464748495657585963151817192245666768[[#This Row],[PEG]],Table1016[#All],2,FALSE)</f>
        <v>I didn’t get that.</v>
      </c>
      <c r="D20" s="143" t="s">
        <v>365</v>
      </c>
      <c r="E20" s="125" t="str">
        <f>VLOOKUP(Table257552526910134344464748495657585963151817192245666768[[#This Row],[PEG]],Table1016[#All],3,FALSE)</f>
        <v>Prompt</v>
      </c>
    </row>
    <row r="21" spans="1:5" x14ac:dyDescent="0.35">
      <c r="A21" s="118">
        <v>14</v>
      </c>
      <c r="B21" s="114" t="s">
        <v>115</v>
      </c>
      <c r="C21" s="109" t="str">
        <f>VLOOKUP(Table257552526910134344464748495657585963151817192245666768[[#This Row],[PEG]],Table1016[#All],2,FALSE)</f>
        <v>Just say your 9-digit routing number.</v>
      </c>
      <c r="D21" s="143" t="s">
        <v>290</v>
      </c>
      <c r="E21" s="125" t="str">
        <f>VLOOKUP(Table257552526910134344464748495657585963151817192245666768[[#This Row],[PEG]],Table1016[#All],3,FALSE)</f>
        <v>Prompt</v>
      </c>
    </row>
    <row r="22" spans="1:5" x14ac:dyDescent="0.35">
      <c r="A22" s="118">
        <v>15</v>
      </c>
      <c r="B22" s="114" t="s">
        <v>114</v>
      </c>
      <c r="C22" s="109" t="s">
        <v>510</v>
      </c>
      <c r="D22" s="143"/>
      <c r="E22" s="125" t="e">
        <f>VLOOKUP(Table257552526910134344464748495657585963151817192245666768[[#This Row],[PEG]],Table1016[#All],3,FALSE)</f>
        <v>#N/A</v>
      </c>
    </row>
    <row r="23" spans="1:5" x14ac:dyDescent="0.35">
      <c r="A23" s="118">
        <v>16</v>
      </c>
      <c r="B23" s="114" t="s">
        <v>115</v>
      </c>
      <c r="C23" s="109" t="str">
        <f>VLOOKUP(Table257552526910134344464748495657585963151817192245666768[[#This Row],[PEG]],Table1016[#All],2,FALSE)</f>
        <v>I still didn’t get that.</v>
      </c>
      <c r="D23" s="143" t="s">
        <v>366</v>
      </c>
      <c r="E23" s="125" t="str">
        <f>VLOOKUP(Table257552526910134344464748495657585963151817192245666768[[#This Row],[PEG]],Table1016[#All],3,FALSE)</f>
        <v>Prompt</v>
      </c>
    </row>
    <row r="24" spans="1:5" x14ac:dyDescent="0.35">
      <c r="A24" s="118">
        <v>17</v>
      </c>
      <c r="B24" s="114" t="s">
        <v>115</v>
      </c>
      <c r="C24" s="109" t="str">
        <f>VLOOKUP(Table257552526910134344464748495657585963151817192245666768[[#This Row],[PEG]],Table1016[#All],2,FALSE)</f>
        <v>You can say or enter your 9-digit routing number using your telephone keypad.</v>
      </c>
      <c r="D24" s="143" t="s">
        <v>291</v>
      </c>
      <c r="E24" s="125" t="str">
        <f>VLOOKUP(Table257552526910134344464748495657585963151817192245666768[[#This Row],[PEG]],Table1016[#All],3,FALSE)</f>
        <v>Prompt</v>
      </c>
    </row>
    <row r="25" spans="1:5" x14ac:dyDescent="0.35">
      <c r="A25" s="118">
        <v>18</v>
      </c>
      <c r="B25" s="114" t="s">
        <v>517</v>
      </c>
      <c r="C25" s="169" t="s">
        <v>510</v>
      </c>
      <c r="D25" s="143"/>
      <c r="E25" s="125" t="e">
        <f>VLOOKUP(Table257552526910134344464748495657585963151817192245666768[[#This Row],[PEG]],Table1016[#All],3,FALSE)</f>
        <v>#N/A</v>
      </c>
    </row>
    <row r="26" spans="1:5" ht="29" x14ac:dyDescent="0.35">
      <c r="A26" s="118">
        <v>19</v>
      </c>
      <c r="B26" s="114" t="s">
        <v>115</v>
      </c>
      <c r="C26" s="109" t="str">
        <f>VLOOKUP(Table257552526910134344464748495657585963151817192245666768[[#This Row],[PEG]],Table1016[#All],2,FALSE)</f>
        <v>It seems you are having trouble. For future transactions you can also access your plan details, or manage your account online anytime at members.lacare.com. One moment while I get someone to help. Make sure to have your invoice available.</v>
      </c>
      <c r="D26" s="143" t="s">
        <v>361</v>
      </c>
      <c r="E26" s="125" t="str">
        <f>VLOOKUP(Table257552526910134344464748495657585963151817192245666768[[#This Row],[PEG]],Table1016[#All],3,FALSE)</f>
        <v>Prompt</v>
      </c>
    </row>
    <row r="27" spans="1:5" x14ac:dyDescent="0.35">
      <c r="A27" s="118">
        <v>20</v>
      </c>
      <c r="B27" s="114" t="s">
        <v>13</v>
      </c>
      <c r="C27" s="109" t="s">
        <v>13</v>
      </c>
      <c r="D27" s="143"/>
      <c r="E27" s="125" t="e">
        <f>VLOOKUP(Table257552526910134344464748495657585963151817192245666768[[#This Row],[PEG]],Table1016[#All],3,FALSE)</f>
        <v>#N/A</v>
      </c>
    </row>
    <row r="28" spans="1:5" x14ac:dyDescent="0.35">
      <c r="C28" s="26"/>
      <c r="D28" s="111" t="s">
        <v>0</v>
      </c>
    </row>
    <row r="29" spans="1:5" x14ac:dyDescent="0.35">
      <c r="C29" s="26"/>
    </row>
    <row r="30" spans="1:5" x14ac:dyDescent="0.35">
      <c r="C30" s="26"/>
    </row>
    <row r="31" spans="1:5" x14ac:dyDescent="0.35">
      <c r="C31" s="26"/>
    </row>
    <row r="32" spans="1:5" x14ac:dyDescent="0.35">
      <c r="C32" s="26"/>
    </row>
    <row r="33" spans="3:3" x14ac:dyDescent="0.35">
      <c r="C33" s="26"/>
    </row>
    <row r="34" spans="3:3" x14ac:dyDescent="0.35">
      <c r="C34" s="26"/>
    </row>
    <row r="35" spans="3:3" x14ac:dyDescent="0.35">
      <c r="C35" s="26"/>
    </row>
    <row r="36" spans="3:3" x14ac:dyDescent="0.35">
      <c r="C36" s="26"/>
    </row>
    <row r="37" spans="3:3" x14ac:dyDescent="0.35">
      <c r="C37" s="26"/>
    </row>
    <row r="38" spans="3:3" x14ac:dyDescent="0.35">
      <c r="C38" s="26"/>
    </row>
    <row r="39" spans="3:3" x14ac:dyDescent="0.35">
      <c r="C39" s="26"/>
    </row>
    <row r="40" spans="3:3" x14ac:dyDescent="0.35">
      <c r="C40" s="26"/>
    </row>
    <row r="41" spans="3:3" x14ac:dyDescent="0.35">
      <c r="C41" s="26"/>
    </row>
    <row r="42" spans="3:3" x14ac:dyDescent="0.35">
      <c r="C42" s="26"/>
    </row>
    <row r="43" spans="3:3" x14ac:dyDescent="0.35">
      <c r="C43" s="27"/>
    </row>
    <row r="44" spans="3:3" x14ac:dyDescent="0.35">
      <c r="C44" s="27"/>
    </row>
    <row r="45" spans="3:3" x14ac:dyDescent="0.35">
      <c r="C45" s="27"/>
    </row>
  </sheetData>
  <mergeCells count="1">
    <mergeCell ref="A1:B1"/>
  </mergeCells>
  <conditionalFormatting sqref="B18:B27">
    <cfRule type="containsText" dxfId="4806" priority="64" operator="containsText" text="Hear">
      <formula>NOT(ISERROR(SEARCH("Hear",B18)))</formula>
    </cfRule>
  </conditionalFormatting>
  <conditionalFormatting sqref="C28:C9984">
    <cfRule type="expression" dxfId="4805" priority="65">
      <formula>$B28="Dial"</formula>
    </cfRule>
    <cfRule type="expression" dxfId="4804" priority="67">
      <formula>$B28="HANGUP"</formula>
    </cfRule>
  </conditionalFormatting>
  <conditionalFormatting sqref="B8 B14:B17">
    <cfRule type="containsText" dxfId="4803" priority="17" operator="containsText" text="Hear">
      <formula>NOT(ISERROR(SEARCH("Hear",B8)))</formula>
    </cfRule>
  </conditionalFormatting>
  <conditionalFormatting sqref="B9:B13">
    <cfRule type="containsText" dxfId="4802" priority="16" operator="containsText" text="Hear">
      <formula>NOT(ISERROR(SEARCH("Hear",B9)))</formula>
    </cfRule>
  </conditionalFormatting>
  <conditionalFormatting sqref="C10">
    <cfRule type="expression" dxfId="4801" priority="10">
      <formula>$B10="Dial"</formula>
    </cfRule>
    <cfRule type="expression" dxfId="4800" priority="12">
      <formula>$B10="HANGUP"</formula>
    </cfRule>
  </conditionalFormatting>
  <conditionalFormatting sqref="C10">
    <cfRule type="expression" dxfId="4799" priority="11">
      <formula>$B10="Speak"</formula>
    </cfRule>
  </conditionalFormatting>
  <conditionalFormatting sqref="C11:C24 C26:C27">
    <cfRule type="expression" dxfId="4798" priority="7">
      <formula>$B11="Dial"</formula>
    </cfRule>
    <cfRule type="expression" dxfId="4797" priority="9">
      <formula>$B11="HANGUP"</formula>
    </cfRule>
  </conditionalFormatting>
  <conditionalFormatting sqref="C11:C24 C26:C27">
    <cfRule type="expression" dxfId="4796" priority="8">
      <formula>$B11="Speak"</formula>
    </cfRule>
  </conditionalFormatting>
  <conditionalFormatting sqref="C25">
    <cfRule type="expression" dxfId="4795" priority="1">
      <formula>$B25="Dial"</formula>
    </cfRule>
    <cfRule type="expression" dxfId="4794" priority="3">
      <formula>$B25="HANGUP"</formula>
    </cfRule>
  </conditionalFormatting>
  <conditionalFormatting sqref="C25">
    <cfRule type="expression" dxfId="4793" priority="2">
      <formula>$B25="Speak"</formula>
    </cfRule>
  </conditionalFormatting>
  <hyperlinks>
    <hyperlink ref="A1" location="'Test Case Overview'!A1" display="Return to Test Case Overview" xr:uid="{00000000-0004-0000-2800-000000000000}"/>
  </hyperlinks>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expression" priority="61" id="{6464031D-27A8-4D16-9F25-52D21ABA6181}">
            <xm:f>'TC1'!$B8="HANGUP"</xm:f>
            <x14:dxf>
              <font>
                <b/>
                <i val="0"/>
              </font>
            </x14:dxf>
          </x14:cfRule>
          <x14:cfRule type="expression" priority="69" id="{1CBE41FC-0B6E-4B7C-8603-09C29E698007}">
            <xm:f>'TC1'!$B8="Dial"</xm:f>
            <x14:dxf>
              <font>
                <b/>
                <i val="0"/>
                <color rgb="FFFF0000"/>
              </font>
            </x14:dxf>
          </x14:cfRule>
          <xm:sqref>C8</xm:sqref>
        </x14:conditionalFormatting>
        <x14:conditionalFormatting xmlns:xm="http://schemas.microsoft.com/office/excel/2006/main">
          <x14:cfRule type="expression" priority="70" id="{0C8F929A-C04C-43DC-B9E2-C49935BE7B13}">
            <xm:f>'TC1'!$B8="Speak"</xm:f>
            <x14:dxf>
              <font>
                <b/>
                <i val="0"/>
                <color rgb="FFFF0000"/>
              </font>
            </x14:dxf>
          </x14:cfRule>
          <xm:sqref>C8</xm:sqref>
        </x14:conditionalFormatting>
        <x14:conditionalFormatting xmlns:xm="http://schemas.microsoft.com/office/excel/2006/main">
          <x14:cfRule type="containsText" priority="1095" operator="containsText" text="DB" id="{D05B5896-ABA5-4E4E-A24C-009DA28F9FDD}">
            <xm:f>NOT(ISERROR(SEARCH("DB",'TC1'!#REF!)))</xm:f>
            <x14:dxf>
              <font>
                <color rgb="FF006100"/>
              </font>
              <fill>
                <patternFill>
                  <bgColor rgb="FFC6EFCE"/>
                </patternFill>
              </fill>
            </x14:dxf>
          </x14:cfRule>
          <x14:cfRule type="containsText" priority="1096" operator="containsText" text="WEB SERVICE" id="{E70E7D4E-3457-4C24-A742-E422BA616EBD}">
            <xm:f>NOT(ISERROR(SEARCH("WEB SERVICE",'TC1'!#REF!)))</xm:f>
            <x14:dxf>
              <font>
                <color rgb="FF9C0006"/>
              </font>
              <fill>
                <patternFill>
                  <bgColor rgb="FFFFC7CE"/>
                </patternFill>
              </fill>
            </x14:dxf>
          </x14:cfRule>
          <xm:sqref>E17:E27</xm:sqref>
        </x14:conditionalFormatting>
        <x14:conditionalFormatting xmlns:xm="http://schemas.microsoft.com/office/excel/2006/main">
          <x14:cfRule type="expression" priority="3915" id="{6464031D-27A8-4D16-9F25-52D21ABA6181}">
            <xm:f>'TC1'!#REF!="HANGUP"</xm:f>
            <x14:dxf>
              <font>
                <b/>
                <i val="0"/>
              </font>
            </x14:dxf>
          </x14:cfRule>
          <x14:cfRule type="expression" priority="3916" id="{1CBE41FC-0B6E-4B7C-8603-09C29E698007}">
            <xm:f>'TC1'!#REF!="Dial"</xm:f>
            <x14:dxf>
              <font>
                <b/>
                <i val="0"/>
                <color rgb="FFFF0000"/>
              </font>
            </x14:dxf>
          </x14:cfRule>
          <xm:sqref>C9</xm:sqref>
        </x14:conditionalFormatting>
        <x14:conditionalFormatting xmlns:xm="http://schemas.microsoft.com/office/excel/2006/main">
          <x14:cfRule type="expression" priority="3921" id="{0C8F929A-C04C-43DC-B9E2-C49935BE7B13}">
            <xm:f>'TC1'!#REF!="Speak"</xm:f>
            <x14:dxf>
              <font>
                <b/>
                <i val="0"/>
                <color rgb="FFFF0000"/>
              </font>
            </x14:dxf>
          </x14:cfRule>
          <xm:sqref>C9</xm:sqref>
        </x14:conditionalFormatting>
        <x14:conditionalFormatting xmlns:xm="http://schemas.microsoft.com/office/excel/2006/main">
          <x14:cfRule type="containsText" priority="3923" operator="containsText" text="DB" id="{D05B5896-ABA5-4E4E-A24C-009DA28F9FDD}">
            <xm:f>NOT(ISERROR(SEARCH("DB",'TC1'!#REF!)))</xm:f>
            <x14:dxf>
              <font>
                <color rgb="FF006100"/>
              </font>
              <fill>
                <patternFill>
                  <bgColor rgb="FFC6EFCE"/>
                </patternFill>
              </fill>
            </x14:dxf>
          </x14:cfRule>
          <x14:cfRule type="containsText" priority="3924" operator="containsText" text="WEB SERVICE" id="{E70E7D4E-3457-4C24-A742-E422BA616EBD}">
            <xm:f>NOT(ISERROR(SEARCH("WEB SERVICE",'TC1'!#REF!)))</xm:f>
            <x14:dxf>
              <font>
                <color rgb="FF9C0006"/>
              </font>
              <fill>
                <patternFill>
                  <bgColor rgb="FFFFC7CE"/>
                </patternFill>
              </fill>
            </x14:dxf>
          </x14:cfRule>
          <xm:sqref>E9:E11</xm:sqref>
        </x14:conditionalFormatting>
        <x14:conditionalFormatting xmlns:xm="http://schemas.microsoft.com/office/excel/2006/main">
          <x14:cfRule type="containsText" priority="3925" operator="containsText" text="DB" id="{D05B5896-ABA5-4E4E-A24C-009DA28F9FDD}">
            <xm:f>NOT(ISERROR(SEARCH("DB",'TC1'!E9)))</xm:f>
            <x14:dxf>
              <font>
                <color rgb="FF006100"/>
              </font>
              <fill>
                <patternFill>
                  <bgColor rgb="FFC6EFCE"/>
                </patternFill>
              </fill>
            </x14:dxf>
          </x14:cfRule>
          <x14:cfRule type="containsText" priority="3926" operator="containsText" text="WEB SERVICE" id="{E70E7D4E-3457-4C24-A742-E422BA616EBD}">
            <xm:f>NOT(ISERROR(SEARCH("WEB SERVICE",'TC1'!E9)))</xm:f>
            <x14:dxf>
              <font>
                <color rgb="FF9C0006"/>
              </font>
              <fill>
                <patternFill>
                  <bgColor rgb="FFFFC7CE"/>
                </patternFill>
              </fill>
            </x14:dxf>
          </x14:cfRule>
          <xm:sqref>E12:E15</xm:sqref>
        </x14:conditionalFormatting>
        <x14:conditionalFormatting xmlns:xm="http://schemas.microsoft.com/office/excel/2006/main">
          <x14:cfRule type="containsText" priority="6449" operator="containsText" text="DB" id="{D05B5896-ABA5-4E4E-A24C-009DA28F9FDD}">
            <xm:f>NOT(ISERROR(SEARCH("DB",'TC1'!E15)))</xm:f>
            <x14:dxf>
              <font>
                <color rgb="FF006100"/>
              </font>
              <fill>
                <patternFill>
                  <bgColor rgb="FFC6EFCE"/>
                </patternFill>
              </fill>
            </x14:dxf>
          </x14:cfRule>
          <x14:cfRule type="containsText" priority="6450" operator="containsText" text="WEB SERVICE" id="{E70E7D4E-3457-4C24-A742-E422BA616EBD}">
            <xm:f>NOT(ISERROR(SEARCH("WEB SERVICE",'TC1'!E15)))</xm:f>
            <x14:dxf>
              <font>
                <color rgb="FF9C0006"/>
              </font>
              <fill>
                <patternFill>
                  <bgColor rgb="FFFFC7CE"/>
                </patternFill>
              </fill>
            </x14:dxf>
          </x14:cfRule>
          <xm:sqref>E16</xm:sqref>
        </x14:conditionalFormatting>
      </x14:conditionalFormattings>
    </ext>
  </extLst>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43"/>
  <dimension ref="A1:E45"/>
  <sheetViews>
    <sheetView zoomScaleNormal="100" workbookViewId="0">
      <selection activeCell="C21" sqref="C21"/>
    </sheetView>
  </sheetViews>
  <sheetFormatPr defaultRowHeight="14.5" x14ac:dyDescent="0.35"/>
  <cols>
    <col min="1" max="1" width="14.453125" style="97" bestFit="1" customWidth="1"/>
    <col min="2" max="2" width="42.6328125" style="97" customWidth="1"/>
    <col min="3" max="3" width="106.1796875" style="98" customWidth="1"/>
    <col min="4" max="4" width="21.81640625" style="111" bestFit="1" customWidth="1"/>
    <col min="5" max="5" width="20.6328125" style="97" customWidth="1"/>
  </cols>
  <sheetData>
    <row r="1" spans="1:5" ht="18.5" x14ac:dyDescent="0.35">
      <c r="A1" s="192" t="s">
        <v>4</v>
      </c>
      <c r="B1" s="192"/>
      <c r="C1" s="105"/>
    </row>
    <row r="2" spans="1:5" x14ac:dyDescent="0.35">
      <c r="A2" s="106" t="s">
        <v>5</v>
      </c>
      <c r="B2" s="107" t="str">
        <f ca="1">MID(CELL("filename",A1),FIND("]",CELL("filename",A1))+1,LEN(CELL("filename",A1))-FIND("]",CELL("filename",A1)))</f>
        <v>TC41</v>
      </c>
    </row>
    <row r="3" spans="1:5" x14ac:dyDescent="0.35">
      <c r="A3" s="104" t="s">
        <v>19</v>
      </c>
      <c r="B3" s="112">
        <f ca="1">VLOOKUP(B2,Table53[#All],2,FALSE)</f>
        <v>0</v>
      </c>
    </row>
    <row r="4" spans="1:5" ht="29" x14ac:dyDescent="0.35">
      <c r="A4" s="113" t="s">
        <v>20</v>
      </c>
      <c r="B4" s="99" t="str">
        <f ca="1">VLOOKUP(B2,Table53[#All],4,FALSE)</f>
        <v>No Recurring, Current Due, No Stored Mthd</v>
      </c>
    </row>
    <row r="5" spans="1:5" x14ac:dyDescent="0.35">
      <c r="A5" s="104" t="s">
        <v>6</v>
      </c>
      <c r="B5" s="93" t="str">
        <f ca="1">VLOOKUP(B2,Table53[#All],3,FALSE)</f>
        <v>Get Route Nbr No Match x3</v>
      </c>
    </row>
    <row r="7" spans="1:5" ht="15.5" x14ac:dyDescent="0.35">
      <c r="A7" s="100" t="s">
        <v>7</v>
      </c>
      <c r="B7" s="101" t="s">
        <v>8</v>
      </c>
      <c r="C7" s="102" t="s">
        <v>9</v>
      </c>
      <c r="D7" s="102" t="s">
        <v>14</v>
      </c>
      <c r="E7" s="103" t="s">
        <v>10</v>
      </c>
    </row>
    <row r="8" spans="1:5" x14ac:dyDescent="0.35">
      <c r="A8" s="118">
        <v>1</v>
      </c>
      <c r="B8" s="114" t="s">
        <v>114</v>
      </c>
      <c r="C8" s="109" t="s">
        <v>125</v>
      </c>
      <c r="D8" s="128"/>
      <c r="E8" s="125" t="s">
        <v>11</v>
      </c>
    </row>
    <row r="9" spans="1:5" x14ac:dyDescent="0.35">
      <c r="A9" s="118">
        <v>2</v>
      </c>
      <c r="B9" s="114" t="s">
        <v>115</v>
      </c>
      <c r="C9" s="109" t="str">
        <f>VLOOKUP(Table25755252691013434446474849565758596315181719224566676869[[#This Row],[PEG]],Table1016[#All],2,FALSE)</f>
        <v>To get started, tell me your Account Number</v>
      </c>
      <c r="D9" s="141" t="s">
        <v>245</v>
      </c>
      <c r="E9" s="125" t="str">
        <f>VLOOKUP(Table25755252691013434446474849565758596315181719224566676869[[#This Row],[PEG]],Table1016[#All],3,FALSE)</f>
        <v>Prompt</v>
      </c>
    </row>
    <row r="10" spans="1:5" x14ac:dyDescent="0.35">
      <c r="A10" s="118">
        <v>3</v>
      </c>
      <c r="B10" s="114" t="s">
        <v>114</v>
      </c>
      <c r="C10" s="109" t="s">
        <v>412</v>
      </c>
      <c r="D10" s="141"/>
      <c r="E10" s="125" t="e">
        <f>VLOOKUP(Table25755252691013434446474849565758596315181719224566676869[[#This Row],[PEG]],Table1016[#All],3,FALSE)</f>
        <v>#N/A</v>
      </c>
    </row>
    <row r="11" spans="1:5" ht="174" x14ac:dyDescent="0.35">
      <c r="A11" s="118">
        <v>4</v>
      </c>
      <c r="B11" s="114" t="s">
        <v>12</v>
      </c>
      <c r="C11" s="109" t="str">
        <f>VLOOKUP(Table25755252691013434446474849565758596315181719224566676869[[#This Row],[PEG]],Table1016[#All],2,FALSE)</f>
        <v>SAP HANA – SAP01_GetMember
inputs:
idnumber = iIdnumber	T
idtype 	= iIdtype
outputs:
~ Billing Reference
~ Enrollment Details
~ Billing Details
~ Last Payment
~ Recurring Payment Method
~ Stored Payment Method</v>
      </c>
      <c r="D11" s="141" t="s">
        <v>371</v>
      </c>
      <c r="E11" s="125" t="str">
        <f>VLOOKUP(Table25755252691013434446474849565758596315181719224566676869[[#This Row],[PEG]],Table1016[#All],3,FALSE)</f>
        <v>DB</v>
      </c>
    </row>
    <row r="12" spans="1:5" x14ac:dyDescent="0.35">
      <c r="A12" s="118">
        <v>5</v>
      </c>
      <c r="B12" s="114" t="s">
        <v>115</v>
      </c>
      <c r="C12" s="109" t="str">
        <f>VLOOKUP(Table25755252691013434446474849565758596315181719224566676869[[#This Row],[PEG]],Table1016[#All],2,FALSE)</f>
        <v>Thanks, I found your account!</v>
      </c>
      <c r="D12" s="141" t="s">
        <v>248</v>
      </c>
      <c r="E12" s="125" t="str">
        <f>VLOOKUP(Table25755252691013434446474849565758596315181719224566676869[[#This Row],[PEG]],Table1016[#All],3,FALSE)</f>
        <v>Prompt</v>
      </c>
    </row>
    <row r="13" spans="1:5" x14ac:dyDescent="0.35">
      <c r="A13" s="118">
        <v>6</v>
      </c>
      <c r="B13" s="114" t="s">
        <v>115</v>
      </c>
      <c r="C13" s="109" t="str">
        <f>VLOOKUP(Table25755252691013434446474849565758596315181719224566676869[[#This Row],[PEG]],Table1016[#All],2,FALSE)</f>
        <v>A current balance of &lt;SAP01_CurrentDue&gt; is due by &lt;SAP01_Duedate&gt;.</v>
      </c>
      <c r="D13" s="141" t="s">
        <v>258</v>
      </c>
      <c r="E13" s="125" t="str">
        <f>VLOOKUP(Table25755252691013434446474849565758596315181719224566676869[[#This Row],[PEG]],Table1016[#All],3,FALSE)</f>
        <v>Prompt</v>
      </c>
    </row>
    <row r="14" spans="1:5" x14ac:dyDescent="0.35">
      <c r="A14" s="118">
        <v>7</v>
      </c>
      <c r="B14" s="114" t="s">
        <v>115</v>
      </c>
      <c r="C14" s="109" t="str">
        <f>VLOOKUP(Table25755252691013434446474849565758596315181719224566676869[[#This Row],[PEG]],Table1016[#All],2,FALSE)</f>
        <v>Would you like to pay this in full today?</v>
      </c>
      <c r="D14" s="164" t="s">
        <v>260</v>
      </c>
      <c r="E14" s="125" t="str">
        <f>VLOOKUP(Table25755252691013434446474849565758596315181719224566676869[[#This Row],[PEG]],Table1016[#All],3,FALSE)</f>
        <v>Prompt</v>
      </c>
    </row>
    <row r="15" spans="1:5" x14ac:dyDescent="0.35">
      <c r="A15" s="118">
        <v>8</v>
      </c>
      <c r="B15" s="114" t="s">
        <v>114</v>
      </c>
      <c r="C15" s="109">
        <v>1</v>
      </c>
      <c r="D15" s="164"/>
      <c r="E15" s="125" t="e">
        <f>VLOOKUP(Table25755252691013434446474849565758596315181719224566676869[[#This Row],[PEG]],Table1016[#All],3,FALSE)</f>
        <v>#N/A</v>
      </c>
    </row>
    <row r="16" spans="1:5" x14ac:dyDescent="0.35">
      <c r="A16" s="118">
        <v>9</v>
      </c>
      <c r="B16" s="114" t="s">
        <v>115</v>
      </c>
      <c r="C16" s="109" t="str">
        <f>VLOOKUP(Table25755252691013434446474849565758596315181719224566676869[[#This Row],[PEG]],Table1016[#All],2,FALSE)</f>
        <v>Ok, are you using Credit, Debit, Checking or Savings?</v>
      </c>
      <c r="D16" s="143" t="s">
        <v>286</v>
      </c>
      <c r="E16" s="125" t="str">
        <f>VLOOKUP(Table25755252691013434446474849565758596315181719224566676869[[#This Row],[PEG]],Table1016[#All],3,FALSE)</f>
        <v>Prompt</v>
      </c>
    </row>
    <row r="17" spans="1:5" x14ac:dyDescent="0.35">
      <c r="A17" s="118">
        <v>10</v>
      </c>
      <c r="B17" s="114" t="s">
        <v>114</v>
      </c>
      <c r="C17" s="109">
        <v>4</v>
      </c>
      <c r="D17" s="143"/>
      <c r="E17" s="125" t="e">
        <f>VLOOKUP(Table25755252691013434446474849565758596315181719224566676869[[#This Row],[PEG]],Table1016[#All],3,FALSE)</f>
        <v>#N/A</v>
      </c>
    </row>
    <row r="18" spans="1:5" x14ac:dyDescent="0.35">
      <c r="A18" s="118">
        <v>11</v>
      </c>
      <c r="B18" s="114" t="s">
        <v>115</v>
      </c>
      <c r="C18" s="109" t="str">
        <f>VLOOKUP(Table25755252691013434446474849565758596315181719224566676869[[#This Row],[PEG]],Table1016[#All],2,FALSE)</f>
        <v>Tell me your 9-digit routing number.</v>
      </c>
      <c r="D18" s="143" t="s">
        <v>289</v>
      </c>
      <c r="E18" s="125" t="str">
        <f>VLOOKUP(Table25755252691013434446474849565758596315181719224566676869[[#This Row],[PEG]],Table1016[#All],3,FALSE)</f>
        <v>Prompt</v>
      </c>
    </row>
    <row r="19" spans="1:5" x14ac:dyDescent="0.35">
      <c r="A19" s="118">
        <v>12</v>
      </c>
      <c r="B19" s="114" t="s">
        <v>114</v>
      </c>
      <c r="C19" s="109">
        <v>1234567</v>
      </c>
      <c r="D19" s="143"/>
      <c r="E19" s="125" t="e">
        <f>VLOOKUP(Table25755252691013434446474849565758596315181719224566676869[[#This Row],[PEG]],Table1016[#All],3,FALSE)</f>
        <v>#N/A</v>
      </c>
    </row>
    <row r="20" spans="1:5" x14ac:dyDescent="0.35">
      <c r="A20" s="118">
        <v>13</v>
      </c>
      <c r="B20" s="114" t="s">
        <v>115</v>
      </c>
      <c r="C20" s="109" t="str">
        <f>VLOOKUP(Table25755252691013434446474849565758596315181719224566676869[[#This Row],[PEG]],Table1016[#All],2,FALSE)</f>
        <v>Sorry, I didn’t understand.</v>
      </c>
      <c r="D20" s="143" t="s">
        <v>367</v>
      </c>
      <c r="E20" s="125" t="str">
        <f>VLOOKUP(Table25755252691013434446474849565758596315181719224566676869[[#This Row],[PEG]],Table1016[#All],3,FALSE)</f>
        <v>Prompt</v>
      </c>
    </row>
    <row r="21" spans="1:5" x14ac:dyDescent="0.35">
      <c r="A21" s="118">
        <v>14</v>
      </c>
      <c r="B21" s="114" t="s">
        <v>115</v>
      </c>
      <c r="C21" s="109" t="str">
        <f>VLOOKUP(Table25755252691013434446474849565758596315181719224566676869[[#This Row],[PEG]],Table1016[#All],2,FALSE)</f>
        <v>Just say your 9-digit routing number.</v>
      </c>
      <c r="D21" s="143" t="s">
        <v>290</v>
      </c>
      <c r="E21" s="125" t="str">
        <f>VLOOKUP(Table25755252691013434446474849565758596315181719224566676869[[#This Row],[PEG]],Table1016[#All],3,FALSE)</f>
        <v>Prompt</v>
      </c>
    </row>
    <row r="22" spans="1:5" x14ac:dyDescent="0.35">
      <c r="A22" s="118">
        <v>15</v>
      </c>
      <c r="B22" s="114" t="s">
        <v>114</v>
      </c>
      <c r="C22" s="109">
        <v>1234567</v>
      </c>
      <c r="D22" s="143"/>
      <c r="E22" s="125" t="e">
        <f>VLOOKUP(Table25755252691013434446474849565758596315181719224566676869[[#This Row],[PEG]],Table1016[#All],3,FALSE)</f>
        <v>#N/A</v>
      </c>
    </row>
    <row r="23" spans="1:5" x14ac:dyDescent="0.35">
      <c r="A23" s="118">
        <v>16</v>
      </c>
      <c r="B23" s="114" t="s">
        <v>115</v>
      </c>
      <c r="C23" s="109" t="str">
        <f>VLOOKUP(Table25755252691013434446474849565758596315181719224566676869[[#This Row],[PEG]],Table1016[#All],2,FALSE)</f>
        <v>Let’s try that one more time.</v>
      </c>
      <c r="D23" s="143" t="s">
        <v>368</v>
      </c>
      <c r="E23" s="125" t="str">
        <f>VLOOKUP(Table25755252691013434446474849565758596315181719224566676869[[#This Row],[PEG]],Table1016[#All],3,FALSE)</f>
        <v>Prompt</v>
      </c>
    </row>
    <row r="24" spans="1:5" x14ac:dyDescent="0.35">
      <c r="A24" s="118">
        <v>17</v>
      </c>
      <c r="B24" s="114" t="s">
        <v>115</v>
      </c>
      <c r="C24" s="109" t="str">
        <f>VLOOKUP(Table25755252691013434446474849565758596315181719224566676869[[#This Row],[PEG]],Table1016[#All],2,FALSE)</f>
        <v>You can say or enter your 9-digit routing number using your telephone keypad.</v>
      </c>
      <c r="D24" s="143" t="s">
        <v>291</v>
      </c>
      <c r="E24" s="125" t="str">
        <f>VLOOKUP(Table25755252691013434446474849565758596315181719224566676869[[#This Row],[PEG]],Table1016[#All],3,FALSE)</f>
        <v>Prompt</v>
      </c>
    </row>
    <row r="25" spans="1:5" x14ac:dyDescent="0.35">
      <c r="A25" s="118">
        <v>18</v>
      </c>
      <c r="B25" s="114" t="s">
        <v>517</v>
      </c>
      <c r="C25" s="169">
        <v>1234567</v>
      </c>
      <c r="D25" s="143"/>
      <c r="E25" s="125" t="e">
        <f>VLOOKUP(Table25755252691013434446474849565758596315181719224566676869[[#This Row],[PEG]],Table1016[#All],3,FALSE)</f>
        <v>#N/A</v>
      </c>
    </row>
    <row r="26" spans="1:5" ht="29" x14ac:dyDescent="0.35">
      <c r="A26" s="118">
        <v>19</v>
      </c>
      <c r="B26" s="114" t="s">
        <v>115</v>
      </c>
      <c r="C26" s="109" t="str">
        <f>VLOOKUP(Table25755252691013434446474849565758596315181719224566676869[[#This Row],[PEG]],Table1016[#All],2,FALSE)</f>
        <v>It seems you are having trouble. For future transactions you can also access your plan details, or manage your account online anytime at members.lacare.com. One moment while I get someone to help. Make sure to have your invoice available.</v>
      </c>
      <c r="D26" s="143" t="s">
        <v>361</v>
      </c>
      <c r="E26" s="125" t="str">
        <f>VLOOKUP(Table25755252691013434446474849565758596315181719224566676869[[#This Row],[PEG]],Table1016[#All],3,FALSE)</f>
        <v>Prompt</v>
      </c>
    </row>
    <row r="27" spans="1:5" x14ac:dyDescent="0.35">
      <c r="A27" s="118">
        <v>20</v>
      </c>
      <c r="B27" s="114" t="s">
        <v>13</v>
      </c>
      <c r="C27" s="109" t="s">
        <v>13</v>
      </c>
      <c r="D27" s="143"/>
      <c r="E27" s="125" t="e">
        <f>VLOOKUP(Table25755252691013434446474849565758596315181719224566676869[[#This Row],[PEG]],Table1016[#All],3,FALSE)</f>
        <v>#N/A</v>
      </c>
    </row>
    <row r="28" spans="1:5" x14ac:dyDescent="0.35">
      <c r="C28" s="26"/>
      <c r="D28" s="111" t="s">
        <v>0</v>
      </c>
    </row>
    <row r="29" spans="1:5" x14ac:dyDescent="0.35">
      <c r="C29" s="26"/>
    </row>
    <row r="30" spans="1:5" x14ac:dyDescent="0.35">
      <c r="C30" s="26"/>
    </row>
    <row r="31" spans="1:5" x14ac:dyDescent="0.35">
      <c r="C31" s="26"/>
    </row>
    <row r="32" spans="1:5" x14ac:dyDescent="0.35">
      <c r="C32" s="26"/>
    </row>
    <row r="33" spans="3:3" x14ac:dyDescent="0.35">
      <c r="C33" s="26"/>
    </row>
    <row r="34" spans="3:3" x14ac:dyDescent="0.35">
      <c r="C34" s="26"/>
    </row>
    <row r="35" spans="3:3" x14ac:dyDescent="0.35">
      <c r="C35" s="26"/>
    </row>
    <row r="36" spans="3:3" x14ac:dyDescent="0.35">
      <c r="C36" s="26"/>
    </row>
    <row r="37" spans="3:3" x14ac:dyDescent="0.35">
      <c r="C37" s="26"/>
    </row>
    <row r="38" spans="3:3" x14ac:dyDescent="0.35">
      <c r="C38" s="26"/>
    </row>
    <row r="39" spans="3:3" x14ac:dyDescent="0.35">
      <c r="C39" s="26"/>
    </row>
    <row r="40" spans="3:3" x14ac:dyDescent="0.35">
      <c r="C40" s="26"/>
    </row>
    <row r="41" spans="3:3" x14ac:dyDescent="0.35">
      <c r="C41" s="26"/>
    </row>
    <row r="42" spans="3:3" x14ac:dyDescent="0.35">
      <c r="C42" s="26"/>
    </row>
    <row r="43" spans="3:3" x14ac:dyDescent="0.35">
      <c r="C43" s="27"/>
    </row>
    <row r="44" spans="3:3" x14ac:dyDescent="0.35">
      <c r="C44" s="27"/>
    </row>
    <row r="45" spans="3:3" x14ac:dyDescent="0.35">
      <c r="C45" s="27"/>
    </row>
  </sheetData>
  <mergeCells count="1">
    <mergeCell ref="A1:B1"/>
  </mergeCells>
  <conditionalFormatting sqref="C28:C9984">
    <cfRule type="expression" dxfId="4778" priority="44">
      <formula>$B28="Dial"</formula>
    </cfRule>
    <cfRule type="expression" dxfId="4777" priority="46">
      <formula>$B28="HANGUP"</formula>
    </cfRule>
  </conditionalFormatting>
  <conditionalFormatting sqref="B8">
    <cfRule type="containsText" dxfId="4776" priority="7" operator="containsText" text="Hear">
      <formula>NOT(ISERROR(SEARCH("Hear",B8)))</formula>
    </cfRule>
  </conditionalFormatting>
  <conditionalFormatting sqref="B18:B27">
    <cfRule type="containsText" dxfId="4775" priority="6" operator="containsText" text="Hear">
      <formula>NOT(ISERROR(SEARCH("Hear",B18)))</formula>
    </cfRule>
  </conditionalFormatting>
  <conditionalFormatting sqref="B14:B17">
    <cfRule type="containsText" dxfId="4774" priority="5" operator="containsText" text="Hear">
      <formula>NOT(ISERROR(SEARCH("Hear",B14)))</formula>
    </cfRule>
  </conditionalFormatting>
  <conditionalFormatting sqref="B9:B13">
    <cfRule type="containsText" dxfId="4773" priority="4" operator="containsText" text="Hear">
      <formula>NOT(ISERROR(SEARCH("Hear",B9)))</formula>
    </cfRule>
  </conditionalFormatting>
  <conditionalFormatting sqref="C10:C27">
    <cfRule type="expression" dxfId="4772" priority="1">
      <formula>$B10="Dial"</formula>
    </cfRule>
    <cfRule type="expression" dxfId="4771" priority="3">
      <formula>$B10="HANGUP"</formula>
    </cfRule>
  </conditionalFormatting>
  <conditionalFormatting sqref="C10:C27">
    <cfRule type="expression" dxfId="4770" priority="2">
      <formula>$B10="Speak"</formula>
    </cfRule>
  </conditionalFormatting>
  <hyperlinks>
    <hyperlink ref="A1" location="'Test Case Overview'!A1" display="Return to Test Case Overview" xr:uid="{00000000-0004-0000-2900-000000000000}"/>
  </hyperlinks>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expression" priority="40" id="{AB3A02B8-7E86-455B-AD2C-D49AA7CC7F3F}">
            <xm:f>'TC1'!$B8="HANGUP"</xm:f>
            <x14:dxf>
              <font>
                <b/>
                <i val="0"/>
              </font>
            </x14:dxf>
          </x14:cfRule>
          <x14:cfRule type="expression" priority="48" id="{EE1124E6-CA69-4FFC-B699-61B7A42D5EE5}">
            <xm:f>'TC1'!$B8="Dial"</xm:f>
            <x14:dxf>
              <font>
                <b/>
                <i val="0"/>
                <color rgb="FFFF0000"/>
              </font>
            </x14:dxf>
          </x14:cfRule>
          <xm:sqref>C8</xm:sqref>
        </x14:conditionalFormatting>
        <x14:conditionalFormatting xmlns:xm="http://schemas.microsoft.com/office/excel/2006/main">
          <x14:cfRule type="expression" priority="49" id="{26B75B24-BEC1-4762-B8F5-A895AB1338EE}">
            <xm:f>'TC1'!$B8="Speak"</xm:f>
            <x14:dxf>
              <font>
                <b/>
                <i val="0"/>
                <color rgb="FFFF0000"/>
              </font>
            </x14:dxf>
          </x14:cfRule>
          <xm:sqref>C8</xm:sqref>
        </x14:conditionalFormatting>
        <x14:conditionalFormatting xmlns:xm="http://schemas.microsoft.com/office/excel/2006/main">
          <x14:cfRule type="containsText" priority="1105" operator="containsText" text="DB" id="{976FCC1F-8148-480C-B677-478C1054B37B}">
            <xm:f>NOT(ISERROR(SEARCH("DB",'TC1'!#REF!)))</xm:f>
            <x14:dxf>
              <font>
                <color rgb="FF006100"/>
              </font>
              <fill>
                <patternFill>
                  <bgColor rgb="FFC6EFCE"/>
                </patternFill>
              </fill>
            </x14:dxf>
          </x14:cfRule>
          <x14:cfRule type="containsText" priority="1106" operator="containsText" text="WEB SERVICE" id="{1DEBF116-54D4-4E9B-B92B-B6B1F52A1B97}">
            <xm:f>NOT(ISERROR(SEARCH("WEB SERVICE",'TC1'!#REF!)))</xm:f>
            <x14:dxf>
              <font>
                <color rgb="FF9C0006"/>
              </font>
              <fill>
                <patternFill>
                  <bgColor rgb="FFFFC7CE"/>
                </patternFill>
              </fill>
            </x14:dxf>
          </x14:cfRule>
          <xm:sqref>E17:E27</xm:sqref>
        </x14:conditionalFormatting>
        <x14:conditionalFormatting xmlns:xm="http://schemas.microsoft.com/office/excel/2006/main">
          <x14:cfRule type="expression" priority="3923" id="{AB3A02B8-7E86-455B-AD2C-D49AA7CC7F3F}">
            <xm:f>'TC1'!#REF!="HANGUP"</xm:f>
            <x14:dxf>
              <font>
                <b/>
                <i val="0"/>
              </font>
            </x14:dxf>
          </x14:cfRule>
          <x14:cfRule type="expression" priority="3924" id="{EE1124E6-CA69-4FFC-B699-61B7A42D5EE5}">
            <xm:f>'TC1'!#REF!="Dial"</xm:f>
            <x14:dxf>
              <font>
                <b/>
                <i val="0"/>
                <color rgb="FFFF0000"/>
              </font>
            </x14:dxf>
          </x14:cfRule>
          <xm:sqref>C9</xm:sqref>
        </x14:conditionalFormatting>
        <x14:conditionalFormatting xmlns:xm="http://schemas.microsoft.com/office/excel/2006/main">
          <x14:cfRule type="expression" priority="3929" id="{26B75B24-BEC1-4762-B8F5-A895AB1338EE}">
            <xm:f>'TC1'!#REF!="Speak"</xm:f>
            <x14:dxf>
              <font>
                <b/>
                <i val="0"/>
                <color rgb="FFFF0000"/>
              </font>
            </x14:dxf>
          </x14:cfRule>
          <xm:sqref>C9</xm:sqref>
        </x14:conditionalFormatting>
        <x14:conditionalFormatting xmlns:xm="http://schemas.microsoft.com/office/excel/2006/main">
          <x14:cfRule type="containsText" priority="3931" operator="containsText" text="DB" id="{976FCC1F-8148-480C-B677-478C1054B37B}">
            <xm:f>NOT(ISERROR(SEARCH("DB",'TC1'!#REF!)))</xm:f>
            <x14:dxf>
              <font>
                <color rgb="FF006100"/>
              </font>
              <fill>
                <patternFill>
                  <bgColor rgb="FFC6EFCE"/>
                </patternFill>
              </fill>
            </x14:dxf>
          </x14:cfRule>
          <x14:cfRule type="containsText" priority="3932" operator="containsText" text="WEB SERVICE" id="{1DEBF116-54D4-4E9B-B92B-B6B1F52A1B97}">
            <xm:f>NOT(ISERROR(SEARCH("WEB SERVICE",'TC1'!#REF!)))</xm:f>
            <x14:dxf>
              <font>
                <color rgb="FF9C0006"/>
              </font>
              <fill>
                <patternFill>
                  <bgColor rgb="FFFFC7CE"/>
                </patternFill>
              </fill>
            </x14:dxf>
          </x14:cfRule>
          <xm:sqref>E9:E11</xm:sqref>
        </x14:conditionalFormatting>
        <x14:conditionalFormatting xmlns:xm="http://schemas.microsoft.com/office/excel/2006/main">
          <x14:cfRule type="containsText" priority="3933" operator="containsText" text="DB" id="{976FCC1F-8148-480C-B677-478C1054B37B}">
            <xm:f>NOT(ISERROR(SEARCH("DB",'TC1'!E9)))</xm:f>
            <x14:dxf>
              <font>
                <color rgb="FF006100"/>
              </font>
              <fill>
                <patternFill>
                  <bgColor rgb="FFC6EFCE"/>
                </patternFill>
              </fill>
            </x14:dxf>
          </x14:cfRule>
          <x14:cfRule type="containsText" priority="3934" operator="containsText" text="WEB SERVICE" id="{1DEBF116-54D4-4E9B-B92B-B6B1F52A1B97}">
            <xm:f>NOT(ISERROR(SEARCH("WEB SERVICE",'TC1'!E9)))</xm:f>
            <x14:dxf>
              <font>
                <color rgb="FF9C0006"/>
              </font>
              <fill>
                <patternFill>
                  <bgColor rgb="FFFFC7CE"/>
                </patternFill>
              </fill>
            </x14:dxf>
          </x14:cfRule>
          <xm:sqref>E12:E15</xm:sqref>
        </x14:conditionalFormatting>
        <x14:conditionalFormatting xmlns:xm="http://schemas.microsoft.com/office/excel/2006/main">
          <x14:cfRule type="containsText" priority="6454" operator="containsText" text="DB" id="{976FCC1F-8148-480C-B677-478C1054B37B}">
            <xm:f>NOT(ISERROR(SEARCH("DB",'TC1'!E15)))</xm:f>
            <x14:dxf>
              <font>
                <color rgb="FF006100"/>
              </font>
              <fill>
                <patternFill>
                  <bgColor rgb="FFC6EFCE"/>
                </patternFill>
              </fill>
            </x14:dxf>
          </x14:cfRule>
          <x14:cfRule type="containsText" priority="6455" operator="containsText" text="WEB SERVICE" id="{1DEBF116-54D4-4E9B-B92B-B6B1F52A1B97}">
            <xm:f>NOT(ISERROR(SEARCH("WEB SERVICE",'TC1'!E15)))</xm:f>
            <x14:dxf>
              <font>
                <color rgb="FF9C0006"/>
              </font>
              <fill>
                <patternFill>
                  <bgColor rgb="FFFFC7CE"/>
                </patternFill>
              </fill>
            </x14:dxf>
          </x14:cfRule>
          <xm:sqref>E16</xm:sqref>
        </x14:conditionalFormatting>
      </x14:conditionalFormattings>
    </ext>
  </extLst>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4"/>
  <dimension ref="A1:E47"/>
  <sheetViews>
    <sheetView topLeftCell="A7" zoomScaleNormal="100" workbookViewId="0">
      <selection activeCell="C20" sqref="C20"/>
    </sheetView>
  </sheetViews>
  <sheetFormatPr defaultRowHeight="14.5" x14ac:dyDescent="0.35"/>
  <cols>
    <col min="1" max="1" width="14.453125" style="97" bestFit="1" customWidth="1"/>
    <col min="2" max="2" width="42.6328125" style="97" customWidth="1"/>
    <col min="3" max="3" width="106.1796875" style="98" customWidth="1"/>
    <col min="4" max="4" width="21.81640625" style="111" bestFit="1" customWidth="1"/>
    <col min="5" max="5" width="20.6328125" style="97" customWidth="1"/>
  </cols>
  <sheetData>
    <row r="1" spans="1:5" ht="18.5" x14ac:dyDescent="0.35">
      <c r="A1" s="192" t="s">
        <v>4</v>
      </c>
      <c r="B1" s="192"/>
      <c r="C1" s="105"/>
    </row>
    <row r="2" spans="1:5" x14ac:dyDescent="0.35">
      <c r="A2" s="106" t="s">
        <v>5</v>
      </c>
      <c r="B2" s="107" t="str">
        <f ca="1">MID(CELL("filename",A1),FIND("]",CELL("filename",A1))+1,LEN(CELL("filename",A1))-FIND("]",CELL("filename",A1)))</f>
        <v>TC42</v>
      </c>
    </row>
    <row r="3" spans="1:5" x14ac:dyDescent="0.35">
      <c r="A3" s="104" t="s">
        <v>19</v>
      </c>
      <c r="B3" s="112">
        <f ca="1">VLOOKUP(B2,Table53[#All],2,FALSE)</f>
        <v>0</v>
      </c>
    </row>
    <row r="4" spans="1:5" ht="29" x14ac:dyDescent="0.35">
      <c r="A4" s="113" t="s">
        <v>20</v>
      </c>
      <c r="B4" s="99" t="str">
        <f ca="1">VLOOKUP(B2,Table53[#All],4,FALSE)</f>
        <v>No Recurring, Current Due, No Stored Mthd</v>
      </c>
    </row>
    <row r="5" spans="1:5" x14ac:dyDescent="0.35">
      <c r="A5" s="104" t="s">
        <v>6</v>
      </c>
      <c r="B5" s="93" t="str">
        <f ca="1">VLOOKUP(B2,Table53[#All],3,FALSE)</f>
        <v>Confirm Route No Input x3</v>
      </c>
    </row>
    <row r="7" spans="1:5" ht="15.5" x14ac:dyDescent="0.35">
      <c r="A7" s="100" t="s">
        <v>7</v>
      </c>
      <c r="B7" s="101" t="s">
        <v>8</v>
      </c>
      <c r="C7" s="102" t="s">
        <v>9</v>
      </c>
      <c r="D7" s="102" t="s">
        <v>14</v>
      </c>
      <c r="E7" s="103" t="s">
        <v>10</v>
      </c>
    </row>
    <row r="8" spans="1:5" x14ac:dyDescent="0.35">
      <c r="A8" s="118">
        <v>1</v>
      </c>
      <c r="B8" s="114" t="s">
        <v>114</v>
      </c>
      <c r="C8" s="109" t="s">
        <v>125</v>
      </c>
      <c r="D8" s="128"/>
      <c r="E8" s="125" t="s">
        <v>11</v>
      </c>
    </row>
    <row r="9" spans="1:5" x14ac:dyDescent="0.35">
      <c r="A9" s="118">
        <v>2</v>
      </c>
      <c r="B9" s="114" t="s">
        <v>115</v>
      </c>
      <c r="C9" s="109" t="str">
        <f>VLOOKUP(Table257552526910134344464748495657585963151817192245666771[[#This Row],[PEG]],Table1016[#All],2,FALSE)</f>
        <v>To get started, tell me your Account Number</v>
      </c>
      <c r="D9" s="141" t="s">
        <v>245</v>
      </c>
      <c r="E9" s="125" t="str">
        <f>VLOOKUP(Table257552526910134344464748495657585963151817192245666771[[#This Row],[PEG]],Table1016[#All],3,FALSE)</f>
        <v>Prompt</v>
      </c>
    </row>
    <row r="10" spans="1:5" x14ac:dyDescent="0.35">
      <c r="A10" s="118">
        <v>3</v>
      </c>
      <c r="B10" s="114" t="s">
        <v>114</v>
      </c>
      <c r="C10" s="109" t="s">
        <v>412</v>
      </c>
      <c r="D10" s="141"/>
      <c r="E10" s="125" t="e">
        <f>VLOOKUP(Table257552526910134344464748495657585963151817192245666771[[#This Row],[PEG]],Table1016[#All],3,FALSE)</f>
        <v>#N/A</v>
      </c>
    </row>
    <row r="11" spans="1:5" ht="174" x14ac:dyDescent="0.35">
      <c r="A11" s="118">
        <v>4</v>
      </c>
      <c r="B11" s="114" t="s">
        <v>12</v>
      </c>
      <c r="C11" s="109" t="str">
        <f>VLOOKUP(Table257552526910134344464748495657585963151817192245666771[[#This Row],[PEG]],Table1016[#All],2,FALSE)</f>
        <v>SAP HANA – SAP01_GetMember
inputs:
idnumber = iIdnumber	T
idtype 	= iIdtype
outputs:
~ Billing Reference
~ Enrollment Details
~ Billing Details
~ Last Payment
~ Recurring Payment Method
~ Stored Payment Method</v>
      </c>
      <c r="D11" s="141" t="s">
        <v>371</v>
      </c>
      <c r="E11" s="125" t="str">
        <f>VLOOKUP(Table257552526910134344464748495657585963151817192245666771[[#This Row],[PEG]],Table1016[#All],3,FALSE)</f>
        <v>DB</v>
      </c>
    </row>
    <row r="12" spans="1:5" x14ac:dyDescent="0.35">
      <c r="A12" s="118">
        <v>5</v>
      </c>
      <c r="B12" s="114" t="s">
        <v>115</v>
      </c>
      <c r="C12" s="109" t="str">
        <f>VLOOKUP(Table257552526910134344464748495657585963151817192245666771[[#This Row],[PEG]],Table1016[#All],2,FALSE)</f>
        <v>Thanks, I found your account!</v>
      </c>
      <c r="D12" s="141" t="s">
        <v>248</v>
      </c>
      <c r="E12" s="125" t="str">
        <f>VLOOKUP(Table257552526910134344464748495657585963151817192245666771[[#This Row],[PEG]],Table1016[#All],3,FALSE)</f>
        <v>Prompt</v>
      </c>
    </row>
    <row r="13" spans="1:5" x14ac:dyDescent="0.35">
      <c r="A13" s="118">
        <v>6</v>
      </c>
      <c r="B13" s="114" t="s">
        <v>115</v>
      </c>
      <c r="C13" s="109" t="str">
        <f>VLOOKUP(Table257552526910134344464748495657585963151817192245666771[[#This Row],[PEG]],Table1016[#All],2,FALSE)</f>
        <v>A current balance of &lt;SAP01_CurrentDue&gt; is due by &lt;SAP01_Duedate&gt;.</v>
      </c>
      <c r="D13" s="141" t="s">
        <v>258</v>
      </c>
      <c r="E13" s="125" t="str">
        <f>VLOOKUP(Table257552526910134344464748495657585963151817192245666771[[#This Row],[PEG]],Table1016[#All],3,FALSE)</f>
        <v>Prompt</v>
      </c>
    </row>
    <row r="14" spans="1:5" x14ac:dyDescent="0.35">
      <c r="A14" s="118">
        <v>7</v>
      </c>
      <c r="B14" s="114" t="s">
        <v>115</v>
      </c>
      <c r="C14" s="109" t="str">
        <f>VLOOKUP(Table257552526910134344464748495657585963151817192245666771[[#This Row],[PEG]],Table1016[#All],2,FALSE)</f>
        <v>Would you like to pay this in full today?</v>
      </c>
      <c r="D14" s="164" t="s">
        <v>260</v>
      </c>
      <c r="E14" s="125" t="str">
        <f>VLOOKUP(Table257552526910134344464748495657585963151817192245666771[[#This Row],[PEG]],Table1016[#All],3,FALSE)</f>
        <v>Prompt</v>
      </c>
    </row>
    <row r="15" spans="1:5" x14ac:dyDescent="0.35">
      <c r="A15" s="118">
        <v>8</v>
      </c>
      <c r="B15" s="114" t="s">
        <v>114</v>
      </c>
      <c r="C15" s="109">
        <v>1</v>
      </c>
      <c r="D15" s="164"/>
      <c r="E15" s="125" t="e">
        <f>VLOOKUP(Table257552526910134344464748495657585963151817192245666771[[#This Row],[PEG]],Table1016[#All],3,FALSE)</f>
        <v>#N/A</v>
      </c>
    </row>
    <row r="16" spans="1:5" x14ac:dyDescent="0.35">
      <c r="A16" s="118">
        <v>9</v>
      </c>
      <c r="B16" s="114" t="s">
        <v>115</v>
      </c>
      <c r="C16" s="109" t="str">
        <f>VLOOKUP(Table257552526910134344464748495657585963151817192245666771[[#This Row],[PEG]],Table1016[#All],2,FALSE)</f>
        <v>Ok, are you using Credit, Debit, Checking or Savings?</v>
      </c>
      <c r="D16" s="143" t="s">
        <v>286</v>
      </c>
      <c r="E16" s="125" t="str">
        <f>VLOOKUP(Table257552526910134344464748495657585963151817192245666771[[#This Row],[PEG]],Table1016[#All],3,FALSE)</f>
        <v>Prompt</v>
      </c>
    </row>
    <row r="17" spans="1:5" x14ac:dyDescent="0.35">
      <c r="A17" s="118">
        <v>10</v>
      </c>
      <c r="B17" s="114" t="s">
        <v>114</v>
      </c>
      <c r="C17" s="109">
        <v>4</v>
      </c>
      <c r="D17" s="117"/>
      <c r="E17" s="125" t="e">
        <f>VLOOKUP(Table257552526910134344464748495657585963151817192245666771[[#This Row],[PEG]],Table1016[#All],3,FALSE)</f>
        <v>#N/A</v>
      </c>
    </row>
    <row r="18" spans="1:5" x14ac:dyDescent="0.35">
      <c r="A18" s="118">
        <v>11</v>
      </c>
      <c r="B18" s="114" t="s">
        <v>115</v>
      </c>
      <c r="C18" s="109" t="str">
        <f>VLOOKUP(Table257552526910134344464748495657585963151817192245666771[[#This Row],[PEG]],Table1016[#All],2,FALSE)</f>
        <v>Tell me your 9-digit routing number.</v>
      </c>
      <c r="D18" s="143" t="s">
        <v>289</v>
      </c>
      <c r="E18" s="125" t="str">
        <f>VLOOKUP(Table257552526910134344464748495657585963151817192245666771[[#This Row],[PEG]],Table1016[#All],3,FALSE)</f>
        <v>Prompt</v>
      </c>
    </row>
    <row r="19" spans="1:5" x14ac:dyDescent="0.35">
      <c r="A19" s="118">
        <v>12</v>
      </c>
      <c r="B19" s="114" t="s">
        <v>114</v>
      </c>
      <c r="C19" s="109" t="s">
        <v>501</v>
      </c>
      <c r="D19" s="143"/>
      <c r="E19" s="125" t="e">
        <f>VLOOKUP(Table257552526910134344464748495657585963151817192245666771[[#This Row],[PEG]],Table1016[#All],3,FALSE)</f>
        <v>#N/A</v>
      </c>
    </row>
    <row r="20" spans="1:5" x14ac:dyDescent="0.35">
      <c r="A20" s="118">
        <v>13</v>
      </c>
      <c r="B20" s="114" t="s">
        <v>115</v>
      </c>
      <c r="C20" s="109" t="str">
        <f>VLOOKUP(Table257552526910134344464748495657585963151817192245666771[[#This Row],[PEG]],Table1016[#All],2,FALSE)</f>
        <v>Is &lt;ivrBankKey&gt; the right number?</v>
      </c>
      <c r="D20" s="143" t="s">
        <v>292</v>
      </c>
      <c r="E20" s="125" t="str">
        <f>VLOOKUP(Table257552526910134344464748495657585963151817192245666771[[#This Row],[PEG]],Table1016[#All],3,FALSE)</f>
        <v>Prompt</v>
      </c>
    </row>
    <row r="21" spans="1:5" x14ac:dyDescent="0.35">
      <c r="A21" s="118">
        <v>14</v>
      </c>
      <c r="B21" s="114" t="s">
        <v>114</v>
      </c>
      <c r="C21" s="109" t="s">
        <v>478</v>
      </c>
      <c r="D21" s="143"/>
      <c r="E21" s="125" t="e">
        <f>VLOOKUP(Table257552526910134344464748495657585963151817192245666771[[#This Row],[PEG]],Table1016[#All],3,FALSE)</f>
        <v>#N/A</v>
      </c>
    </row>
    <row r="22" spans="1:5" x14ac:dyDescent="0.35">
      <c r="A22" s="118">
        <v>15</v>
      </c>
      <c r="B22" s="114" t="s">
        <v>115</v>
      </c>
      <c r="C22" s="109" t="str">
        <f>VLOOKUP(Table257552526910134344464748495657585963151817192245666771[[#This Row],[PEG]],Table1016[#All],2,FALSE)</f>
        <v>I didn’t get that.</v>
      </c>
      <c r="D22" s="143" t="s">
        <v>365</v>
      </c>
      <c r="E22" s="125" t="str">
        <f>VLOOKUP(Table257552526910134344464748495657585963151817192245666771[[#This Row],[PEG]],Table1016[#All],3,FALSE)</f>
        <v>Prompt</v>
      </c>
    </row>
    <row r="23" spans="1:5" x14ac:dyDescent="0.35">
      <c r="A23" s="118">
        <v>16</v>
      </c>
      <c r="B23" s="114" t="s">
        <v>115</v>
      </c>
      <c r="C23" s="109" t="str">
        <f>VLOOKUP(Table257552526910134344464748495657585963151817192245666771[[#This Row],[PEG]],Table1016[#All],2,FALSE)</f>
        <v>Is that the right routing number?  Just say yes or no.</v>
      </c>
      <c r="D23" s="143" t="s">
        <v>293</v>
      </c>
      <c r="E23" s="125" t="str">
        <f>VLOOKUP(Table257552526910134344464748495657585963151817192245666771[[#This Row],[PEG]],Table1016[#All],3,FALSE)</f>
        <v>Prompt</v>
      </c>
    </row>
    <row r="24" spans="1:5" x14ac:dyDescent="0.35">
      <c r="A24" s="118">
        <v>17</v>
      </c>
      <c r="B24" s="114" t="s">
        <v>114</v>
      </c>
      <c r="C24" s="109" t="s">
        <v>478</v>
      </c>
      <c r="D24" s="143"/>
      <c r="E24" s="125" t="e">
        <f>VLOOKUP(Table257552526910134344464748495657585963151817192245666771[[#This Row],[PEG]],Table1016[#All],3,FALSE)</f>
        <v>#N/A</v>
      </c>
    </row>
    <row r="25" spans="1:5" x14ac:dyDescent="0.35">
      <c r="A25" s="118">
        <v>18</v>
      </c>
      <c r="B25" s="114" t="s">
        <v>115</v>
      </c>
      <c r="C25" s="109" t="str">
        <f>VLOOKUP(Table257552526910134344464748495657585963151817192245666771[[#This Row],[PEG]],Table1016[#All],2,FALSE)</f>
        <v>I still didn’t get that.</v>
      </c>
      <c r="D25" s="143" t="s">
        <v>366</v>
      </c>
      <c r="E25" s="125" t="str">
        <f>VLOOKUP(Table257552526910134344464748495657585963151817192245666771[[#This Row],[PEG]],Table1016[#All],3,FALSE)</f>
        <v>Prompt</v>
      </c>
    </row>
    <row r="26" spans="1:5" ht="29" x14ac:dyDescent="0.35">
      <c r="A26" s="118">
        <v>19</v>
      </c>
      <c r="B26" s="114" t="s">
        <v>115</v>
      </c>
      <c r="C26" s="109" t="str">
        <f>VLOOKUP(Table257552526910134344464748495657585963151817192245666771[[#This Row],[PEG]],Table1016[#All],2,FALSE)</f>
        <v>If that number is correct, say yes or press 1.
Otherwise say no or press 2.</v>
      </c>
      <c r="D26" s="143" t="s">
        <v>294</v>
      </c>
      <c r="E26" s="125" t="str">
        <f>VLOOKUP(Table257552526910134344464748495657585963151817192245666771[[#This Row],[PEG]],Table1016[#All],3,FALSE)</f>
        <v>Prompt</v>
      </c>
    </row>
    <row r="27" spans="1:5" x14ac:dyDescent="0.35">
      <c r="A27" s="118">
        <v>20</v>
      </c>
      <c r="B27" s="114" t="s">
        <v>114</v>
      </c>
      <c r="C27" s="109" t="s">
        <v>478</v>
      </c>
      <c r="D27" s="143"/>
      <c r="E27" s="125" t="e">
        <f>VLOOKUP(Table257552526910134344464748495657585963151817192245666771[[#This Row],[PEG]],Table1016[#All],3,FALSE)</f>
        <v>#N/A</v>
      </c>
    </row>
    <row r="28" spans="1:5" ht="29" x14ac:dyDescent="0.35">
      <c r="A28" s="118">
        <v>21</v>
      </c>
      <c r="B28" s="114" t="s">
        <v>115</v>
      </c>
      <c r="C28" s="109" t="str">
        <f>VLOOKUP(Table257552526910134344464748495657585963151817192245666771[[#This Row],[PEG]],Table1016[#All],2,FALSE)</f>
        <v>It seems you are having trouble. For future transactions you can also access your plan details, or manage your account online anytime at members.lacare.com. One moment while I get someone to help. Make sure to have your invoice available.</v>
      </c>
      <c r="D28" s="143" t="s">
        <v>361</v>
      </c>
      <c r="E28" s="125" t="str">
        <f>VLOOKUP(Table257552526910134344464748495657585963151817192245666771[[#This Row],[PEG]],Table1016[#All],3,FALSE)</f>
        <v>Prompt</v>
      </c>
    </row>
    <row r="29" spans="1:5" x14ac:dyDescent="0.35">
      <c r="A29" s="118">
        <v>22</v>
      </c>
      <c r="B29" s="114" t="s">
        <v>13</v>
      </c>
      <c r="C29" s="109" t="s">
        <v>13</v>
      </c>
      <c r="D29" s="117"/>
      <c r="E29" s="125" t="e">
        <f>VLOOKUP(Table257552526910134344464748495657585963151817192245666771[[#This Row],[PEG]],Table1016[#All],3,FALSE)</f>
        <v>#N/A</v>
      </c>
    </row>
    <row r="30" spans="1:5" x14ac:dyDescent="0.35">
      <c r="C30" s="26"/>
      <c r="D30" s="111" t="s">
        <v>0</v>
      </c>
    </row>
    <row r="31" spans="1:5" x14ac:dyDescent="0.35">
      <c r="C31" s="26"/>
    </row>
    <row r="32" spans="1:5" x14ac:dyDescent="0.35">
      <c r="C32" s="26"/>
    </row>
    <row r="33" spans="3:3" x14ac:dyDescent="0.35">
      <c r="C33" s="26"/>
    </row>
    <row r="34" spans="3:3" x14ac:dyDescent="0.35">
      <c r="C34" s="26"/>
    </row>
    <row r="35" spans="3:3" x14ac:dyDescent="0.35">
      <c r="C35" s="26"/>
    </row>
    <row r="36" spans="3:3" x14ac:dyDescent="0.35">
      <c r="C36" s="26"/>
    </row>
    <row r="37" spans="3:3" x14ac:dyDescent="0.35">
      <c r="C37" s="26"/>
    </row>
    <row r="38" spans="3:3" x14ac:dyDescent="0.35">
      <c r="C38" s="26"/>
    </row>
    <row r="39" spans="3:3" x14ac:dyDescent="0.35">
      <c r="C39" s="26"/>
    </row>
    <row r="40" spans="3:3" x14ac:dyDescent="0.35">
      <c r="C40" s="26"/>
    </row>
    <row r="41" spans="3:3" x14ac:dyDescent="0.35">
      <c r="C41" s="26"/>
    </row>
    <row r="42" spans="3:3" x14ac:dyDescent="0.35">
      <c r="C42" s="26"/>
    </row>
    <row r="43" spans="3:3" x14ac:dyDescent="0.35">
      <c r="C43" s="26"/>
    </row>
    <row r="44" spans="3:3" x14ac:dyDescent="0.35">
      <c r="C44" s="26"/>
    </row>
    <row r="45" spans="3:3" x14ac:dyDescent="0.35">
      <c r="C45" s="27"/>
    </row>
    <row r="46" spans="3:3" x14ac:dyDescent="0.35">
      <c r="C46" s="27"/>
    </row>
    <row r="47" spans="3:3" x14ac:dyDescent="0.35">
      <c r="C47" s="27"/>
    </row>
  </sheetData>
  <mergeCells count="1">
    <mergeCell ref="A1:B1"/>
  </mergeCells>
  <conditionalFormatting sqref="C9:C9986">
    <cfRule type="expression" dxfId="4755" priority="26">
      <formula>$B9="Dial"</formula>
    </cfRule>
    <cfRule type="expression" dxfId="4754" priority="28">
      <formula>$B9="HANGUP"</formula>
    </cfRule>
  </conditionalFormatting>
  <conditionalFormatting sqref="B8:B29">
    <cfRule type="containsText" dxfId="4753" priority="4" operator="containsText" text="Hear">
      <formula>NOT(ISERROR(SEARCH("Hear",B8)))</formula>
    </cfRule>
  </conditionalFormatting>
  <conditionalFormatting sqref="C9:C29">
    <cfRule type="expression" dxfId="4752" priority="2">
      <formula>$B9="Speak"</formula>
    </cfRule>
  </conditionalFormatting>
  <hyperlinks>
    <hyperlink ref="A1" location="'Test Case Overview'!A1" display="Return to Test Case Overview" xr:uid="{00000000-0004-0000-2A00-000000000000}"/>
  </hyperlinks>
  <pageMargins left="0.7" right="0.7" top="0.75" bottom="0.75" header="0.3" footer="0.3"/>
  <pageSetup orientation="portrait" r:id="rId1"/>
  <tableParts count="1">
    <tablePart r:id="rId2"/>
  </tableParts>
  <extLst>
    <ext xmlns:x14="http://schemas.microsoft.com/office/spreadsheetml/2009/9/main" uri="{78C0D931-6437-407d-A8EE-F0AAD7539E65}">
      <x14:conditionalFormattings>
        <x14:conditionalFormatting xmlns:xm="http://schemas.microsoft.com/office/excel/2006/main">
          <x14:cfRule type="expression" priority="30" id="{8310FDFF-20EB-4C87-A90E-83D3847BAF83}">
            <xm:f>'TC1'!$B8="HANGUP"</xm:f>
            <x14:dxf>
              <font>
                <b/>
                <i val="0"/>
              </font>
            </x14:dxf>
          </x14:cfRule>
          <x14:cfRule type="expression" priority="30" id="{D875013C-39AB-4902-B3CC-CC9764DF7DC0}">
            <xm:f>'TC1'!$B8="Dial"</xm:f>
            <x14:dxf>
              <font>
                <b/>
                <i val="0"/>
                <color rgb="FFFF0000"/>
              </font>
            </x14:dxf>
          </x14:cfRule>
          <xm:sqref>C8</xm:sqref>
        </x14:conditionalFormatting>
        <x14:conditionalFormatting xmlns:xm="http://schemas.microsoft.com/office/excel/2006/main">
          <x14:cfRule type="expression" priority="31" id="{66064696-BBB4-45C4-BB56-B50563585CB3}">
            <xm:f>'TC1'!$B8="Speak"</xm:f>
            <x14:dxf>
              <font>
                <b/>
                <i val="0"/>
                <color rgb="FFFF0000"/>
              </font>
            </x14:dxf>
          </x14:cfRule>
          <xm:sqref>C8</xm:sqref>
        </x14:conditionalFormatting>
        <x14:conditionalFormatting xmlns:xm="http://schemas.microsoft.com/office/excel/2006/main">
          <x14:cfRule type="containsText" priority="1122" operator="containsText" text="DB" id="{265AF762-C359-48BC-96ED-C0F75C9330A9}">
            <xm:f>NOT(ISERROR(SEARCH("DB",'TC1'!#REF!)))</xm:f>
            <x14:dxf>
              <font>
                <color rgb="FF006100"/>
              </font>
              <fill>
                <patternFill>
                  <bgColor rgb="FFC6EFCE"/>
                </patternFill>
              </fill>
            </x14:dxf>
          </x14:cfRule>
          <x14:cfRule type="containsText" priority="1123" operator="containsText" text="WEB SERVICE" id="{0FC49F0D-8871-4ACA-A01C-ADD609D12F10}">
            <xm:f>NOT(ISERROR(SEARCH("WEB SERVICE",'TC1'!#REF!)))</xm:f>
            <x14:dxf>
              <font>
                <color rgb="FF9C0006"/>
              </font>
              <fill>
                <patternFill>
                  <bgColor rgb="FFFFC7CE"/>
                </patternFill>
              </fill>
            </x14:dxf>
          </x14:cfRule>
          <xm:sqref>E17:E29</xm:sqref>
        </x14:conditionalFormatting>
        <x14:conditionalFormatting xmlns:xm="http://schemas.microsoft.com/office/excel/2006/main">
          <x14:cfRule type="containsText" priority="3946" operator="containsText" text="DB" id="{265AF762-C359-48BC-96ED-C0F75C9330A9}">
            <xm:f>NOT(ISERROR(SEARCH("DB",'TC1'!#REF!)))</xm:f>
            <x14:dxf>
              <font>
                <color rgb="FF006100"/>
              </font>
              <fill>
                <patternFill>
                  <bgColor rgb="FFC6EFCE"/>
                </patternFill>
              </fill>
            </x14:dxf>
          </x14:cfRule>
          <x14:cfRule type="containsText" priority="3947" operator="containsText" text="WEB SERVICE" id="{0FC49F0D-8871-4ACA-A01C-ADD609D12F10}">
            <xm:f>NOT(ISERROR(SEARCH("WEB SERVICE",'TC1'!#REF!)))</xm:f>
            <x14:dxf>
              <font>
                <color rgb="FF9C0006"/>
              </font>
              <fill>
                <patternFill>
                  <bgColor rgb="FFFFC7CE"/>
                </patternFill>
              </fill>
            </x14:dxf>
          </x14:cfRule>
          <xm:sqref>E9:E11</xm:sqref>
        </x14:conditionalFormatting>
        <x14:conditionalFormatting xmlns:xm="http://schemas.microsoft.com/office/excel/2006/main">
          <x14:cfRule type="containsText" priority="3948" operator="containsText" text="DB" id="{265AF762-C359-48BC-96ED-C0F75C9330A9}">
            <xm:f>NOT(ISERROR(SEARCH("DB",'TC1'!E9)))</xm:f>
            <x14:dxf>
              <font>
                <color rgb="FF006100"/>
              </font>
              <fill>
                <patternFill>
                  <bgColor rgb="FFC6EFCE"/>
                </patternFill>
              </fill>
            </x14:dxf>
          </x14:cfRule>
          <x14:cfRule type="containsText" priority="3949" operator="containsText" text="WEB SERVICE" id="{0FC49F0D-8871-4ACA-A01C-ADD609D12F10}">
            <xm:f>NOT(ISERROR(SEARCH("WEB SERVICE",'TC1'!E9)))</xm:f>
            <x14:dxf>
              <font>
                <color rgb="FF9C0006"/>
              </font>
              <fill>
                <patternFill>
                  <bgColor rgb="FFFFC7CE"/>
                </patternFill>
              </fill>
            </x14:dxf>
          </x14:cfRule>
          <xm:sqref>E12:E15</xm:sqref>
        </x14:conditionalFormatting>
        <x14:conditionalFormatting xmlns:xm="http://schemas.microsoft.com/office/excel/2006/main">
          <x14:cfRule type="containsText" priority="6464" operator="containsText" text="DB" id="{265AF762-C359-48BC-96ED-C0F75C9330A9}">
            <xm:f>NOT(ISERROR(SEARCH("DB",'TC1'!E15)))</xm:f>
            <x14:dxf>
              <font>
                <color rgb="FF006100"/>
              </font>
              <fill>
                <patternFill>
                  <bgColor rgb="FFC6EFCE"/>
                </patternFill>
              </fill>
            </x14:dxf>
          </x14:cfRule>
          <x14:cfRule type="containsText" priority="6465" operator="containsText" text="WEB SERVICE" id="{0FC49F0D-8871-4ACA-A01C-ADD609D12F10}">
            <xm:f>NOT(ISERROR(SEARCH("WEB SERVICE",'TC1'!E15)))</xm:f>
            <x14:dxf>
              <font>
                <color rgb="FF9C0006"/>
              </font>
              <fill>
                <patternFill>
                  <bgColor rgb="FFFFC7CE"/>
                </patternFill>
              </fill>
            </x14:dxf>
          </x14:cfRule>
          <xm:sqref>E16</xm:sqref>
        </x14:conditionalFormatting>
      </x14:conditionalFormattings>
    </ext>
  </extLst>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5"/>
  <dimension ref="A1:E47"/>
  <sheetViews>
    <sheetView zoomScaleNormal="100" workbookViewId="0">
      <selection activeCell="B9" sqref="B9:B20"/>
    </sheetView>
  </sheetViews>
  <sheetFormatPr defaultRowHeight="14.5" x14ac:dyDescent="0.35"/>
  <cols>
    <col min="1" max="1" width="14.453125" style="97" bestFit="1" customWidth="1"/>
    <col min="2" max="2" width="42.6328125" style="97" customWidth="1"/>
    <col min="3" max="3" width="106.1796875" style="98" customWidth="1"/>
    <col min="4" max="4" width="21.81640625" style="111" bestFit="1" customWidth="1"/>
    <col min="5" max="5" width="20.6328125" style="97" customWidth="1"/>
  </cols>
  <sheetData>
    <row r="1" spans="1:5" ht="18.5" x14ac:dyDescent="0.35">
      <c r="A1" s="192" t="s">
        <v>4</v>
      </c>
      <c r="B1" s="192"/>
      <c r="C1" s="105"/>
    </row>
    <row r="2" spans="1:5" x14ac:dyDescent="0.35">
      <c r="A2" s="106" t="s">
        <v>5</v>
      </c>
      <c r="B2" s="107" t="str">
        <f ca="1">MID(CELL("filename",A1),FIND("]",CELL("filename",A1))+1,LEN(CELL("filename",A1))-FIND("]",CELL("filename",A1)))</f>
        <v>TC43</v>
      </c>
    </row>
    <row r="3" spans="1:5" x14ac:dyDescent="0.35">
      <c r="A3" s="104" t="s">
        <v>19</v>
      </c>
      <c r="B3" s="112">
        <f ca="1">VLOOKUP(B2,Table53[#All],2,FALSE)</f>
        <v>0</v>
      </c>
    </row>
    <row r="4" spans="1:5" ht="29" x14ac:dyDescent="0.35">
      <c r="A4" s="113" t="s">
        <v>20</v>
      </c>
      <c r="B4" s="99" t="str">
        <f ca="1">VLOOKUP(B2,Table53[#All],4,FALSE)</f>
        <v>No Recurring, Current Due, No Stored Mthd</v>
      </c>
    </row>
    <row r="5" spans="1:5" x14ac:dyDescent="0.35">
      <c r="A5" s="104" t="s">
        <v>6</v>
      </c>
      <c r="B5" s="93" t="str">
        <f ca="1">VLOOKUP(B2,Table53[#All],3,FALSE)</f>
        <v>Confirm Route No Match x3</v>
      </c>
    </row>
    <row r="7" spans="1:5" ht="15.5" x14ac:dyDescent="0.35">
      <c r="A7" s="100" t="s">
        <v>7</v>
      </c>
      <c r="B7" s="101" t="s">
        <v>8</v>
      </c>
      <c r="C7" s="102" t="s">
        <v>9</v>
      </c>
      <c r="D7" s="102" t="s">
        <v>14</v>
      </c>
      <c r="E7" s="103" t="s">
        <v>10</v>
      </c>
    </row>
    <row r="8" spans="1:5" x14ac:dyDescent="0.35">
      <c r="A8" s="118">
        <v>1</v>
      </c>
      <c r="B8" s="114" t="s">
        <v>114</v>
      </c>
      <c r="C8" s="109" t="s">
        <v>125</v>
      </c>
      <c r="D8" s="128"/>
      <c r="E8" s="125" t="s">
        <v>11</v>
      </c>
    </row>
    <row r="9" spans="1:5" x14ac:dyDescent="0.35">
      <c r="A9" s="118">
        <v>2</v>
      </c>
      <c r="B9" s="114" t="s">
        <v>115</v>
      </c>
      <c r="C9" s="109" t="str">
        <f>VLOOKUP(Table25755252691013434446474849565758596315181719224566677172[[#This Row],[PEG]],Table1016[#All],2,FALSE)</f>
        <v>To get started, tell me your Account Number</v>
      </c>
      <c r="D9" s="141" t="s">
        <v>245</v>
      </c>
      <c r="E9" s="125" t="str">
        <f>VLOOKUP(Table25755252691013434446474849565758596315181719224566677172[[#This Row],[PEG]],Table1016[#All],3,FALSE)</f>
        <v>Prompt</v>
      </c>
    </row>
    <row r="10" spans="1:5" x14ac:dyDescent="0.35">
      <c r="A10" s="118">
        <v>3</v>
      </c>
      <c r="B10" s="114" t="s">
        <v>114</v>
      </c>
      <c r="C10" s="109" t="s">
        <v>412</v>
      </c>
      <c r="D10" s="141"/>
      <c r="E10" s="125" t="e">
        <f>VLOOKUP(Table25755252691013434446474849565758596315181719224566677172[[#This Row],[PEG]],Table1016[#All],3,FALSE)</f>
        <v>#N/A</v>
      </c>
    </row>
    <row r="11" spans="1:5" ht="174" x14ac:dyDescent="0.35">
      <c r="A11" s="118">
        <v>4</v>
      </c>
      <c r="B11" s="114" t="s">
        <v>12</v>
      </c>
      <c r="C11" s="109" t="str">
        <f>VLOOKUP(Table25755252691013434446474849565758596315181719224566677172[[#This Row],[PEG]],Table1016[#All],2,FALSE)</f>
        <v>SAP HANA – SAP01_GetMember
inputs:
idnumber = iIdnumber	T
idtype 	= iIdtype
outputs:
~ Billing Reference
~ Enrollment Details
~ Billing Details
~ Last Payment
~ Recurring Payment Method
~ Stored Payment Method</v>
      </c>
      <c r="D11" s="141" t="s">
        <v>371</v>
      </c>
      <c r="E11" s="125" t="str">
        <f>VLOOKUP(Table25755252691013434446474849565758596315181719224566677172[[#This Row],[PEG]],Table1016[#All],3,FALSE)</f>
        <v>DB</v>
      </c>
    </row>
    <row r="12" spans="1:5" x14ac:dyDescent="0.35">
      <c r="A12" s="118">
        <v>5</v>
      </c>
      <c r="B12" s="114" t="s">
        <v>115</v>
      </c>
      <c r="C12" s="109" t="str">
        <f>VLOOKUP(Table25755252691013434446474849565758596315181719224566677172[[#This Row],[PEG]],Table1016[#All],2,FALSE)</f>
        <v>Thanks, I found your account!</v>
      </c>
      <c r="D12" s="141" t="s">
        <v>248</v>
      </c>
      <c r="E12" s="125" t="str">
        <f>VLOOKUP(Table25755252691013434446474849565758596315181719224566677172[[#This Row],[PEG]],Table1016[#All],3,FALSE)</f>
        <v>Prompt</v>
      </c>
    </row>
    <row r="13" spans="1:5" x14ac:dyDescent="0.35">
      <c r="A13" s="118">
        <v>6</v>
      </c>
      <c r="B13" s="114" t="s">
        <v>115</v>
      </c>
      <c r="C13" s="109" t="str">
        <f>VLOOKUP(Table25755252691013434446474849565758596315181719224566677172[[#This Row],[PEG]],Table1016[#All],2,FALSE)</f>
        <v>A current balance of &lt;SAP01_CurrentDue&gt; is due by &lt;SAP01_Duedate&gt;.</v>
      </c>
      <c r="D13" s="141" t="s">
        <v>258</v>
      </c>
      <c r="E13" s="125" t="str">
        <f>VLOOKUP(Table25755252691013434446474849565758596315181719224566677172[[#This Row],[PEG]],Table1016[#All],3,FALSE)</f>
        <v>Prompt</v>
      </c>
    </row>
    <row r="14" spans="1:5" x14ac:dyDescent="0.35">
      <c r="A14" s="118">
        <v>7</v>
      </c>
      <c r="B14" s="114" t="s">
        <v>115</v>
      </c>
      <c r="C14" s="109" t="str">
        <f>VLOOKUP(Table25755252691013434446474849565758596315181719224566677172[[#This Row],[PEG]],Table1016[#All],2,FALSE)</f>
        <v>Would you like to pay this in full today?</v>
      </c>
      <c r="D14" s="164" t="s">
        <v>260</v>
      </c>
      <c r="E14" s="125" t="str">
        <f>VLOOKUP(Table25755252691013434446474849565758596315181719224566677172[[#This Row],[PEG]],Table1016[#All],3,FALSE)</f>
        <v>Prompt</v>
      </c>
    </row>
    <row r="15" spans="1:5" x14ac:dyDescent="0.35">
      <c r="A15" s="118">
        <v>8</v>
      </c>
      <c r="B15" s="114" t="s">
        <v>114</v>
      </c>
      <c r="C15" s="109">
        <v>1</v>
      </c>
      <c r="D15" s="164"/>
      <c r="E15" s="125" t="e">
        <f>VLOOKUP(Table25755252691013434446474849565758596315181719224566677172[[#This Row],[PEG]],Table1016[#All],3,FALSE)</f>
        <v>#N/A</v>
      </c>
    </row>
    <row r="16" spans="1:5" x14ac:dyDescent="0.35">
      <c r="A16" s="118">
        <v>9</v>
      </c>
      <c r="B16" s="114" t="s">
        <v>115</v>
      </c>
      <c r="C16" s="109" t="str">
        <f>VLOOKUP(Table25755252691013434446474849565758596315181719224566677172[[#This Row],[PEG]],Table1016[#All],2,FALSE)</f>
        <v>Ok, are you using Credit, Debit, Checking or Savings?</v>
      </c>
      <c r="D16" s="143" t="s">
        <v>286</v>
      </c>
      <c r="E16" s="125" t="str">
        <f>VLOOKUP(Table25755252691013434446474849565758596315181719224566677172[[#This Row],[PEG]],Table1016[#All],3,FALSE)</f>
        <v>Prompt</v>
      </c>
    </row>
    <row r="17" spans="1:5" x14ac:dyDescent="0.35">
      <c r="A17" s="118">
        <v>10</v>
      </c>
      <c r="B17" s="114" t="s">
        <v>114</v>
      </c>
      <c r="C17" s="109">
        <v>4</v>
      </c>
      <c r="D17" s="143"/>
      <c r="E17" s="125" t="e">
        <f>VLOOKUP(Table25755252691013434446474849565758596315181719224566677172[[#This Row],[PEG]],Table1016[#All],3,FALSE)</f>
        <v>#N/A</v>
      </c>
    </row>
    <row r="18" spans="1:5" x14ac:dyDescent="0.35">
      <c r="A18" s="118">
        <v>11</v>
      </c>
      <c r="B18" s="114" t="s">
        <v>115</v>
      </c>
      <c r="C18" s="109" t="str">
        <f>VLOOKUP(Table25755252691013434446474849565758596315181719224566677172[[#This Row],[PEG]],Table1016[#All],2,FALSE)</f>
        <v>Tell me your 9-digit routing number.</v>
      </c>
      <c r="D18" s="143" t="s">
        <v>289</v>
      </c>
      <c r="E18" s="125" t="str">
        <f>VLOOKUP(Table25755252691013434446474849565758596315181719224566677172[[#This Row],[PEG]],Table1016[#All],3,FALSE)</f>
        <v>Prompt</v>
      </c>
    </row>
    <row r="19" spans="1:5" x14ac:dyDescent="0.35">
      <c r="A19" s="118">
        <v>12</v>
      </c>
      <c r="B19" s="114" t="s">
        <v>114</v>
      </c>
      <c r="C19" s="109" t="s">
        <v>501</v>
      </c>
      <c r="D19" s="143"/>
      <c r="E19" s="125" t="e">
        <f>VLOOKUP(Table25755252691013434446474849565758596315181719224566677172[[#This Row],[PEG]],Table1016[#All],3,FALSE)</f>
        <v>#N/A</v>
      </c>
    </row>
    <row r="20" spans="1:5" x14ac:dyDescent="0.35">
      <c r="A20" s="118">
        <v>13</v>
      </c>
      <c r="B20" s="114" t="s">
        <v>115</v>
      </c>
      <c r="C20" s="109" t="str">
        <f>VLOOKUP(Table25755252691013434446474849565758596315181719224566677172[[#This Row],[PEG]],Table1016[#All],2,FALSE)</f>
        <v>Is &lt;ivrBankKey&gt; the right number?</v>
      </c>
      <c r="D20" s="143" t="s">
        <v>292</v>
      </c>
      <c r="E20" s="125" t="str">
        <f>VLOOKUP(Table25755252691013434446474849565758596315181719224566677172[[#This Row],[PEG]],Table1016[#All],3,FALSE)</f>
        <v>Prompt</v>
      </c>
    </row>
    <row r="21" spans="1:5" x14ac:dyDescent="0.35">
      <c r="A21" s="118">
        <v>14</v>
      </c>
      <c r="B21" s="114" t="s">
        <v>114</v>
      </c>
      <c r="C21" s="109">
        <v>3</v>
      </c>
      <c r="D21" s="143"/>
      <c r="E21" s="125" t="e">
        <f>VLOOKUP(Table25755252691013434446474849565758596315181719224566677172[[#This Row],[PEG]],Table1016[#All],3,FALSE)</f>
        <v>#N/A</v>
      </c>
    </row>
    <row r="22" spans="1:5" x14ac:dyDescent="0.35">
      <c r="A22" s="118">
        <v>15</v>
      </c>
      <c r="B22" s="114" t="s">
        <v>115</v>
      </c>
      <c r="C22" s="109" t="str">
        <f>VLOOKUP(Table25755252691013434446474849565758596315181719224566677172[[#This Row],[PEG]],Table1016[#All],2,FALSE)</f>
        <v>Sorry, I didn’t understand.</v>
      </c>
      <c r="D22" s="143" t="s">
        <v>367</v>
      </c>
      <c r="E22" s="125" t="str">
        <f>VLOOKUP(Table25755252691013434446474849565758596315181719224566677172[[#This Row],[PEG]],Table1016[#All],3,FALSE)</f>
        <v>Prompt</v>
      </c>
    </row>
    <row r="23" spans="1:5" x14ac:dyDescent="0.35">
      <c r="A23" s="118">
        <v>16</v>
      </c>
      <c r="B23" s="114" t="s">
        <v>115</v>
      </c>
      <c r="C23" s="109" t="str">
        <f>VLOOKUP(Table25755252691013434446474849565758596315181719224566677172[[#This Row],[PEG]],Table1016[#All],2,FALSE)</f>
        <v>Is that the right routing number?  Just say yes or no.</v>
      </c>
      <c r="D23" s="143" t="s">
        <v>293</v>
      </c>
      <c r="E23" s="125" t="str">
        <f>VLOOKUP(Table25755252691013434446474849565758596315181719224566677172[[#This Row],[PEG]],Table1016[#All],3,FALSE)</f>
        <v>Prompt</v>
      </c>
    </row>
    <row r="24" spans="1:5" x14ac:dyDescent="0.35">
      <c r="A24" s="118">
        <v>17</v>
      </c>
      <c r="B24" s="114" t="s">
        <v>114</v>
      </c>
      <c r="C24" s="109">
        <v>3</v>
      </c>
      <c r="D24" s="143"/>
      <c r="E24" s="125" t="e">
        <f>VLOOKUP(Table25755252691013434446474849565758596315181719224566677172[[#This Row],[PEG]],Table1016[#All],3,FALSE)</f>
        <v>#N/A</v>
      </c>
    </row>
    <row r="25" spans="1:5" x14ac:dyDescent="0.35">
      <c r="A25" s="118">
        <v>18</v>
      </c>
      <c r="B25" s="114" t="s">
        <v>115</v>
      </c>
      <c r="C25" s="109" t="str">
        <f>VLOOKUP(Table25755252691013434446474849565758596315181719224566677172[[#This Row],[PEG]],Table1016[#All],2,FALSE)</f>
        <v>Let’s try that one more time.</v>
      </c>
      <c r="D25" s="143" t="s">
        <v>368</v>
      </c>
      <c r="E25" s="125" t="str">
        <f>VLOOKUP(Table25755252691013434446474849565758596315181719224566677172[[#This Row],[PEG]],Table1016[#All],3,FALSE)</f>
        <v>Prompt</v>
      </c>
    </row>
    <row r="26" spans="1:5" ht="29" x14ac:dyDescent="0.35">
      <c r="A26" s="118">
        <v>19</v>
      </c>
      <c r="B26" s="114" t="s">
        <v>115</v>
      </c>
      <c r="C26" s="109" t="str">
        <f>VLOOKUP(Table25755252691013434446474849565758596315181719224566677172[[#This Row],[PEG]],Table1016[#All],2,FALSE)</f>
        <v>If that number is correct, say yes or press 1.
Otherwise say no or press 2.</v>
      </c>
      <c r="D26" s="143" t="s">
        <v>294</v>
      </c>
      <c r="E26" s="125" t="str">
        <f>VLOOKUP(Table25755252691013434446474849565758596315181719224566677172[[#This Row],[PEG]],Table1016[#All],3,FALSE)</f>
        <v>Prompt</v>
      </c>
    </row>
    <row r="27" spans="1:5" x14ac:dyDescent="0.35">
      <c r="A27" s="118">
        <v>20</v>
      </c>
      <c r="B27" s="114" t="s">
        <v>114</v>
      </c>
      <c r="C27" s="109">
        <v>3</v>
      </c>
      <c r="D27" s="143"/>
      <c r="E27" s="125" t="e">
        <f>VLOOKUP(Table25755252691013434446474849565758596315181719224566677172[[#This Row],[PEG]],Table1016[#All],3,FALSE)</f>
        <v>#N/A</v>
      </c>
    </row>
    <row r="28" spans="1:5" ht="29" x14ac:dyDescent="0.35">
      <c r="A28" s="118">
        <v>21</v>
      </c>
      <c r="B28" s="114" t="s">
        <v>115</v>
      </c>
      <c r="C28" s="109" t="str">
        <f>VLOOKUP(Table25755252691013434446474849565758596315181719224566677172[[#This Row],[PEG]],Table1016[#All],2,FALSE)</f>
        <v>It seems you are having trouble. For future transactions you can also access your plan details, or manage your account online anytime at members.lacare.com. One moment while I get someone to help. Make sure to have your invoice available.</v>
      </c>
      <c r="D28" s="143" t="s">
        <v>361</v>
      </c>
      <c r="E28" s="125" t="str">
        <f>VLOOKUP(Table25755252691013434446474849565758596315181719224566677172[[#This Row],[PEG]],Table1016[#All],3,FALSE)</f>
        <v>Prompt</v>
      </c>
    </row>
    <row r="29" spans="1:5" x14ac:dyDescent="0.35">
      <c r="A29" s="118">
        <v>22</v>
      </c>
      <c r="B29" s="114" t="s">
        <v>13</v>
      </c>
      <c r="C29" s="109" t="s">
        <v>13</v>
      </c>
      <c r="D29" s="117"/>
      <c r="E29" s="125" t="e">
        <f>VLOOKUP(Table25755252691013434446474849565758596315181719224566677172[[#This Row],[PEG]],Table1016[#All],3,FALSE)</f>
        <v>#N/A</v>
      </c>
    </row>
    <row r="30" spans="1:5" x14ac:dyDescent="0.35">
      <c r="C30" s="26"/>
      <c r="D30" s="111" t="s">
        <v>0</v>
      </c>
    </row>
    <row r="31" spans="1:5" x14ac:dyDescent="0.35">
      <c r="C31" s="26"/>
    </row>
    <row r="32" spans="1:5" x14ac:dyDescent="0.35">
      <c r="C32" s="26"/>
    </row>
    <row r="33" spans="3:3" x14ac:dyDescent="0.35">
      <c r="C33" s="26"/>
    </row>
    <row r="34" spans="3:3" x14ac:dyDescent="0.35">
      <c r="C34" s="26"/>
    </row>
    <row r="35" spans="3:3" x14ac:dyDescent="0.35">
      <c r="C35" s="26"/>
    </row>
    <row r="36" spans="3:3" x14ac:dyDescent="0.35">
      <c r="C36" s="26"/>
    </row>
    <row r="37" spans="3:3" x14ac:dyDescent="0.35">
      <c r="C37" s="26"/>
    </row>
    <row r="38" spans="3:3" x14ac:dyDescent="0.35">
      <c r="C38" s="26"/>
    </row>
    <row r="39" spans="3:3" x14ac:dyDescent="0.35">
      <c r="C39" s="26"/>
    </row>
    <row r="40" spans="3:3" x14ac:dyDescent="0.35">
      <c r="C40" s="26"/>
    </row>
    <row r="41" spans="3:3" x14ac:dyDescent="0.35">
      <c r="C41" s="26"/>
    </row>
    <row r="42" spans="3:3" x14ac:dyDescent="0.35">
      <c r="C42" s="26"/>
    </row>
    <row r="43" spans="3:3" x14ac:dyDescent="0.35">
      <c r="C43" s="26"/>
    </row>
    <row r="44" spans="3:3" x14ac:dyDescent="0.35">
      <c r="C44" s="26"/>
    </row>
    <row r="45" spans="3:3" x14ac:dyDescent="0.35">
      <c r="C45" s="27"/>
    </row>
    <row r="46" spans="3:3" x14ac:dyDescent="0.35">
      <c r="C46" s="27"/>
    </row>
    <row r="47" spans="3:3" x14ac:dyDescent="0.35">
      <c r="C47" s="27"/>
    </row>
  </sheetData>
  <mergeCells count="1">
    <mergeCell ref="A1:B1"/>
  </mergeCells>
  <conditionalFormatting sqref="C9:C9986">
    <cfRule type="expression" dxfId="4740" priority="61">
      <formula>$B9="Dial"</formula>
    </cfRule>
    <cfRule type="expression" dxfId="4739" priority="63">
      <formula>$B9="HANGUP"</formula>
    </cfRule>
  </conditionalFormatting>
  <conditionalFormatting sqref="C9:C29">
    <cfRule type="expression" dxfId="4738" priority="59">
      <formula>$B9="Speak"</formula>
    </cfRule>
  </conditionalFormatting>
  <conditionalFormatting sqref="B8">
    <cfRule type="containsText" dxfId="4737" priority="5" operator="containsText" text="Hear">
      <formula>NOT(ISERROR(SEARCH("Hear",B8)))</formula>
    </cfRule>
  </conditionalFormatting>
  <conditionalFormatting sqref="B9:B29">
    <cfRule type="containsText" dxfId="4736" priority="4" operator="containsText" text="Hear">
      <formula>NOT(ISERROR(SEARCH("Hear",B9)))</formula>
    </cfRule>
  </conditionalFormatting>
  <hyperlinks>
    <hyperlink ref="A1" location="'Test Case Overview'!A1" display="Return to Test Case Overview" xr:uid="{00000000-0004-0000-2B00-000000000000}"/>
  </hyperlinks>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expression" priority="57" id="{3864CA82-D7E6-4107-83BF-4A599BB6400F}">
            <xm:f>'TC1'!$B8="HANGUP"</xm:f>
            <x14:dxf>
              <font>
                <b/>
                <i val="0"/>
              </font>
            </x14:dxf>
          </x14:cfRule>
          <x14:cfRule type="expression" priority="65" id="{BE4EEE8E-6D93-49B9-B0B7-A02DAD586CA5}">
            <xm:f>'TC1'!$B8="Dial"</xm:f>
            <x14:dxf>
              <font>
                <b/>
                <i val="0"/>
                <color rgb="FFFF0000"/>
              </font>
            </x14:dxf>
          </x14:cfRule>
          <xm:sqref>C8</xm:sqref>
        </x14:conditionalFormatting>
        <x14:conditionalFormatting xmlns:xm="http://schemas.microsoft.com/office/excel/2006/main">
          <x14:cfRule type="expression" priority="66" id="{ED22F3F1-C6B1-4B3A-93A6-F469670E46B7}">
            <xm:f>'TC1'!$B8="Speak"</xm:f>
            <x14:dxf>
              <font>
                <b/>
                <i val="0"/>
                <color rgb="FFFF0000"/>
              </font>
            </x14:dxf>
          </x14:cfRule>
          <xm:sqref>C8</xm:sqref>
        </x14:conditionalFormatting>
        <x14:conditionalFormatting xmlns:xm="http://schemas.microsoft.com/office/excel/2006/main">
          <x14:cfRule type="containsText" priority="1141" operator="containsText" text="DB" id="{836383D2-42CD-418D-9B8A-B7EB2176203C}">
            <xm:f>NOT(ISERROR(SEARCH("DB",'TC1'!#REF!)))</xm:f>
            <x14:dxf>
              <font>
                <color rgb="FF006100"/>
              </font>
              <fill>
                <patternFill>
                  <bgColor rgb="FFC6EFCE"/>
                </patternFill>
              </fill>
            </x14:dxf>
          </x14:cfRule>
          <x14:cfRule type="containsText" priority="1142" operator="containsText" text="WEB SERVICE" id="{F11F412A-D682-4905-9C67-382656616BC8}">
            <xm:f>NOT(ISERROR(SEARCH("WEB SERVICE",'TC1'!#REF!)))</xm:f>
            <x14:dxf>
              <font>
                <color rgb="FF9C0006"/>
              </font>
              <fill>
                <patternFill>
                  <bgColor rgb="FFFFC7CE"/>
                </patternFill>
              </fill>
            </x14:dxf>
          </x14:cfRule>
          <xm:sqref>E17:E29</xm:sqref>
        </x14:conditionalFormatting>
        <x14:conditionalFormatting xmlns:xm="http://schemas.microsoft.com/office/excel/2006/main">
          <x14:cfRule type="containsText" priority="3963" operator="containsText" text="DB" id="{836383D2-42CD-418D-9B8A-B7EB2176203C}">
            <xm:f>NOT(ISERROR(SEARCH("DB",'TC1'!#REF!)))</xm:f>
            <x14:dxf>
              <font>
                <color rgb="FF006100"/>
              </font>
              <fill>
                <patternFill>
                  <bgColor rgb="FFC6EFCE"/>
                </patternFill>
              </fill>
            </x14:dxf>
          </x14:cfRule>
          <x14:cfRule type="containsText" priority="3964" operator="containsText" text="WEB SERVICE" id="{F11F412A-D682-4905-9C67-382656616BC8}">
            <xm:f>NOT(ISERROR(SEARCH("WEB SERVICE",'TC1'!#REF!)))</xm:f>
            <x14:dxf>
              <font>
                <color rgb="FF9C0006"/>
              </font>
              <fill>
                <patternFill>
                  <bgColor rgb="FFFFC7CE"/>
                </patternFill>
              </fill>
            </x14:dxf>
          </x14:cfRule>
          <xm:sqref>E9:E11</xm:sqref>
        </x14:conditionalFormatting>
        <x14:conditionalFormatting xmlns:xm="http://schemas.microsoft.com/office/excel/2006/main">
          <x14:cfRule type="containsText" priority="3965" operator="containsText" text="DB" id="{836383D2-42CD-418D-9B8A-B7EB2176203C}">
            <xm:f>NOT(ISERROR(SEARCH("DB",'TC1'!E9)))</xm:f>
            <x14:dxf>
              <font>
                <color rgb="FF006100"/>
              </font>
              <fill>
                <patternFill>
                  <bgColor rgb="FFC6EFCE"/>
                </patternFill>
              </fill>
            </x14:dxf>
          </x14:cfRule>
          <x14:cfRule type="containsText" priority="3966" operator="containsText" text="WEB SERVICE" id="{F11F412A-D682-4905-9C67-382656616BC8}">
            <xm:f>NOT(ISERROR(SEARCH("WEB SERVICE",'TC1'!E9)))</xm:f>
            <x14:dxf>
              <font>
                <color rgb="FF9C0006"/>
              </font>
              <fill>
                <patternFill>
                  <bgColor rgb="FFFFC7CE"/>
                </patternFill>
              </fill>
            </x14:dxf>
          </x14:cfRule>
          <xm:sqref>E12:E15</xm:sqref>
        </x14:conditionalFormatting>
        <x14:conditionalFormatting xmlns:xm="http://schemas.microsoft.com/office/excel/2006/main">
          <x14:cfRule type="containsText" priority="6480" operator="containsText" text="DB" id="{836383D2-42CD-418D-9B8A-B7EB2176203C}">
            <xm:f>NOT(ISERROR(SEARCH("DB",'TC1'!E15)))</xm:f>
            <x14:dxf>
              <font>
                <color rgb="FF006100"/>
              </font>
              <fill>
                <patternFill>
                  <bgColor rgb="FFC6EFCE"/>
                </patternFill>
              </fill>
            </x14:dxf>
          </x14:cfRule>
          <x14:cfRule type="containsText" priority="6481" operator="containsText" text="WEB SERVICE" id="{F11F412A-D682-4905-9C67-382656616BC8}">
            <xm:f>NOT(ISERROR(SEARCH("WEB SERVICE",'TC1'!E15)))</xm:f>
            <x14:dxf>
              <font>
                <color rgb="FF9C0006"/>
              </font>
              <fill>
                <patternFill>
                  <bgColor rgb="FFFFC7CE"/>
                </patternFill>
              </fill>
            </x14:dxf>
          </x14:cfRule>
          <xm:sqref>E16</xm:sqref>
        </x14:conditionalFormatting>
      </x14:conditionalFormattings>
    </ext>
  </extLst>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6"/>
  <dimension ref="A1:E42"/>
  <sheetViews>
    <sheetView zoomScaleNormal="100" workbookViewId="0">
      <selection activeCell="C10" sqref="C10"/>
    </sheetView>
  </sheetViews>
  <sheetFormatPr defaultRowHeight="14.5" x14ac:dyDescent="0.35"/>
  <cols>
    <col min="1" max="1" width="14.453125" style="97" bestFit="1" customWidth="1"/>
    <col min="2" max="2" width="42.6328125" style="97" customWidth="1"/>
    <col min="3" max="3" width="106.1796875" style="98" customWidth="1"/>
    <col min="4" max="4" width="21.81640625" style="111" bestFit="1" customWidth="1"/>
    <col min="5" max="5" width="20.6328125" style="97" customWidth="1"/>
  </cols>
  <sheetData>
    <row r="1" spans="1:5" ht="18.5" x14ac:dyDescent="0.35">
      <c r="A1" s="192" t="s">
        <v>4</v>
      </c>
      <c r="B1" s="192"/>
      <c r="C1" s="105"/>
    </row>
    <row r="2" spans="1:5" x14ac:dyDescent="0.35">
      <c r="A2" s="106" t="s">
        <v>5</v>
      </c>
      <c r="B2" s="107" t="str">
        <f ca="1">MID(CELL("filename",A1),FIND("]",CELL("filename",A1))+1,LEN(CELL("filename",A1))-FIND("]",CELL("filename",A1)))</f>
        <v>TC44</v>
      </c>
    </row>
    <row r="3" spans="1:5" x14ac:dyDescent="0.35">
      <c r="A3" s="104" t="s">
        <v>19</v>
      </c>
      <c r="B3" s="112">
        <f ca="1">VLOOKUP(B2,Table53[#All],2,FALSE)</f>
        <v>0</v>
      </c>
    </row>
    <row r="4" spans="1:5" ht="29" x14ac:dyDescent="0.35">
      <c r="A4" s="113" t="s">
        <v>20</v>
      </c>
      <c r="B4" s="99">
        <f ca="1">VLOOKUP(B2,Table53[#All],4,FALSE)</f>
        <v>0</v>
      </c>
    </row>
    <row r="5" spans="1:5" x14ac:dyDescent="0.35">
      <c r="A5" s="104" t="s">
        <v>6</v>
      </c>
      <c r="B5" s="93" t="str">
        <f ca="1">VLOOKUP(B2,Table53[#All],3,FALSE)</f>
        <v>Invoice Found</v>
      </c>
    </row>
    <row r="7" spans="1:5" ht="15.5" x14ac:dyDescent="0.35">
      <c r="A7" s="100" t="s">
        <v>7</v>
      </c>
      <c r="B7" s="101" t="s">
        <v>8</v>
      </c>
      <c r="C7" s="102" t="s">
        <v>9</v>
      </c>
      <c r="D7" s="102" t="s">
        <v>14</v>
      </c>
      <c r="E7" s="103" t="s">
        <v>10</v>
      </c>
    </row>
    <row r="8" spans="1:5" x14ac:dyDescent="0.35">
      <c r="A8" s="118">
        <v>1</v>
      </c>
      <c r="B8" s="114" t="s">
        <v>114</v>
      </c>
      <c r="C8" s="109" t="s">
        <v>125</v>
      </c>
      <c r="D8" s="128"/>
      <c r="E8" s="125" t="s">
        <v>11</v>
      </c>
    </row>
    <row r="9" spans="1:5" x14ac:dyDescent="0.35">
      <c r="A9" s="118">
        <v>2</v>
      </c>
      <c r="B9" s="114" t="s">
        <v>115</v>
      </c>
      <c r="C9" s="109" t="str">
        <f>VLOOKUP(Table2575525269101343444647484956575859631518171922456667717273[[#This Row],[PEG]],Table1016[#All],2,FALSE)</f>
        <v>To get started, tell me your Account Number</v>
      </c>
      <c r="D9" s="141" t="s">
        <v>245</v>
      </c>
      <c r="E9" s="125" t="str">
        <f>VLOOKUP(Table2575525269101343444647484956575859631518171922456667717273[[#This Row],[PEG]],Table1016[#All],3,FALSE)</f>
        <v>Prompt</v>
      </c>
    </row>
    <row r="10" spans="1:5" x14ac:dyDescent="0.35">
      <c r="A10" s="118">
        <v>3</v>
      </c>
      <c r="B10" s="114" t="s">
        <v>114</v>
      </c>
      <c r="C10" s="109" t="s">
        <v>485</v>
      </c>
      <c r="D10" s="141"/>
      <c r="E10" s="125" t="e">
        <f>VLOOKUP(Table2575525269101343444647484956575859631518171922456667717273[[#This Row],[PEG]],Table1016[#All],3,FALSE)</f>
        <v>#N/A</v>
      </c>
    </row>
    <row r="11" spans="1:5" ht="174" x14ac:dyDescent="0.35">
      <c r="A11" s="118">
        <v>4</v>
      </c>
      <c r="B11" s="114" t="s">
        <v>12</v>
      </c>
      <c r="C11" s="109" t="str">
        <f>VLOOKUP(Table2575525269101343444647484956575859631518171922456667717273[[#This Row],[PEG]],Table1016[#All],2,FALSE)</f>
        <v>SAP HANA – SAP01_GetMember
inputs:
idnumber = iIdnumber	T
idtype 	= iIdtype
outputs:
~ Billing Reference
~ Enrollment Details
~ Billing Details
~ Last Payment
~ Recurring Payment Method
~ Stored Payment Method</v>
      </c>
      <c r="D11" s="141" t="s">
        <v>371</v>
      </c>
      <c r="E11" s="125" t="str">
        <f>VLOOKUP(Table2575525269101343444647484956575859631518171922456667717273[[#This Row],[PEG]],Table1016[#All],3,FALSE)</f>
        <v>DB</v>
      </c>
    </row>
    <row r="12" spans="1:5" x14ac:dyDescent="0.35">
      <c r="A12" s="118">
        <v>5</v>
      </c>
      <c r="B12" s="114" t="s">
        <v>115</v>
      </c>
      <c r="C12" s="109" t="str">
        <f>VLOOKUP(Table2575525269101343444647484956575859631518171922456667717273[[#This Row],[PEG]],Table1016[#All],2,FALSE)</f>
        <v>I did not find an account.</v>
      </c>
      <c r="D12" s="141" t="s">
        <v>249</v>
      </c>
      <c r="E12" s="125" t="str">
        <f>VLOOKUP(Table2575525269101343444647484956575859631518171922456667717273[[#This Row],[PEG]],Table1016[#All],3,FALSE)</f>
        <v>Prompt</v>
      </c>
    </row>
    <row r="13" spans="1:5" x14ac:dyDescent="0.35">
      <c r="A13" s="118">
        <v>6</v>
      </c>
      <c r="B13" s="114" t="s">
        <v>115</v>
      </c>
      <c r="C13" s="109" t="str">
        <f>VLOOKUP(Table2575525269101343444647484956575859631518171922456667717273[[#This Row],[PEG]],Table1016[#All],2,FALSE)</f>
        <v>Just tell me your account number.</v>
      </c>
      <c r="D13" s="164" t="s">
        <v>246</v>
      </c>
      <c r="E13" s="125" t="str">
        <f>VLOOKUP(Table2575525269101343444647484956575859631518171922456667717273[[#This Row],[PEG]],Table1016[#All],3,FALSE)</f>
        <v>Prompt</v>
      </c>
    </row>
    <row r="14" spans="1:5" x14ac:dyDescent="0.35">
      <c r="A14" s="118">
        <v>7</v>
      </c>
      <c r="B14" s="114" t="s">
        <v>114</v>
      </c>
      <c r="C14" s="109" t="s">
        <v>485</v>
      </c>
      <c r="D14" s="164"/>
      <c r="E14" s="125" t="e">
        <f>VLOOKUP(Table2575525269101343444647484956575859631518171922456667717273[[#This Row],[PEG]],Table1016[#All],3,FALSE)</f>
        <v>#N/A</v>
      </c>
    </row>
    <row r="15" spans="1:5" ht="174" x14ac:dyDescent="0.35">
      <c r="A15" s="118">
        <v>8</v>
      </c>
      <c r="B15" s="114" t="s">
        <v>12</v>
      </c>
      <c r="C15" s="109" t="str">
        <f>VLOOKUP(Table2575525269101343444647484956575859631518171922456667717273[[#This Row],[PEG]],Table1016[#All],2,FALSE)</f>
        <v>SAP HANA – SAP01_GetMember
inputs:
idnumber = iIdnumber	T
idtype 	= iIdtype
outputs:
~ Billing Reference
~ Enrollment Details
~ Billing Details
~ Last Payment
~ Recurring Payment Method
~ Stored Payment Method</v>
      </c>
      <c r="D15" s="141" t="s">
        <v>371</v>
      </c>
      <c r="E15" s="125" t="str">
        <f>VLOOKUP(Table2575525269101343444647484956575859631518171922456667717273[[#This Row],[PEG]],Table1016[#All],3,FALSE)</f>
        <v>DB</v>
      </c>
    </row>
    <row r="16" spans="1:5" x14ac:dyDescent="0.35">
      <c r="A16" s="118">
        <v>9</v>
      </c>
      <c r="B16" s="114" t="s">
        <v>115</v>
      </c>
      <c r="C16" s="109" t="str">
        <f>VLOOKUP(Table2575525269101343444647484956575859631518171922456667717273[[#This Row],[PEG]],Table1016[#All],2,FALSE)</f>
        <v>Let’s try that one more time.</v>
      </c>
      <c r="D16" s="165" t="s">
        <v>368</v>
      </c>
      <c r="E16" s="125" t="str">
        <f>VLOOKUP(Table2575525269101343444647484956575859631518171922456667717273[[#This Row],[PEG]],Table1016[#All],3,FALSE)</f>
        <v>Prompt</v>
      </c>
    </row>
    <row r="17" spans="1:5" ht="29" x14ac:dyDescent="0.35">
      <c r="A17" s="118">
        <v>10</v>
      </c>
      <c r="B17" s="114" t="s">
        <v>115</v>
      </c>
      <c r="C17" s="109" t="str">
        <f>VLOOKUP(Table2575525269101343444647484956575859631518171922456667717273[[#This Row],[PEG]],Table1016[#All],2,FALSE)</f>
        <v>Just enter your account number using your touchtone keypad.  If your account number includes letters, enter only the numbers.</v>
      </c>
      <c r="D17" s="165" t="s">
        <v>247</v>
      </c>
      <c r="E17" s="125" t="str">
        <f>VLOOKUP(Table2575525269101343444647484956575859631518171922456667717273[[#This Row],[PEG]],Table1016[#All],3,FALSE)</f>
        <v>Prompt</v>
      </c>
    </row>
    <row r="18" spans="1:5" x14ac:dyDescent="0.35">
      <c r="A18" s="118">
        <v>11</v>
      </c>
      <c r="B18" s="114" t="s">
        <v>114</v>
      </c>
      <c r="C18" s="109" t="s">
        <v>485</v>
      </c>
      <c r="D18" s="165"/>
      <c r="E18" s="125" t="e">
        <f>VLOOKUP(Table2575525269101343444647484956575859631518171922456667717273[[#This Row],[PEG]],Table1016[#All],3,FALSE)</f>
        <v>#N/A</v>
      </c>
    </row>
    <row r="19" spans="1:5" ht="174" x14ac:dyDescent="0.35">
      <c r="A19" s="118">
        <v>12</v>
      </c>
      <c r="B19" s="114" t="s">
        <v>12</v>
      </c>
      <c r="C19" s="109" t="str">
        <f>VLOOKUP(Table2575525269101343444647484956575859631518171922456667717273[[#This Row],[PEG]],Table1016[#All],2,FALSE)</f>
        <v>SAP HANA – SAP01_GetMember
inputs:
idnumber = iIdnumber	T
idtype 	= iIdtype
outputs:
~ Billing Reference
~ Enrollment Details
~ Billing Details
~ Last Payment
~ Recurring Payment Method
~ Stored Payment Method</v>
      </c>
      <c r="D19" s="165" t="s">
        <v>371</v>
      </c>
      <c r="E19" s="125" t="str">
        <f>VLOOKUP(Table2575525269101343444647484956575859631518171922456667717273[[#This Row],[PEG]],Table1016[#All],3,FALSE)</f>
        <v>DB</v>
      </c>
    </row>
    <row r="20" spans="1:5" x14ac:dyDescent="0.35">
      <c r="A20" s="118">
        <v>13</v>
      </c>
      <c r="B20" s="114" t="s">
        <v>115</v>
      </c>
      <c r="C20" s="109" t="str">
        <f>VLOOKUP(Table2575525269101343444647484956575859631518171922456667717273[[#This Row],[PEG]],Table1016[#All],2,FALSE)</f>
        <v>Let's try looking by your invoice number. Using your touchtone keypad enter the numbers one digit at a time.</v>
      </c>
      <c r="D20" s="165" t="s">
        <v>250</v>
      </c>
      <c r="E20" s="125" t="str">
        <f>VLOOKUP(Table2575525269101343444647484956575859631518171922456667717273[[#This Row],[PEG]],Table1016[#All],3,FALSE)</f>
        <v>Prompt</v>
      </c>
    </row>
    <row r="21" spans="1:5" x14ac:dyDescent="0.35">
      <c r="A21" s="118">
        <v>14</v>
      </c>
      <c r="B21" s="114" t="s">
        <v>114</v>
      </c>
      <c r="C21" s="109" t="s">
        <v>519</v>
      </c>
      <c r="D21" s="165"/>
      <c r="E21" s="125" t="e">
        <f>VLOOKUP(Table2575525269101343444647484956575859631518171922456667717273[[#This Row],[PEG]],Table1016[#All],3,FALSE)</f>
        <v>#N/A</v>
      </c>
    </row>
    <row r="22" spans="1:5" ht="174" x14ac:dyDescent="0.35">
      <c r="A22" s="118">
        <v>15</v>
      </c>
      <c r="B22" s="114" t="s">
        <v>12</v>
      </c>
      <c r="C22" s="109" t="str">
        <f>VLOOKUP(Table2575525269101343444647484956575859631518171922456667717273[[#This Row],[PEG]],Table1016[#All],2,FALSE)</f>
        <v>SAP HANA – SAP01_GetMember
inputs:
idnumber = iIdnumber	T
idtype 	= iIdtype
outputs:
~ Billing Reference
~ Enrollment Details
~ Billing Details
~ Last Payment
~ Recurring Payment Method
~ Stored Payment Method</v>
      </c>
      <c r="D22" s="165" t="s">
        <v>371</v>
      </c>
      <c r="E22" s="125" t="str">
        <f>VLOOKUP(Table2575525269101343444647484956575859631518171922456667717273[[#This Row],[PEG]],Table1016[#All],3,FALSE)</f>
        <v>DB</v>
      </c>
    </row>
    <row r="23" spans="1:5" x14ac:dyDescent="0.35">
      <c r="A23" s="118">
        <v>16</v>
      </c>
      <c r="B23" s="114" t="s">
        <v>115</v>
      </c>
      <c r="C23" s="109" t="str">
        <f>VLOOKUP(Table2575525269101343444647484956575859631518171922456667717273[[#This Row],[PEG]],Table1016[#All],2,FALSE)</f>
        <v>Thanks, I found your account!</v>
      </c>
      <c r="D23" s="165" t="s">
        <v>253</v>
      </c>
      <c r="E23" s="125">
        <f>VLOOKUP(Table2575525269101343444647484956575859631518171922456667717273[[#This Row],[PEG]],Table1016[#All],3,FALSE)</f>
        <v>0</v>
      </c>
    </row>
    <row r="24" spans="1:5" x14ac:dyDescent="0.35">
      <c r="A24" s="118">
        <v>17</v>
      </c>
      <c r="B24" s="114" t="s">
        <v>13</v>
      </c>
      <c r="C24" s="18" t="s">
        <v>13</v>
      </c>
      <c r="D24" s="115"/>
      <c r="E24" s="32"/>
    </row>
    <row r="25" spans="1:5" x14ac:dyDescent="0.35">
      <c r="C25" s="26"/>
      <c r="D25" s="111" t="s">
        <v>0</v>
      </c>
    </row>
    <row r="26" spans="1:5" x14ac:dyDescent="0.35">
      <c r="C26" s="26"/>
    </row>
    <row r="27" spans="1:5" x14ac:dyDescent="0.35">
      <c r="C27" s="26"/>
    </row>
    <row r="28" spans="1:5" x14ac:dyDescent="0.35">
      <c r="C28" s="26"/>
    </row>
    <row r="29" spans="1:5" x14ac:dyDescent="0.35">
      <c r="C29" s="26"/>
    </row>
    <row r="30" spans="1:5" x14ac:dyDescent="0.35">
      <c r="C30" s="26"/>
    </row>
    <row r="31" spans="1:5" x14ac:dyDescent="0.35">
      <c r="C31" s="26"/>
    </row>
    <row r="32" spans="1:5" x14ac:dyDescent="0.35">
      <c r="C32" s="26"/>
    </row>
    <row r="33" spans="3:3" x14ac:dyDescent="0.35">
      <c r="C33" s="26"/>
    </row>
    <row r="34" spans="3:3" x14ac:dyDescent="0.35">
      <c r="C34" s="26"/>
    </row>
    <row r="35" spans="3:3" x14ac:dyDescent="0.35">
      <c r="C35" s="26"/>
    </row>
    <row r="36" spans="3:3" x14ac:dyDescent="0.35">
      <c r="C36" s="26"/>
    </row>
    <row r="37" spans="3:3" x14ac:dyDescent="0.35">
      <c r="C37" s="26"/>
    </row>
    <row r="38" spans="3:3" x14ac:dyDescent="0.35">
      <c r="C38" s="26"/>
    </row>
    <row r="39" spans="3:3" x14ac:dyDescent="0.35">
      <c r="C39" s="26"/>
    </row>
    <row r="40" spans="3:3" x14ac:dyDescent="0.35">
      <c r="C40" s="27"/>
    </row>
    <row r="41" spans="3:3" x14ac:dyDescent="0.35">
      <c r="C41" s="27"/>
    </row>
    <row r="42" spans="3:3" x14ac:dyDescent="0.35">
      <c r="C42" s="27"/>
    </row>
  </sheetData>
  <mergeCells count="1">
    <mergeCell ref="A1:B1"/>
  </mergeCells>
  <conditionalFormatting sqref="B22:B24">
    <cfRule type="containsText" dxfId="4724" priority="58" operator="containsText" text="Hear">
      <formula>NOT(ISERROR(SEARCH("Hear",B22)))</formula>
    </cfRule>
  </conditionalFormatting>
  <conditionalFormatting sqref="E24">
    <cfRule type="containsText" dxfId="4723" priority="56" operator="containsText" text="WEB SERVICE">
      <formula>NOT(ISERROR(SEARCH("WEB SERVICE",E24)))</formula>
    </cfRule>
    <cfRule type="containsText" dxfId="4722" priority="57" operator="containsText" text="DB">
      <formula>NOT(ISERROR(SEARCH("DB",E24)))</formula>
    </cfRule>
  </conditionalFormatting>
  <conditionalFormatting sqref="C24:C9981">
    <cfRule type="expression" dxfId="4721" priority="59">
      <formula>$B24="Dial"</formula>
    </cfRule>
    <cfRule type="expression" dxfId="4720" priority="61">
      <formula>$B24="HANGUP"</formula>
    </cfRule>
  </conditionalFormatting>
  <conditionalFormatting sqref="C24">
    <cfRule type="expression" dxfId="4719" priority="60">
      <formula>$B24="Speak"</formula>
    </cfRule>
  </conditionalFormatting>
  <conditionalFormatting sqref="B8:B21">
    <cfRule type="containsText" dxfId="4718" priority="22" operator="containsText" text="Hear">
      <formula>NOT(ISERROR(SEARCH("Hear",B8)))</formula>
    </cfRule>
  </conditionalFormatting>
  <conditionalFormatting sqref="C10">
    <cfRule type="expression" dxfId="4717" priority="19">
      <formula>$B10="Dial"</formula>
    </cfRule>
    <cfRule type="expression" dxfId="4716" priority="21">
      <formula>$B10="HANGUP"</formula>
    </cfRule>
  </conditionalFormatting>
  <conditionalFormatting sqref="C10">
    <cfRule type="expression" dxfId="4715" priority="20">
      <formula>$B10="Speak"</formula>
    </cfRule>
  </conditionalFormatting>
  <conditionalFormatting sqref="C18">
    <cfRule type="expression" dxfId="4714" priority="4">
      <formula>$B18="Dial"</formula>
    </cfRule>
    <cfRule type="expression" dxfId="4713" priority="6">
      <formula>$B18="HANGUP"</formula>
    </cfRule>
  </conditionalFormatting>
  <conditionalFormatting sqref="C18">
    <cfRule type="expression" dxfId="4712" priority="5">
      <formula>$B18="Speak"</formula>
    </cfRule>
  </conditionalFormatting>
  <conditionalFormatting sqref="C13">
    <cfRule type="expression" dxfId="4711" priority="13">
      <formula>$B13="Dial"</formula>
    </cfRule>
    <cfRule type="expression" dxfId="4710" priority="15">
      <formula>$B13="HANGUP"</formula>
    </cfRule>
  </conditionalFormatting>
  <conditionalFormatting sqref="C13">
    <cfRule type="expression" dxfId="4709" priority="14">
      <formula>$B13="Speak"</formula>
    </cfRule>
  </conditionalFormatting>
  <conditionalFormatting sqref="C14">
    <cfRule type="expression" dxfId="4708" priority="10">
      <formula>$B14="Dial"</formula>
    </cfRule>
    <cfRule type="expression" dxfId="4707" priority="12">
      <formula>$B14="HANGUP"</formula>
    </cfRule>
  </conditionalFormatting>
  <conditionalFormatting sqref="C14">
    <cfRule type="expression" dxfId="4706" priority="11">
      <formula>$B14="Speak"</formula>
    </cfRule>
  </conditionalFormatting>
  <conditionalFormatting sqref="C16">
    <cfRule type="expression" dxfId="4705" priority="7">
      <formula>$B16="Dial"</formula>
    </cfRule>
    <cfRule type="expression" dxfId="4704" priority="9">
      <formula>$B16="HANGUP"</formula>
    </cfRule>
  </conditionalFormatting>
  <conditionalFormatting sqref="C16">
    <cfRule type="expression" dxfId="4703" priority="8">
      <formula>$B16="Speak"</formula>
    </cfRule>
  </conditionalFormatting>
  <conditionalFormatting sqref="C21">
    <cfRule type="expression" dxfId="4702" priority="1">
      <formula>$B21="Dial"</formula>
    </cfRule>
    <cfRule type="expression" dxfId="4701" priority="3">
      <formula>$B21="HANGUP"</formula>
    </cfRule>
  </conditionalFormatting>
  <conditionalFormatting sqref="C21">
    <cfRule type="expression" dxfId="4700" priority="2">
      <formula>$B21="Speak"</formula>
    </cfRule>
  </conditionalFormatting>
  <hyperlinks>
    <hyperlink ref="A1" location="'Test Case Overview'!A1" display="Return to Test Case Overview" xr:uid="{00000000-0004-0000-2C00-000000000000}"/>
  </hyperlinks>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expression" priority="55" id="{7A8672E7-C5CA-41A1-A1E1-F126C8F6C67B}">
            <xm:f>'TC1'!$B8="HANGUP"</xm:f>
            <x14:dxf>
              <font>
                <b/>
                <i val="0"/>
              </font>
            </x14:dxf>
          </x14:cfRule>
          <x14:cfRule type="expression" priority="63" id="{4B58A382-57BE-4D86-AE8D-CDB2A501D848}">
            <xm:f>'TC1'!$B8="Dial"</xm:f>
            <x14:dxf>
              <font>
                <b/>
                <i val="0"/>
                <color rgb="FFFF0000"/>
              </font>
            </x14:dxf>
          </x14:cfRule>
          <xm:sqref>C8</xm:sqref>
        </x14:conditionalFormatting>
        <x14:conditionalFormatting xmlns:xm="http://schemas.microsoft.com/office/excel/2006/main">
          <x14:cfRule type="expression" priority="64" id="{065FD139-8218-48C4-A25F-66913F26D873}">
            <xm:f>'TC1'!$B8="Speak"</xm:f>
            <x14:dxf>
              <font>
                <b/>
                <i val="0"/>
                <color rgb="FFFF0000"/>
              </font>
            </x14:dxf>
          </x14:cfRule>
          <xm:sqref>C8</xm:sqref>
        </x14:conditionalFormatting>
        <x14:conditionalFormatting xmlns:xm="http://schemas.microsoft.com/office/excel/2006/main">
          <x14:cfRule type="expression" priority="1166" id="{7A8672E7-C5CA-41A1-A1E1-F126C8F6C67B}">
            <xm:f>'TC1'!#REF!="HANGUP"</xm:f>
            <x14:dxf>
              <font>
                <b/>
                <i val="0"/>
              </font>
            </x14:dxf>
          </x14:cfRule>
          <x14:cfRule type="expression" priority="1167" id="{4B58A382-57BE-4D86-AE8D-CDB2A501D848}">
            <xm:f>'TC1'!#REF!="Dial"</xm:f>
            <x14:dxf>
              <font>
                <b/>
                <i val="0"/>
                <color rgb="FFFF0000"/>
              </font>
            </x14:dxf>
          </x14:cfRule>
          <xm:sqref>C17 C19:C20 C22:C23</xm:sqref>
        </x14:conditionalFormatting>
        <x14:conditionalFormatting xmlns:xm="http://schemas.microsoft.com/office/excel/2006/main">
          <x14:cfRule type="expression" priority="1172" id="{065FD139-8218-48C4-A25F-66913F26D873}">
            <xm:f>'TC1'!#REF!="Speak"</xm:f>
            <x14:dxf>
              <font>
                <b/>
                <i val="0"/>
                <color rgb="FFFF0000"/>
              </font>
            </x14:dxf>
          </x14:cfRule>
          <xm:sqref>C17 C19:C20 C22:C23</xm:sqref>
        </x14:conditionalFormatting>
        <x14:conditionalFormatting xmlns:xm="http://schemas.microsoft.com/office/excel/2006/main">
          <x14:cfRule type="containsText" priority="1178" operator="containsText" text="DB" id="{0BF9EFFA-1849-4A79-AE03-E16BACECFF2B}">
            <xm:f>NOT(ISERROR(SEARCH("DB",'TC1'!#REF!)))</xm:f>
            <x14:dxf>
              <font>
                <color rgb="FF006100"/>
              </font>
              <fill>
                <patternFill>
                  <bgColor rgb="FFC6EFCE"/>
                </patternFill>
              </fill>
            </x14:dxf>
          </x14:cfRule>
          <x14:cfRule type="containsText" priority="1179" operator="containsText" text="WEB SERVICE" id="{45DC26DC-692E-42FE-914A-4272FBCE4C81}">
            <xm:f>NOT(ISERROR(SEARCH("WEB SERVICE",'TC1'!#REF!)))</xm:f>
            <x14:dxf>
              <font>
                <color rgb="FF9C0006"/>
              </font>
              <fill>
                <patternFill>
                  <bgColor rgb="FFFFC7CE"/>
                </patternFill>
              </fill>
            </x14:dxf>
          </x14:cfRule>
          <xm:sqref>E17:E23</xm:sqref>
        </x14:conditionalFormatting>
        <x14:conditionalFormatting xmlns:xm="http://schemas.microsoft.com/office/excel/2006/main">
          <x14:cfRule type="expression" priority="3988" id="{7A8672E7-C5CA-41A1-A1E1-F126C8F6C67B}">
            <xm:f>'TC1'!$B9="HANGUP"</xm:f>
            <x14:dxf>
              <font>
                <b/>
                <i val="0"/>
              </font>
            </x14:dxf>
          </x14:cfRule>
          <x14:cfRule type="expression" priority="3989" id="{4B58A382-57BE-4D86-AE8D-CDB2A501D848}">
            <xm:f>'TC1'!$B9="Dial"</xm:f>
            <x14:dxf>
              <font>
                <b/>
                <i val="0"/>
                <color rgb="FFFF0000"/>
              </font>
            </x14:dxf>
          </x14:cfRule>
          <xm:sqref>C12 C15</xm:sqref>
        </x14:conditionalFormatting>
        <x14:conditionalFormatting xmlns:xm="http://schemas.microsoft.com/office/excel/2006/main">
          <x14:cfRule type="expression" priority="3990" id="{7A8672E7-C5CA-41A1-A1E1-F126C8F6C67B}">
            <xm:f>'TC1'!#REF!="HANGUP"</xm:f>
            <x14:dxf>
              <font>
                <b/>
                <i val="0"/>
              </font>
            </x14:dxf>
          </x14:cfRule>
          <x14:cfRule type="expression" priority="3991" id="{4B58A382-57BE-4D86-AE8D-CDB2A501D848}">
            <xm:f>'TC1'!#REF!="Dial"</xm:f>
            <x14:dxf>
              <font>
                <b/>
                <i val="0"/>
                <color rgb="FFFF0000"/>
              </font>
            </x14:dxf>
          </x14:cfRule>
          <xm:sqref>C9 C11</xm:sqref>
        </x14:conditionalFormatting>
        <x14:conditionalFormatting xmlns:xm="http://schemas.microsoft.com/office/excel/2006/main">
          <x14:cfRule type="expression" priority="3995" id="{065FD139-8218-48C4-A25F-66913F26D873}">
            <xm:f>'TC1'!$B9="Speak"</xm:f>
            <x14:dxf>
              <font>
                <b/>
                <i val="0"/>
                <color rgb="FFFF0000"/>
              </font>
            </x14:dxf>
          </x14:cfRule>
          <xm:sqref>C12 C15</xm:sqref>
        </x14:conditionalFormatting>
        <x14:conditionalFormatting xmlns:xm="http://schemas.microsoft.com/office/excel/2006/main">
          <x14:cfRule type="expression" priority="3996" id="{065FD139-8218-48C4-A25F-66913F26D873}">
            <xm:f>'TC1'!#REF!="Speak"</xm:f>
            <x14:dxf>
              <font>
                <b/>
                <i val="0"/>
                <color rgb="FFFF0000"/>
              </font>
            </x14:dxf>
          </x14:cfRule>
          <xm:sqref>C9 C11</xm:sqref>
        </x14:conditionalFormatting>
        <x14:conditionalFormatting xmlns:xm="http://schemas.microsoft.com/office/excel/2006/main">
          <x14:cfRule type="containsText" priority="3998" operator="containsText" text="DB" id="{0BF9EFFA-1849-4A79-AE03-E16BACECFF2B}">
            <xm:f>NOT(ISERROR(SEARCH("DB",'TC1'!#REF!)))</xm:f>
            <x14:dxf>
              <font>
                <color rgb="FF006100"/>
              </font>
              <fill>
                <patternFill>
                  <bgColor rgb="FFC6EFCE"/>
                </patternFill>
              </fill>
            </x14:dxf>
          </x14:cfRule>
          <x14:cfRule type="containsText" priority="3999" operator="containsText" text="WEB SERVICE" id="{45DC26DC-692E-42FE-914A-4272FBCE4C81}">
            <xm:f>NOT(ISERROR(SEARCH("WEB SERVICE",'TC1'!#REF!)))</xm:f>
            <x14:dxf>
              <font>
                <color rgb="FF9C0006"/>
              </font>
              <fill>
                <patternFill>
                  <bgColor rgb="FFFFC7CE"/>
                </patternFill>
              </fill>
            </x14:dxf>
          </x14:cfRule>
          <xm:sqref>E9:E11</xm:sqref>
        </x14:conditionalFormatting>
        <x14:conditionalFormatting xmlns:xm="http://schemas.microsoft.com/office/excel/2006/main">
          <x14:cfRule type="containsText" priority="4000" operator="containsText" text="DB" id="{0BF9EFFA-1849-4A79-AE03-E16BACECFF2B}">
            <xm:f>NOT(ISERROR(SEARCH("DB",'TC1'!E9)))</xm:f>
            <x14:dxf>
              <font>
                <color rgb="FF006100"/>
              </font>
              <fill>
                <patternFill>
                  <bgColor rgb="FFC6EFCE"/>
                </patternFill>
              </fill>
            </x14:dxf>
          </x14:cfRule>
          <x14:cfRule type="containsText" priority="4001" operator="containsText" text="WEB SERVICE" id="{45DC26DC-692E-42FE-914A-4272FBCE4C81}">
            <xm:f>NOT(ISERROR(SEARCH("WEB SERVICE",'TC1'!E9)))</xm:f>
            <x14:dxf>
              <font>
                <color rgb="FF9C0006"/>
              </font>
              <fill>
                <patternFill>
                  <bgColor rgb="FFFFC7CE"/>
                </patternFill>
              </fill>
            </x14:dxf>
          </x14:cfRule>
          <xm:sqref>E12:E15</xm:sqref>
        </x14:conditionalFormatting>
        <x14:conditionalFormatting xmlns:xm="http://schemas.microsoft.com/office/excel/2006/main">
          <x14:cfRule type="containsText" priority="6512" operator="containsText" text="DB" id="{0BF9EFFA-1849-4A79-AE03-E16BACECFF2B}">
            <xm:f>NOT(ISERROR(SEARCH("DB",'TC1'!E15)))</xm:f>
            <x14:dxf>
              <font>
                <color rgb="FF006100"/>
              </font>
              <fill>
                <patternFill>
                  <bgColor rgb="FFC6EFCE"/>
                </patternFill>
              </fill>
            </x14:dxf>
          </x14:cfRule>
          <x14:cfRule type="containsText" priority="6513" operator="containsText" text="WEB SERVICE" id="{45DC26DC-692E-42FE-914A-4272FBCE4C81}">
            <xm:f>NOT(ISERROR(SEARCH("WEB SERVICE",'TC1'!E15)))</xm:f>
            <x14:dxf>
              <font>
                <color rgb="FF9C0006"/>
              </font>
              <fill>
                <patternFill>
                  <bgColor rgb="FFFFC7CE"/>
                </patternFill>
              </fill>
            </x14:dxf>
          </x14:cfRule>
          <xm:sqref>E16</xm:sqref>
        </x14:conditionalFormatting>
      </x14:conditionalFormattings>
    </ext>
  </extLst>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7"/>
  <dimension ref="A1:E55"/>
  <sheetViews>
    <sheetView zoomScaleNormal="100" workbookViewId="0">
      <selection activeCell="C10" sqref="C10"/>
    </sheetView>
  </sheetViews>
  <sheetFormatPr defaultRowHeight="14.5" x14ac:dyDescent="0.35"/>
  <cols>
    <col min="1" max="1" width="14.453125" style="97" bestFit="1" customWidth="1"/>
    <col min="2" max="2" width="42.6328125" style="97" customWidth="1"/>
    <col min="3" max="3" width="106.1796875" style="98" customWidth="1"/>
    <col min="4" max="4" width="21.81640625" style="111" bestFit="1" customWidth="1"/>
    <col min="5" max="5" width="20.6328125" style="97" customWidth="1"/>
  </cols>
  <sheetData>
    <row r="1" spans="1:5" ht="18.5" x14ac:dyDescent="0.35">
      <c r="A1" s="192" t="s">
        <v>4</v>
      </c>
      <c r="B1" s="192"/>
      <c r="C1" s="105"/>
    </row>
    <row r="2" spans="1:5" x14ac:dyDescent="0.35">
      <c r="A2" s="106" t="s">
        <v>5</v>
      </c>
      <c r="B2" s="107" t="str">
        <f ca="1">MID(CELL("filename",A1),FIND("]",CELL("filename",A1))+1,LEN(CELL("filename",A1))-FIND("]",CELL("filename",A1)))</f>
        <v>TC45</v>
      </c>
    </row>
    <row r="3" spans="1:5" x14ac:dyDescent="0.35">
      <c r="A3" s="104" t="s">
        <v>19</v>
      </c>
      <c r="B3" s="112">
        <f ca="1">VLOOKUP(B2,Table53[#All],2,FALSE)</f>
        <v>0</v>
      </c>
    </row>
    <row r="4" spans="1:5" ht="29" x14ac:dyDescent="0.35">
      <c r="A4" s="113" t="s">
        <v>20</v>
      </c>
      <c r="B4" s="99" t="str">
        <f ca="1">VLOOKUP(B2,Table53[#All],4,FALSE)</f>
        <v>No Recurring, Current Due, No Stored Mthd</v>
      </c>
    </row>
    <row r="5" spans="1:5" x14ac:dyDescent="0.35">
      <c r="A5" s="104" t="s">
        <v>6</v>
      </c>
      <c r="B5" s="93" t="str">
        <f ca="1">VLOOKUP(B2,Table53[#All],3,FALSE)</f>
        <v>Get Bank Confirm Acct - No Input x3</v>
      </c>
    </row>
    <row r="7" spans="1:5" ht="15.5" x14ac:dyDescent="0.35">
      <c r="A7" s="100" t="s">
        <v>7</v>
      </c>
      <c r="B7" s="101" t="s">
        <v>8</v>
      </c>
      <c r="C7" s="102" t="s">
        <v>9</v>
      </c>
      <c r="D7" s="102" t="s">
        <v>14</v>
      </c>
      <c r="E7" s="103" t="s">
        <v>10</v>
      </c>
    </row>
    <row r="8" spans="1:5" x14ac:dyDescent="0.35">
      <c r="A8" s="118">
        <v>1</v>
      </c>
      <c r="B8" s="114" t="s">
        <v>114</v>
      </c>
      <c r="C8" s="109" t="s">
        <v>125</v>
      </c>
      <c r="D8" s="128"/>
      <c r="E8" s="125" t="s">
        <v>11</v>
      </c>
    </row>
    <row r="9" spans="1:5" x14ac:dyDescent="0.35">
      <c r="A9" s="118">
        <v>2</v>
      </c>
      <c r="B9" s="114" t="s">
        <v>115</v>
      </c>
      <c r="C9" s="109" t="str">
        <f>VLOOKUP(Table257552526910134344464748495657585963151817192245666771727374[[#This Row],[PEG]],Table1016[#All],2,FALSE)</f>
        <v>To get started, tell me your Account Number</v>
      </c>
      <c r="D9" s="141" t="s">
        <v>245</v>
      </c>
      <c r="E9" s="125" t="str">
        <f>VLOOKUP(Table257552526910134344464748495657585963151817192245666771727374[[#This Row],[PEG]],Table1016[#All],3,FALSE)</f>
        <v>Prompt</v>
      </c>
    </row>
    <row r="10" spans="1:5" x14ac:dyDescent="0.35">
      <c r="A10" s="118">
        <v>3</v>
      </c>
      <c r="B10" s="114" t="s">
        <v>114</v>
      </c>
      <c r="C10" s="109" t="s">
        <v>412</v>
      </c>
      <c r="D10" s="141"/>
      <c r="E10" s="125" t="e">
        <f>VLOOKUP(Table257552526910134344464748495657585963151817192245666771727374[[#This Row],[PEG]],Table1016[#All],3,FALSE)</f>
        <v>#N/A</v>
      </c>
    </row>
    <row r="11" spans="1:5" ht="174" x14ac:dyDescent="0.35">
      <c r="A11" s="118">
        <v>4</v>
      </c>
      <c r="B11" s="114" t="s">
        <v>12</v>
      </c>
      <c r="C11" s="109" t="str">
        <f>VLOOKUP(Table257552526910134344464748495657585963151817192245666771727374[[#This Row],[PEG]],Table1016[#All],2,FALSE)</f>
        <v>SAP HANA – SAP01_GetMember
inputs:
idnumber = iIdnumber	T
idtype 	= iIdtype
outputs:
~ Billing Reference
~ Enrollment Details
~ Billing Details
~ Last Payment
~ Recurring Payment Method
~ Stored Payment Method</v>
      </c>
      <c r="D11" s="141" t="s">
        <v>371</v>
      </c>
      <c r="E11" s="125" t="str">
        <f>VLOOKUP(Table257552526910134344464748495657585963151817192245666771727374[[#This Row],[PEG]],Table1016[#All],3,FALSE)</f>
        <v>DB</v>
      </c>
    </row>
    <row r="12" spans="1:5" x14ac:dyDescent="0.35">
      <c r="A12" s="118">
        <v>5</v>
      </c>
      <c r="B12" s="114" t="s">
        <v>115</v>
      </c>
      <c r="C12" s="109" t="str">
        <f>VLOOKUP(Table257552526910134344464748495657585963151817192245666771727374[[#This Row],[PEG]],Table1016[#All],2,FALSE)</f>
        <v>Thanks, I found your account!</v>
      </c>
      <c r="D12" s="141" t="s">
        <v>248</v>
      </c>
      <c r="E12" s="125" t="str">
        <f>VLOOKUP(Table257552526910134344464748495657585963151817192245666771727374[[#This Row],[PEG]],Table1016[#All],3,FALSE)</f>
        <v>Prompt</v>
      </c>
    </row>
    <row r="13" spans="1:5" x14ac:dyDescent="0.35">
      <c r="A13" s="118">
        <v>6</v>
      </c>
      <c r="B13" s="114" t="s">
        <v>115</v>
      </c>
      <c r="C13" s="109" t="str">
        <f>VLOOKUP(Table257552526910134344464748495657585963151817192245666771727374[[#This Row],[PEG]],Table1016[#All],2,FALSE)</f>
        <v>A current balance of &lt;SAP01_CurrentDue&gt; is due by &lt;SAP01_Duedate&gt;.</v>
      </c>
      <c r="D13" s="141" t="s">
        <v>258</v>
      </c>
      <c r="E13" s="125" t="str">
        <f>VLOOKUP(Table257552526910134344464748495657585963151817192245666771727374[[#This Row],[PEG]],Table1016[#All],3,FALSE)</f>
        <v>Prompt</v>
      </c>
    </row>
    <row r="14" spans="1:5" x14ac:dyDescent="0.35">
      <c r="A14" s="118">
        <v>7</v>
      </c>
      <c r="B14" s="114" t="s">
        <v>115</v>
      </c>
      <c r="C14" s="109" t="str">
        <f>VLOOKUP(Table257552526910134344464748495657585963151817192245666771727374[[#This Row],[PEG]],Table1016[#All],2,FALSE)</f>
        <v>Would you like to pay this in full today?</v>
      </c>
      <c r="D14" s="164" t="s">
        <v>260</v>
      </c>
      <c r="E14" s="125" t="str">
        <f>VLOOKUP(Table257552526910134344464748495657585963151817192245666771727374[[#This Row],[PEG]],Table1016[#All],3,FALSE)</f>
        <v>Prompt</v>
      </c>
    </row>
    <row r="15" spans="1:5" x14ac:dyDescent="0.35">
      <c r="A15" s="118">
        <v>8</v>
      </c>
      <c r="B15" s="114" t="s">
        <v>114</v>
      </c>
      <c r="C15" s="109">
        <v>1</v>
      </c>
      <c r="D15" s="164"/>
      <c r="E15" s="125" t="e">
        <f>VLOOKUP(Table257552526910134344464748495657585963151817192245666771727374[[#This Row],[PEG]],Table1016[#All],3,FALSE)</f>
        <v>#N/A</v>
      </c>
    </row>
    <row r="16" spans="1:5" x14ac:dyDescent="0.35">
      <c r="A16" s="118">
        <v>9</v>
      </c>
      <c r="B16" s="114" t="s">
        <v>115</v>
      </c>
      <c r="C16" s="109" t="str">
        <f>VLOOKUP(Table257552526910134344464748495657585963151817192245666771727374[[#This Row],[PEG]],Table1016[#All],2,FALSE)</f>
        <v>Ok, are you using Credit, Debit, Checking or Savings?</v>
      </c>
      <c r="D16" s="143" t="s">
        <v>286</v>
      </c>
      <c r="E16" s="125" t="str">
        <f>VLOOKUP(Table257552526910134344464748495657585963151817192245666771727374[[#This Row],[PEG]],Table1016[#All],3,FALSE)</f>
        <v>Prompt</v>
      </c>
    </row>
    <row r="17" spans="1:5" x14ac:dyDescent="0.35">
      <c r="A17" s="118">
        <v>10</v>
      </c>
      <c r="B17" s="114" t="s">
        <v>114</v>
      </c>
      <c r="C17" s="109">
        <v>3</v>
      </c>
      <c r="D17" s="143"/>
      <c r="E17" s="125" t="e">
        <f>VLOOKUP(Table257552526910134344464748495657585963151817192245666771727374[[#This Row],[PEG]],Table1016[#All],3,FALSE)</f>
        <v>#N/A</v>
      </c>
    </row>
    <row r="18" spans="1:5" x14ac:dyDescent="0.35">
      <c r="A18" s="118">
        <v>11</v>
      </c>
      <c r="B18" s="114" t="s">
        <v>115</v>
      </c>
      <c r="C18" s="109" t="str">
        <f>VLOOKUP(Table257552526910134344464748495657585963151817192245666771727374[[#This Row],[PEG]],Table1016[#All],2,FALSE)</f>
        <v>Tell me your 9-digit routing number.</v>
      </c>
      <c r="D18" s="143" t="s">
        <v>289</v>
      </c>
      <c r="E18" s="125" t="str">
        <f>VLOOKUP(Table257552526910134344464748495657585963151817192245666771727374[[#This Row],[PEG]],Table1016[#All],3,FALSE)</f>
        <v>Prompt</v>
      </c>
    </row>
    <row r="19" spans="1:5" x14ac:dyDescent="0.35">
      <c r="A19" s="118">
        <v>12</v>
      </c>
      <c r="B19" s="114" t="s">
        <v>114</v>
      </c>
      <c r="C19" s="109" t="s">
        <v>501</v>
      </c>
      <c r="D19" s="143"/>
      <c r="E19" s="125" t="e">
        <f>VLOOKUP(Table257552526910134344464748495657585963151817192245666771727374[[#This Row],[PEG]],Table1016[#All],3,FALSE)</f>
        <v>#N/A</v>
      </c>
    </row>
    <row r="20" spans="1:5" x14ac:dyDescent="0.35">
      <c r="A20" s="118">
        <v>13</v>
      </c>
      <c r="B20" s="114" t="s">
        <v>115</v>
      </c>
      <c r="C20" s="109" t="str">
        <f>VLOOKUP(Table257552526910134344464748495657585963151817192245666771727374[[#This Row],[PEG]],Table1016[#All],2,FALSE)</f>
        <v>Is &lt;ivrBankKey&gt; the right number?</v>
      </c>
      <c r="D20" s="143" t="s">
        <v>292</v>
      </c>
      <c r="E20" s="125" t="str">
        <f>VLOOKUP(Table257552526910134344464748495657585963151817192245666771727374[[#This Row],[PEG]],Table1016[#All],3,FALSE)</f>
        <v>Prompt</v>
      </c>
    </row>
    <row r="21" spans="1:5" x14ac:dyDescent="0.35">
      <c r="A21" s="118">
        <v>14</v>
      </c>
      <c r="B21" s="114" t="s">
        <v>114</v>
      </c>
      <c r="C21" s="109">
        <v>1</v>
      </c>
      <c r="D21" s="117"/>
      <c r="E21" s="125" t="e">
        <f>VLOOKUP(Table257552526910134344464748495657585963151817192245666771727374[[#This Row],[PEG]],Table1016[#All],3,FALSE)</f>
        <v>#N/A</v>
      </c>
    </row>
    <row r="22" spans="1:5" x14ac:dyDescent="0.35">
      <c r="A22" s="118">
        <v>15</v>
      </c>
      <c r="B22" s="114" t="s">
        <v>115</v>
      </c>
      <c r="C22" s="109" t="str">
        <f>VLOOKUP(Table257552526910134344464748495657585963151817192245666771727374[[#This Row],[PEG]],Table1016[#All],2,FALSE)</f>
        <v>Now what is your checking account number.</v>
      </c>
      <c r="D22" s="117" t="s">
        <v>295</v>
      </c>
      <c r="E22" s="125" t="str">
        <f>VLOOKUP(Table257552526910134344464748495657585963151817192245666771727374[[#This Row],[PEG]],Table1016[#All],3,FALSE)</f>
        <v>Prompt</v>
      </c>
    </row>
    <row r="23" spans="1:5" x14ac:dyDescent="0.35">
      <c r="A23" s="118">
        <v>16</v>
      </c>
      <c r="B23" s="114" t="s">
        <v>114</v>
      </c>
      <c r="C23" s="109" t="s">
        <v>400</v>
      </c>
      <c r="D23" s="117"/>
      <c r="E23" s="125" t="e">
        <f>VLOOKUP(Table257552526910134344464748495657585963151817192245666771727374[[#This Row],[PEG]],Table1016[#All],3,FALSE)</f>
        <v>#N/A</v>
      </c>
    </row>
    <row r="24" spans="1:5" x14ac:dyDescent="0.35">
      <c r="A24" s="118">
        <v>17</v>
      </c>
      <c r="B24" s="114" t="s">
        <v>115</v>
      </c>
      <c r="C24" s="109" t="str">
        <f>VLOOKUP(Table257552526910134344464748495657585963151817192245666771727374[[#This Row],[PEG]],Table1016[#All],2,FALSE)</f>
        <v>Is &lt;ivrBankAcct&gt; the right number?</v>
      </c>
      <c r="D24" s="117" t="s">
        <v>301</v>
      </c>
      <c r="E24" s="125">
        <f>VLOOKUP(Table257552526910134344464748495657585963151817192245666771727374[[#This Row],[PEG]],Table1016[#All],3,FALSE)</f>
        <v>0</v>
      </c>
    </row>
    <row r="25" spans="1:5" x14ac:dyDescent="0.35">
      <c r="A25" s="118">
        <v>18</v>
      </c>
      <c r="B25" s="114" t="s">
        <v>114</v>
      </c>
      <c r="C25" s="109">
        <v>2</v>
      </c>
      <c r="D25" s="117"/>
      <c r="E25" s="125" t="e">
        <f>VLOOKUP(Table257552526910134344464748495657585963151817192245666771727374[[#This Row],[PEG]],Table1016[#All],3,FALSE)</f>
        <v>#N/A</v>
      </c>
    </row>
    <row r="26" spans="1:5" x14ac:dyDescent="0.35">
      <c r="A26" s="118">
        <v>19</v>
      </c>
      <c r="B26" s="114" t="s">
        <v>115</v>
      </c>
      <c r="C26" s="109" t="str">
        <f>VLOOKUP(Table257552526910134344464748495657585963151817192245666771727374[[#This Row],[PEG]],Table1016[#All],2,FALSE)</f>
        <v>Now what is your checking account number.</v>
      </c>
      <c r="D26" s="117" t="s">
        <v>295</v>
      </c>
      <c r="E26" s="125" t="str">
        <f>VLOOKUP(Table257552526910134344464748495657585963151817192245666771727374[[#This Row],[PEG]],Table1016[#All],3,FALSE)</f>
        <v>Prompt</v>
      </c>
    </row>
    <row r="27" spans="1:5" x14ac:dyDescent="0.35">
      <c r="A27" s="118">
        <v>20</v>
      </c>
      <c r="B27" s="114" t="s">
        <v>114</v>
      </c>
      <c r="C27" s="109" t="s">
        <v>400</v>
      </c>
      <c r="D27" s="117"/>
      <c r="E27" s="125" t="e">
        <f>VLOOKUP(Table257552526910134344464748495657585963151817192245666771727374[[#This Row],[PEG]],Table1016[#All],3,FALSE)</f>
        <v>#N/A</v>
      </c>
    </row>
    <row r="28" spans="1:5" x14ac:dyDescent="0.35">
      <c r="A28" s="118">
        <v>21</v>
      </c>
      <c r="B28" s="114" t="s">
        <v>115</v>
      </c>
      <c r="C28" s="109" t="str">
        <f>VLOOKUP(Table257552526910134344464748495657585963151817192245666771727374[[#This Row],[PEG]],Table1016[#All],2,FALSE)</f>
        <v>Is &lt;ivrBankAcct&gt; the right number?</v>
      </c>
      <c r="D28" s="117" t="s">
        <v>301</v>
      </c>
      <c r="E28" s="125">
        <f>VLOOKUP(Table257552526910134344464748495657585963151817192245666771727374[[#This Row],[PEG]],Table1016[#All],3,FALSE)</f>
        <v>0</v>
      </c>
    </row>
    <row r="29" spans="1:5" x14ac:dyDescent="0.35">
      <c r="A29" s="118">
        <v>22</v>
      </c>
      <c r="B29" s="114" t="s">
        <v>114</v>
      </c>
      <c r="C29" s="109" t="s">
        <v>478</v>
      </c>
      <c r="D29" s="117"/>
      <c r="E29" s="125" t="e">
        <f>VLOOKUP(Table257552526910134344464748495657585963151817192245666771727374[[#This Row],[PEG]],Table1016[#All],3,FALSE)</f>
        <v>#N/A</v>
      </c>
    </row>
    <row r="30" spans="1:5" x14ac:dyDescent="0.35">
      <c r="A30" s="118">
        <v>23</v>
      </c>
      <c r="B30" s="114" t="s">
        <v>115</v>
      </c>
      <c r="C30" s="109" t="str">
        <f>VLOOKUP(Table257552526910134344464748495657585963151817192245666771727374[[#This Row],[PEG]],Table1016[#All],2,FALSE)</f>
        <v>I didn’t get that.</v>
      </c>
      <c r="D30" s="117" t="s">
        <v>365</v>
      </c>
      <c r="E30" s="125" t="str">
        <f>VLOOKUP(Table257552526910134344464748495657585963151817192245666771727374[[#This Row],[PEG]],Table1016[#All],3,FALSE)</f>
        <v>Prompt</v>
      </c>
    </row>
    <row r="31" spans="1:5" x14ac:dyDescent="0.35">
      <c r="A31" s="118">
        <v>24</v>
      </c>
      <c r="B31" s="114" t="s">
        <v>115</v>
      </c>
      <c r="C31" s="109" t="str">
        <f>VLOOKUP(Table257552526910134344464748495657585963151817192245666771727374[[#This Row],[PEG]],Table1016[#All],2,FALSE)</f>
        <v>Is this the correct number? Just say yes or no.</v>
      </c>
      <c r="D31" s="117" t="s">
        <v>302</v>
      </c>
      <c r="E31" s="125" t="str">
        <f>VLOOKUP(Table257552526910134344464748495657585963151817192245666771727374[[#This Row],[PEG]],Table1016[#All],3,FALSE)</f>
        <v>Prompt</v>
      </c>
    </row>
    <row r="32" spans="1:5" x14ac:dyDescent="0.35">
      <c r="A32" s="118">
        <v>25</v>
      </c>
      <c r="B32" s="114" t="s">
        <v>114</v>
      </c>
      <c r="C32" s="109" t="s">
        <v>478</v>
      </c>
      <c r="D32" s="117"/>
      <c r="E32" s="125" t="e">
        <f>VLOOKUP(Table257552526910134344464748495657585963151817192245666771727374[[#This Row],[PEG]],Table1016[#All],3,FALSE)</f>
        <v>#N/A</v>
      </c>
    </row>
    <row r="33" spans="1:5" x14ac:dyDescent="0.35">
      <c r="A33" s="118">
        <v>26</v>
      </c>
      <c r="B33" s="114" t="s">
        <v>115</v>
      </c>
      <c r="C33" s="109" t="str">
        <f>VLOOKUP(Table257552526910134344464748495657585963151817192245666771727374[[#This Row],[PEG]],Table1016[#All],2,FALSE)</f>
        <v>I still didn’t get that.</v>
      </c>
      <c r="D33" s="117" t="s">
        <v>366</v>
      </c>
      <c r="E33" s="125" t="str">
        <f>VLOOKUP(Table257552526910134344464748495657585963151817192245666771727374[[#This Row],[PEG]],Table1016[#All],3,FALSE)</f>
        <v>Prompt</v>
      </c>
    </row>
    <row r="34" spans="1:5" ht="29" x14ac:dyDescent="0.35">
      <c r="A34" s="118">
        <v>27</v>
      </c>
      <c r="B34" s="114" t="s">
        <v>115</v>
      </c>
      <c r="C34" s="109" t="str">
        <f>VLOOKUP(Table257552526910134344464748495657585963151817192245666771727374[[#This Row],[PEG]],Table1016[#All],2,FALSE)</f>
        <v>If that number is correct, say yes or press 1.
Otherwise say no or press 2.</v>
      </c>
      <c r="D34" s="117" t="s">
        <v>303</v>
      </c>
      <c r="E34" s="125" t="str">
        <f>VLOOKUP(Table257552526910134344464748495657585963151817192245666771727374[[#This Row],[PEG]],Table1016[#All],3,FALSE)</f>
        <v>Prompt</v>
      </c>
    </row>
    <row r="35" spans="1:5" x14ac:dyDescent="0.35">
      <c r="A35" s="118">
        <v>28</v>
      </c>
      <c r="B35" s="114" t="s">
        <v>114</v>
      </c>
      <c r="C35" s="109" t="s">
        <v>478</v>
      </c>
      <c r="D35" s="117"/>
      <c r="E35" s="125" t="e">
        <f>VLOOKUP(Table257552526910134344464748495657585963151817192245666771727374[[#This Row],[PEG]],Table1016[#All],3,FALSE)</f>
        <v>#N/A</v>
      </c>
    </row>
    <row r="36" spans="1:5" ht="29" x14ac:dyDescent="0.35">
      <c r="A36" s="118">
        <v>29</v>
      </c>
      <c r="B36" s="114" t="s">
        <v>115</v>
      </c>
      <c r="C36" s="109" t="str">
        <f>VLOOKUP(Table257552526910134344464748495657585963151817192245666771727374[[#This Row],[PEG]],Table1016[#All],2,FALSE)</f>
        <v>It seems you are having trouble. For future transactions you can also access your plan details, or manage your account online anytime at members.lacare.com. One moment while I get someone to help. Make sure to have your invoice available.</v>
      </c>
      <c r="D36" s="117" t="s">
        <v>361</v>
      </c>
      <c r="E36" s="125" t="str">
        <f>VLOOKUP(Table257552526910134344464748495657585963151817192245666771727374[[#This Row],[PEG]],Table1016[#All],3,FALSE)</f>
        <v>Prompt</v>
      </c>
    </row>
    <row r="37" spans="1:5" x14ac:dyDescent="0.35">
      <c r="A37" s="118">
        <v>30</v>
      </c>
      <c r="B37" s="114" t="s">
        <v>13</v>
      </c>
      <c r="C37" s="109" t="s">
        <v>13</v>
      </c>
      <c r="D37" s="117"/>
      <c r="E37" s="125" t="e">
        <f>VLOOKUP(Table257552526910134344464748495657585963151817192245666771727374[[#This Row],[PEG]],Table1016[#All],3,FALSE)</f>
        <v>#N/A</v>
      </c>
    </row>
    <row r="38" spans="1:5" x14ac:dyDescent="0.35">
      <c r="C38" s="26"/>
      <c r="D38" s="111" t="s">
        <v>0</v>
      </c>
    </row>
    <row r="39" spans="1:5" x14ac:dyDescent="0.35">
      <c r="C39" s="26"/>
    </row>
    <row r="40" spans="1:5" x14ac:dyDescent="0.35">
      <c r="C40" s="26"/>
    </row>
    <row r="41" spans="1:5" x14ac:dyDescent="0.35">
      <c r="C41" s="26"/>
    </row>
    <row r="42" spans="1:5" x14ac:dyDescent="0.35">
      <c r="C42" s="26"/>
    </row>
    <row r="43" spans="1:5" x14ac:dyDescent="0.35">
      <c r="C43" s="26"/>
    </row>
    <row r="44" spans="1:5" x14ac:dyDescent="0.35">
      <c r="C44" s="26"/>
    </row>
    <row r="45" spans="1:5" x14ac:dyDescent="0.35">
      <c r="C45" s="26"/>
    </row>
    <row r="46" spans="1:5" x14ac:dyDescent="0.35">
      <c r="C46" s="26"/>
    </row>
    <row r="47" spans="1:5" x14ac:dyDescent="0.35">
      <c r="C47" s="26"/>
    </row>
    <row r="48" spans="1:5" x14ac:dyDescent="0.35">
      <c r="C48" s="26"/>
    </row>
    <row r="49" spans="3:3" x14ac:dyDescent="0.35">
      <c r="C49" s="26"/>
    </row>
    <row r="50" spans="3:3" x14ac:dyDescent="0.35">
      <c r="C50" s="26"/>
    </row>
    <row r="51" spans="3:3" x14ac:dyDescent="0.35">
      <c r="C51" s="26"/>
    </row>
    <row r="52" spans="3:3" x14ac:dyDescent="0.35">
      <c r="C52" s="26"/>
    </row>
    <row r="53" spans="3:3" x14ac:dyDescent="0.35">
      <c r="C53" s="27"/>
    </row>
    <row r="54" spans="3:3" x14ac:dyDescent="0.35">
      <c r="C54" s="27"/>
    </row>
    <row r="55" spans="3:3" x14ac:dyDescent="0.35">
      <c r="C55" s="27"/>
    </row>
  </sheetData>
  <mergeCells count="1">
    <mergeCell ref="A1:B1"/>
  </mergeCells>
  <conditionalFormatting sqref="B21:B29 B31:B35">
    <cfRule type="containsText" dxfId="4679" priority="41" operator="containsText" text="Hear">
      <formula>NOT(ISERROR(SEARCH("Hear",B21)))</formula>
    </cfRule>
  </conditionalFormatting>
  <conditionalFormatting sqref="C9:C9994">
    <cfRule type="expression" dxfId="4678" priority="42">
      <formula>$B9="Dial"</formula>
    </cfRule>
    <cfRule type="expression" dxfId="4677" priority="44">
      <formula>$B9="HANGUP"</formula>
    </cfRule>
  </conditionalFormatting>
  <conditionalFormatting sqref="C9:C37">
    <cfRule type="expression" dxfId="4676" priority="40">
      <formula>$B9="Speak"</formula>
    </cfRule>
  </conditionalFormatting>
  <conditionalFormatting sqref="B30">
    <cfRule type="containsText" dxfId="4675" priority="31" operator="containsText" text="Hear">
      <formula>NOT(ISERROR(SEARCH("Hear",B30)))</formula>
    </cfRule>
  </conditionalFormatting>
  <conditionalFormatting sqref="B36:B37">
    <cfRule type="containsText" dxfId="4674" priority="23" operator="containsText" text="Hear">
      <formula>NOT(ISERROR(SEARCH("Hear",B36)))</formula>
    </cfRule>
  </conditionalFormatting>
  <conditionalFormatting sqref="B8">
    <cfRule type="containsText" dxfId="4673" priority="5" operator="containsText" text="Hear">
      <formula>NOT(ISERROR(SEARCH("Hear",B8)))</formula>
    </cfRule>
  </conditionalFormatting>
  <conditionalFormatting sqref="B9:B20">
    <cfRule type="containsText" dxfId="4672" priority="4" operator="containsText" text="Hear">
      <formula>NOT(ISERROR(SEARCH("Hear",B9)))</formula>
    </cfRule>
  </conditionalFormatting>
  <hyperlinks>
    <hyperlink ref="A1" location="'Test Case Overview'!A1" display="Return to Test Case Overview" xr:uid="{00000000-0004-0000-2D00-000000000000}"/>
  </hyperlinks>
  <pageMargins left="0.7" right="0.7" top="0.75" bottom="0.75" header="0.3" footer="0.3"/>
  <pageSetup orientation="portrait" verticalDpi="0" r:id="rId1"/>
  <tableParts count="1">
    <tablePart r:id="rId2"/>
  </tableParts>
  <extLst>
    <ext xmlns:x14="http://schemas.microsoft.com/office/spreadsheetml/2009/9/main" uri="{78C0D931-6437-407d-A8EE-F0AAD7539E65}">
      <x14:conditionalFormattings>
        <x14:conditionalFormatting xmlns:xm="http://schemas.microsoft.com/office/excel/2006/main">
          <x14:cfRule type="expression" priority="38" id="{A6DDF28C-84D4-469D-AECA-7B1C0D5748C7}">
            <xm:f>'TC1'!$B8="HANGUP"</xm:f>
            <x14:dxf>
              <font>
                <b/>
                <i val="0"/>
              </font>
            </x14:dxf>
          </x14:cfRule>
          <x14:cfRule type="expression" priority="46" id="{087506D4-68D7-4F70-9410-D0A8EDB0D7B8}">
            <xm:f>'TC1'!$B8="Dial"</xm:f>
            <x14:dxf>
              <font>
                <b/>
                <i val="0"/>
                <color rgb="FFFF0000"/>
              </font>
            </x14:dxf>
          </x14:cfRule>
          <xm:sqref>C8</xm:sqref>
        </x14:conditionalFormatting>
        <x14:conditionalFormatting xmlns:xm="http://schemas.microsoft.com/office/excel/2006/main">
          <x14:cfRule type="expression" priority="47" id="{66A826D0-2F3C-4830-923B-5A9D23DB468C}">
            <xm:f>'TC1'!$B8="Speak"</xm:f>
            <x14:dxf>
              <font>
                <b/>
                <i val="0"/>
                <color rgb="FFFF0000"/>
              </font>
            </x14:dxf>
          </x14:cfRule>
          <xm:sqref>C8</xm:sqref>
        </x14:conditionalFormatting>
        <x14:conditionalFormatting xmlns:xm="http://schemas.microsoft.com/office/excel/2006/main">
          <x14:cfRule type="containsText" priority="1179" operator="containsText" text="DB" id="{5BD76BFB-5ECC-4D79-8F7D-A7350348853F}">
            <xm:f>NOT(ISERROR(SEARCH("DB",'TC1'!E16)))</xm:f>
            <x14:dxf>
              <font>
                <color rgb="FF006100"/>
              </font>
              <fill>
                <patternFill>
                  <bgColor rgb="FFC6EFCE"/>
                </patternFill>
              </fill>
            </x14:dxf>
          </x14:cfRule>
          <x14:cfRule type="containsText" priority="1180" operator="containsText" text="WEB SERVICE" id="{2AD9D8CC-C476-4E4A-A7F1-233BB0422393}">
            <xm:f>NOT(ISERROR(SEARCH("WEB SERVICE",'TC1'!E16)))</xm:f>
            <x14:dxf>
              <font>
                <color rgb="FF9C0006"/>
              </font>
              <fill>
                <patternFill>
                  <bgColor rgb="FFFFC7CE"/>
                </patternFill>
              </fill>
            </x14:dxf>
          </x14:cfRule>
          <xm:sqref>E34:E37</xm:sqref>
        </x14:conditionalFormatting>
        <x14:conditionalFormatting xmlns:xm="http://schemas.microsoft.com/office/excel/2006/main">
          <x14:cfRule type="containsText" priority="1181" operator="containsText" text="DB" id="{5BD76BFB-5ECC-4D79-8F7D-A7350348853F}">
            <xm:f>NOT(ISERROR(SEARCH("DB",'TC1'!#REF!)))</xm:f>
            <x14:dxf>
              <font>
                <color rgb="FF006100"/>
              </font>
              <fill>
                <patternFill>
                  <bgColor rgb="FFC6EFCE"/>
                </patternFill>
              </fill>
            </x14:dxf>
          </x14:cfRule>
          <x14:cfRule type="containsText" priority="1182" operator="containsText" text="WEB SERVICE" id="{2AD9D8CC-C476-4E4A-A7F1-233BB0422393}">
            <xm:f>NOT(ISERROR(SEARCH("WEB SERVICE",'TC1'!#REF!)))</xm:f>
            <x14:dxf>
              <font>
                <color rgb="FF9C0006"/>
              </font>
              <fill>
                <patternFill>
                  <bgColor rgb="FFFFC7CE"/>
                </patternFill>
              </fill>
            </x14:dxf>
          </x14:cfRule>
          <xm:sqref>E17:E33</xm:sqref>
        </x14:conditionalFormatting>
        <x14:conditionalFormatting xmlns:xm="http://schemas.microsoft.com/office/excel/2006/main">
          <x14:cfRule type="containsText" priority="3999" operator="containsText" text="DB" id="{5BD76BFB-5ECC-4D79-8F7D-A7350348853F}">
            <xm:f>NOT(ISERROR(SEARCH("DB",'TC1'!#REF!)))</xm:f>
            <x14:dxf>
              <font>
                <color rgb="FF006100"/>
              </font>
              <fill>
                <patternFill>
                  <bgColor rgb="FFC6EFCE"/>
                </patternFill>
              </fill>
            </x14:dxf>
          </x14:cfRule>
          <x14:cfRule type="containsText" priority="4000" operator="containsText" text="WEB SERVICE" id="{2AD9D8CC-C476-4E4A-A7F1-233BB0422393}">
            <xm:f>NOT(ISERROR(SEARCH("WEB SERVICE",'TC1'!#REF!)))</xm:f>
            <x14:dxf>
              <font>
                <color rgb="FF9C0006"/>
              </font>
              <fill>
                <patternFill>
                  <bgColor rgb="FFFFC7CE"/>
                </patternFill>
              </fill>
            </x14:dxf>
          </x14:cfRule>
          <xm:sqref>E9:E11</xm:sqref>
        </x14:conditionalFormatting>
        <x14:conditionalFormatting xmlns:xm="http://schemas.microsoft.com/office/excel/2006/main">
          <x14:cfRule type="containsText" priority="4001" operator="containsText" text="DB" id="{5BD76BFB-5ECC-4D79-8F7D-A7350348853F}">
            <xm:f>NOT(ISERROR(SEARCH("DB",'TC1'!E9)))</xm:f>
            <x14:dxf>
              <font>
                <color rgb="FF006100"/>
              </font>
              <fill>
                <patternFill>
                  <bgColor rgb="FFC6EFCE"/>
                </patternFill>
              </fill>
            </x14:dxf>
          </x14:cfRule>
          <x14:cfRule type="containsText" priority="4002" operator="containsText" text="WEB SERVICE" id="{2AD9D8CC-C476-4E4A-A7F1-233BB0422393}">
            <xm:f>NOT(ISERROR(SEARCH("WEB SERVICE",'TC1'!E9)))</xm:f>
            <x14:dxf>
              <font>
                <color rgb="FF9C0006"/>
              </font>
              <fill>
                <patternFill>
                  <bgColor rgb="FFFFC7CE"/>
                </patternFill>
              </fill>
            </x14:dxf>
          </x14:cfRule>
          <xm:sqref>E12:E15</xm:sqref>
        </x14:conditionalFormatting>
        <x14:conditionalFormatting xmlns:xm="http://schemas.microsoft.com/office/excel/2006/main">
          <x14:cfRule type="containsText" priority="6510" operator="containsText" text="DB" id="{5BD76BFB-5ECC-4D79-8F7D-A7350348853F}">
            <xm:f>NOT(ISERROR(SEARCH("DB",'TC1'!E15)))</xm:f>
            <x14:dxf>
              <font>
                <color rgb="FF006100"/>
              </font>
              <fill>
                <patternFill>
                  <bgColor rgb="FFC6EFCE"/>
                </patternFill>
              </fill>
            </x14:dxf>
          </x14:cfRule>
          <x14:cfRule type="containsText" priority="6511" operator="containsText" text="WEB SERVICE" id="{2AD9D8CC-C476-4E4A-A7F1-233BB0422393}">
            <xm:f>NOT(ISERROR(SEARCH("WEB SERVICE",'TC1'!E15)))</xm:f>
            <x14:dxf>
              <font>
                <color rgb="FF9C0006"/>
              </font>
              <fill>
                <patternFill>
                  <bgColor rgb="FFFFC7CE"/>
                </patternFill>
              </fill>
            </x14:dxf>
          </x14:cfRule>
          <xm:sqref>E16</xm:sqref>
        </x14:conditionalFormatting>
      </x14:conditionalFormattings>
    </ext>
  </extLst>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8"/>
  <dimension ref="A1:E42"/>
  <sheetViews>
    <sheetView zoomScaleNormal="100" workbookViewId="0">
      <selection sqref="A1:B1"/>
    </sheetView>
  </sheetViews>
  <sheetFormatPr defaultRowHeight="14.5" x14ac:dyDescent="0.35"/>
  <cols>
    <col min="1" max="1" width="14.453125" style="97" bestFit="1" customWidth="1"/>
    <col min="2" max="2" width="42.6328125" style="97" customWidth="1"/>
    <col min="3" max="3" width="106.1796875" style="98" customWidth="1"/>
    <col min="4" max="4" width="21.81640625" style="111" bestFit="1" customWidth="1"/>
    <col min="5" max="5" width="20.6328125" style="97" customWidth="1"/>
  </cols>
  <sheetData>
    <row r="1" spans="1:5" ht="18.5" x14ac:dyDescent="0.35">
      <c r="A1" s="192" t="s">
        <v>4</v>
      </c>
      <c r="B1" s="192"/>
      <c r="C1" s="105"/>
    </row>
    <row r="2" spans="1:5" x14ac:dyDescent="0.35">
      <c r="A2" s="106" t="s">
        <v>5</v>
      </c>
      <c r="B2" s="107" t="str">
        <f ca="1">MID(CELL("filename",A1),FIND("]",CELL("filename",A1))+1,LEN(CELL("filename",A1))-FIND("]",CELL("filename",A1)))</f>
        <v>TC46</v>
      </c>
    </row>
    <row r="3" spans="1:5" x14ac:dyDescent="0.35">
      <c r="A3" s="104" t="s">
        <v>19</v>
      </c>
      <c r="B3" s="112">
        <f ca="1">VLOOKUP(B2,Table53[#All],2,FALSE)</f>
        <v>0</v>
      </c>
    </row>
    <row r="4" spans="1:5" ht="29" x14ac:dyDescent="0.35">
      <c r="A4" s="113" t="s">
        <v>20</v>
      </c>
      <c r="B4" s="99">
        <f ca="1">VLOOKUP(B2,Table53[#All],4,FALSE)</f>
        <v>0</v>
      </c>
    </row>
    <row r="5" spans="1:5" x14ac:dyDescent="0.35">
      <c r="A5" s="104" t="s">
        <v>6</v>
      </c>
      <c r="B5" s="93" t="str">
        <f ca="1">VLOOKUP(B2,Table53[#All],3,FALSE)</f>
        <v>Get Bank Nacha 1- No</v>
      </c>
    </row>
    <row r="7" spans="1:5" ht="15.5" x14ac:dyDescent="0.35">
      <c r="A7" s="100" t="s">
        <v>7</v>
      </c>
      <c r="B7" s="101" t="s">
        <v>8</v>
      </c>
      <c r="C7" s="102" t="s">
        <v>9</v>
      </c>
      <c r="D7" s="102" t="s">
        <v>14</v>
      </c>
      <c r="E7" s="103" t="s">
        <v>10</v>
      </c>
    </row>
    <row r="8" spans="1:5" x14ac:dyDescent="0.35">
      <c r="A8" s="118">
        <v>1</v>
      </c>
      <c r="B8" s="114" t="s">
        <v>114</v>
      </c>
      <c r="C8" s="109" t="s">
        <v>125</v>
      </c>
      <c r="D8" s="128"/>
      <c r="E8" s="125" t="s">
        <v>11</v>
      </c>
    </row>
    <row r="9" spans="1:5" x14ac:dyDescent="0.35">
      <c r="A9" s="118">
        <v>2</v>
      </c>
      <c r="B9" s="114" t="s">
        <v>115</v>
      </c>
      <c r="C9" s="109" t="str">
        <f>VLOOKUP(Table25755252691013434446474849565758596315181719224566677172737476[[#This Row],[PEG]],Table1016[#All],2,FALSE)</f>
        <v>To get started, tell me your Account Number</v>
      </c>
      <c r="D9" s="141" t="s">
        <v>245</v>
      </c>
      <c r="E9" s="125" t="str">
        <f>VLOOKUP(Table25755252691013434446474849565758596315181719224566677172737476[[#This Row],[PEG]],Table1016[#All],3,FALSE)</f>
        <v>Prompt</v>
      </c>
    </row>
    <row r="10" spans="1:5" x14ac:dyDescent="0.35">
      <c r="A10" s="118">
        <v>3</v>
      </c>
      <c r="B10" s="114" t="s">
        <v>114</v>
      </c>
      <c r="C10" s="109" t="s">
        <v>412</v>
      </c>
      <c r="D10" s="151"/>
      <c r="E10" s="125" t="e">
        <f>VLOOKUP(Table25755252691013434446474849565758596315181719224566677172737476[[#This Row],[PEG]],Table1016[#All],3,FALSE)</f>
        <v>#N/A</v>
      </c>
    </row>
    <row r="11" spans="1:5" ht="174" x14ac:dyDescent="0.35">
      <c r="A11" s="118">
        <v>4</v>
      </c>
      <c r="B11" s="114" t="s">
        <v>12</v>
      </c>
      <c r="C11" s="109" t="str">
        <f>VLOOKUP(Table25755252691013434446474849565758596315181719224566677172737476[[#This Row],[PEG]],Table1016[#All],2,FALSE)</f>
        <v>SAP HANA – SAP01_GetMember
inputs:
idnumber = iIdnumber	T
idtype 	= iIdtype
outputs:
~ Billing Reference
~ Enrollment Details
~ Billing Details
~ Last Payment
~ Recurring Payment Method
~ Stored Payment Method</v>
      </c>
      <c r="D11" s="141" t="s">
        <v>371</v>
      </c>
      <c r="E11" s="125" t="str">
        <f>VLOOKUP(Table25755252691013434446474849565758596315181719224566677172737476[[#This Row],[PEG]],Table1016[#All],3,FALSE)</f>
        <v>DB</v>
      </c>
    </row>
    <row r="12" spans="1:5" x14ac:dyDescent="0.35">
      <c r="A12" s="118">
        <v>5</v>
      </c>
      <c r="B12" s="114" t="s">
        <v>115</v>
      </c>
      <c r="C12" s="109" t="str">
        <f>VLOOKUP(Table25755252691013434446474849565758596315181719224566677172737476[[#This Row],[PEG]],Table1016[#All],2,FALSE)</f>
        <v>Thanks, I found your account!</v>
      </c>
      <c r="D12" s="141" t="s">
        <v>248</v>
      </c>
      <c r="E12" s="125" t="str">
        <f>VLOOKUP(Table25755252691013434446474849565758596315181719224566677172737476[[#This Row],[PEG]],Table1016[#All],3,FALSE)</f>
        <v>Prompt</v>
      </c>
    </row>
    <row r="13" spans="1:5" x14ac:dyDescent="0.35">
      <c r="A13" s="118">
        <v>6</v>
      </c>
      <c r="B13" s="114" t="s">
        <v>115</v>
      </c>
      <c r="C13" s="109" t="str">
        <f>VLOOKUP(Table25755252691013434446474849565758596315181719224566677172737476[[#This Row],[PEG]],Table1016[#All],2,FALSE)</f>
        <v>Your one-time initial payment of &lt;SAP01_CurrentDue&gt; is due by &lt;SAP01_Duedate&gt;</v>
      </c>
      <c r="D13" s="142" t="s">
        <v>256</v>
      </c>
      <c r="E13" s="125" t="str">
        <f>VLOOKUP(Table25755252691013434446474849565758596315181719224566677172737476[[#This Row],[PEG]],Table1016[#All],3,FALSE)</f>
        <v>Prompt</v>
      </c>
    </row>
    <row r="14" spans="1:5" x14ac:dyDescent="0.35">
      <c r="A14" s="118">
        <v>7</v>
      </c>
      <c r="B14" s="114" t="s">
        <v>115</v>
      </c>
      <c r="C14" s="109" t="str">
        <f>VLOOKUP(Table25755252691013434446474849565758596315181719224566677172737476[[#This Row],[PEG]],Table1016[#All],2,FALSE)</f>
        <v>Would you like to pay this in full today?</v>
      </c>
      <c r="D14" s="142" t="s">
        <v>260</v>
      </c>
      <c r="E14" s="125" t="str">
        <f>VLOOKUP(Table25755252691013434446474849565758596315181719224566677172737476[[#This Row],[PEG]],Table1016[#All],3,FALSE)</f>
        <v>Prompt</v>
      </c>
    </row>
    <row r="15" spans="1:5" x14ac:dyDescent="0.35">
      <c r="A15" s="118">
        <v>8</v>
      </c>
      <c r="B15" s="114" t="s">
        <v>114</v>
      </c>
      <c r="C15" s="109">
        <v>1</v>
      </c>
      <c r="D15" s="143"/>
      <c r="E15" s="125" t="e">
        <f>VLOOKUP(Table25755252691013434446474849565758596315181719224566677172737476[[#This Row],[PEG]],Table1016[#All],3,FALSE)</f>
        <v>#N/A</v>
      </c>
    </row>
    <row r="16" spans="1:5" x14ac:dyDescent="0.35">
      <c r="A16" s="118">
        <v>9</v>
      </c>
      <c r="B16" s="114" t="s">
        <v>115</v>
      </c>
      <c r="C16" s="109" t="str">
        <f>VLOOKUP(Table25755252691013434446474849565758596315181719224566677172737476[[#This Row],[PEG]],Table1016[#All],2,FALSE)</f>
        <v>Ok, are you using Credit, Debit, Checking or Savings?</v>
      </c>
      <c r="D16" s="143" t="s">
        <v>286</v>
      </c>
      <c r="E16" s="125" t="str">
        <f>VLOOKUP(Table25755252691013434446474849565758596315181719224566677172737476[[#This Row],[PEG]],Table1016[#All],3,FALSE)</f>
        <v>Prompt</v>
      </c>
    </row>
    <row r="17" spans="1:5" x14ac:dyDescent="0.35">
      <c r="A17" s="118">
        <v>10</v>
      </c>
      <c r="B17" s="114" t="s">
        <v>114</v>
      </c>
      <c r="C17" s="109">
        <v>4</v>
      </c>
      <c r="D17" s="143"/>
      <c r="E17" s="125" t="e">
        <f>VLOOKUP(Table25755252691013434446474849565758596315181719224566677172737476[[#This Row],[PEG]],Table1016[#All],3,FALSE)</f>
        <v>#N/A</v>
      </c>
    </row>
    <row r="18" spans="1:5" x14ac:dyDescent="0.35">
      <c r="A18" s="118">
        <v>11</v>
      </c>
      <c r="B18" s="114" t="s">
        <v>115</v>
      </c>
      <c r="C18" s="109" t="str">
        <f>VLOOKUP(Table25755252691013434446474849565758596315181719224566677172737476[[#This Row],[PEG]],Table1016[#All],2,FALSE)</f>
        <v>Tell me your 9-digit routing number.</v>
      </c>
      <c r="D18" s="143" t="s">
        <v>289</v>
      </c>
      <c r="E18" s="125" t="str">
        <f>VLOOKUP(Table25755252691013434446474849565758596315181719224566677172737476[[#This Row],[PEG]],Table1016[#All],3,FALSE)</f>
        <v>Prompt</v>
      </c>
    </row>
    <row r="19" spans="1:5" x14ac:dyDescent="0.35">
      <c r="A19" s="118">
        <v>12</v>
      </c>
      <c r="B19" s="114" t="s">
        <v>114</v>
      </c>
      <c r="C19" s="109" t="s">
        <v>501</v>
      </c>
      <c r="D19" s="143"/>
      <c r="E19" s="125" t="e">
        <f>VLOOKUP(Table25755252691013434446474849565758596315181719224566677172737476[[#This Row],[PEG]],Table1016[#All],3,FALSE)</f>
        <v>#N/A</v>
      </c>
    </row>
    <row r="20" spans="1:5" x14ac:dyDescent="0.35">
      <c r="A20" s="118">
        <v>13</v>
      </c>
      <c r="B20" s="114" t="s">
        <v>115</v>
      </c>
      <c r="C20" s="109" t="str">
        <f>VLOOKUP(Table25755252691013434446474849565758596315181719224566677172737476[[#This Row],[PEG]],Table1016[#All],2,FALSE)</f>
        <v>Is &lt;ivrBankKey&gt; the right number?</v>
      </c>
      <c r="D20" s="143" t="s">
        <v>292</v>
      </c>
      <c r="E20" s="125" t="str">
        <f>VLOOKUP(Table25755252691013434446474849565758596315181719224566677172737476[[#This Row],[PEG]],Table1016[#All],3,FALSE)</f>
        <v>Prompt</v>
      </c>
    </row>
    <row r="21" spans="1:5" x14ac:dyDescent="0.35">
      <c r="A21" s="118">
        <v>14</v>
      </c>
      <c r="B21" s="114" t="s">
        <v>114</v>
      </c>
      <c r="C21" s="109">
        <v>1</v>
      </c>
      <c r="D21" s="143"/>
      <c r="E21" s="125" t="e">
        <f>VLOOKUP(Table25755252691013434446474849565758596315181719224566677172737476[[#This Row],[PEG]],Table1016[#All],3,FALSE)</f>
        <v>#N/A</v>
      </c>
    </row>
    <row r="22" spans="1:5" x14ac:dyDescent="0.35">
      <c r="A22" s="118">
        <v>15</v>
      </c>
      <c r="B22" s="114" t="s">
        <v>115</v>
      </c>
      <c r="C22" s="109" t="str">
        <f>VLOOKUP(Table25755252691013434446474849565758596315181719224566677172737476[[#This Row],[PEG]],Table1016[#All],2,FALSE)</f>
        <v>Now what is your checking account number.</v>
      </c>
      <c r="D22" s="143" t="s">
        <v>295</v>
      </c>
      <c r="E22" s="125" t="str">
        <f>VLOOKUP(Table25755252691013434446474849565758596315181719224566677172737476[[#This Row],[PEG]],Table1016[#All],3,FALSE)</f>
        <v>Prompt</v>
      </c>
    </row>
    <row r="23" spans="1:5" x14ac:dyDescent="0.35">
      <c r="A23" s="118">
        <v>16</v>
      </c>
      <c r="B23" s="114" t="s">
        <v>114</v>
      </c>
      <c r="C23" s="109" t="s">
        <v>412</v>
      </c>
      <c r="D23" s="143"/>
      <c r="E23" s="125" t="e">
        <f>VLOOKUP(Table25755252691013434446474849565758596315181719224566677172737476[[#This Row],[PEG]],Table1016[#All],3,FALSE)</f>
        <v>#N/A</v>
      </c>
    </row>
    <row r="24" spans="1:5" x14ac:dyDescent="0.35">
      <c r="A24" s="118">
        <v>17</v>
      </c>
      <c r="B24" s="114" t="s">
        <v>115</v>
      </c>
      <c r="C24" s="109" t="str">
        <f>VLOOKUP(Table25755252691013434446474849565758596315181719224566677172737476[[#This Row],[PEG]],Table1016[#All],2,FALSE)</f>
        <v>Is &lt;ivrBankAcct&gt; the right number?</v>
      </c>
      <c r="D24" s="143" t="s">
        <v>301</v>
      </c>
      <c r="E24" s="125">
        <f>VLOOKUP(Table25755252691013434446474849565758596315181719224566677172737476[[#This Row],[PEG]],Table1016[#All],3,FALSE)</f>
        <v>0</v>
      </c>
    </row>
    <row r="25" spans="1:5" x14ac:dyDescent="0.35">
      <c r="A25" s="118">
        <v>18</v>
      </c>
      <c r="B25" s="114" t="s">
        <v>114</v>
      </c>
      <c r="C25" s="109">
        <v>1</v>
      </c>
      <c r="D25" s="143"/>
      <c r="E25" s="125" t="e">
        <f>VLOOKUP(Table25755252691013434446474849565758596315181719224566677172737476[[#This Row],[PEG]],Table1016[#All],3,FALSE)</f>
        <v>#N/A</v>
      </c>
    </row>
    <row r="26" spans="1:5" ht="43.5" x14ac:dyDescent="0.35">
      <c r="A26" s="118">
        <v>19</v>
      </c>
      <c r="B26" s="114" t="s">
        <v>115</v>
      </c>
      <c r="C26" s="109" t="str">
        <f>VLOOKUP(Table25755252691013434446474849565758596315181719224566677172737476[[#This Row],[PEG]],Table1016[#All],2,FALSE)</f>
        <v>Today &lt;SAP01_SystemDate&gt; I’d like to confirm that you &lt;SAP01_NameFirst&gt; &lt;SAP01_NameLast&gt; are authorizing a payment in the amount of &lt;ivrPmtAmt&gt;
to be processed as an electronic funds transfer, or draft drawn from your account.  Do you agree?</v>
      </c>
      <c r="D26" s="143" t="s">
        <v>304</v>
      </c>
      <c r="E26" s="125" t="str">
        <f>VLOOKUP(Table25755252691013434446474849565758596315181719224566677172737476[[#This Row],[PEG]],Table1016[#All],3,FALSE)</f>
        <v>Prompt</v>
      </c>
    </row>
    <row r="27" spans="1:5" x14ac:dyDescent="0.35">
      <c r="A27" s="118">
        <v>20</v>
      </c>
      <c r="B27" s="114" t="s">
        <v>114</v>
      </c>
      <c r="C27" s="109">
        <v>2</v>
      </c>
      <c r="D27" s="143"/>
      <c r="E27" s="125" t="e">
        <f>VLOOKUP(Table25755252691013434446474849565758596315181719224566677172737476[[#This Row],[PEG]],Table1016[#All],3,FALSE)</f>
        <v>#N/A</v>
      </c>
    </row>
    <row r="28" spans="1:5" ht="29" x14ac:dyDescent="0.35">
      <c r="A28" s="118">
        <v>21</v>
      </c>
      <c r="B28" s="114" t="s">
        <v>115</v>
      </c>
      <c r="C28" s="109" t="str">
        <f>VLOOKUP(Table25755252691013434446474849565758596315181719224566677172737476[[#This Row],[PEG]],Table1016[#All],2,FALSE)</f>
        <v>It seems you are having trouble. For future transactions you can also access your plan details, or manage your account online anytime at members.lacare.com. One moment while I get someone to help. Make sure to have your invoice available.</v>
      </c>
      <c r="D28" s="143" t="s">
        <v>361</v>
      </c>
      <c r="E28" s="125" t="str">
        <f>VLOOKUP(Table25755252691013434446474849565758596315181719224566677172737476[[#This Row],[PEG]],Table1016[#All],3,FALSE)</f>
        <v>Prompt</v>
      </c>
    </row>
    <row r="29" spans="1:5" x14ac:dyDescent="0.35">
      <c r="A29" s="118">
        <v>22</v>
      </c>
      <c r="B29" s="114" t="s">
        <v>13</v>
      </c>
      <c r="C29" s="109" t="s">
        <v>13</v>
      </c>
      <c r="D29" s="143"/>
      <c r="E29" s="125" t="e">
        <f>VLOOKUP(Table25755252691013434446474849565758596315181719224566677172737476[[#This Row],[PEG]],Table1016[#All],3,FALSE)</f>
        <v>#N/A</v>
      </c>
    </row>
    <row r="30" spans="1:5" x14ac:dyDescent="0.35">
      <c r="C30" s="26"/>
    </row>
    <row r="31" spans="1:5" x14ac:dyDescent="0.35">
      <c r="C31" s="26"/>
    </row>
    <row r="32" spans="1:5" x14ac:dyDescent="0.35">
      <c r="C32" s="26"/>
    </row>
    <row r="33" spans="3:3" x14ac:dyDescent="0.35">
      <c r="C33" s="26"/>
    </row>
    <row r="34" spans="3:3" x14ac:dyDescent="0.35">
      <c r="C34" s="26"/>
    </row>
    <row r="35" spans="3:3" x14ac:dyDescent="0.35">
      <c r="C35" s="26"/>
    </row>
    <row r="36" spans="3:3" x14ac:dyDescent="0.35">
      <c r="C36" s="26"/>
    </row>
    <row r="37" spans="3:3" x14ac:dyDescent="0.35">
      <c r="C37" s="26"/>
    </row>
    <row r="38" spans="3:3" x14ac:dyDescent="0.35">
      <c r="C38" s="26"/>
    </row>
    <row r="39" spans="3:3" x14ac:dyDescent="0.35">
      <c r="C39" s="26"/>
    </row>
    <row r="40" spans="3:3" x14ac:dyDescent="0.35">
      <c r="C40" s="27"/>
    </row>
    <row r="41" spans="3:3" x14ac:dyDescent="0.35">
      <c r="C41" s="27"/>
    </row>
    <row r="42" spans="3:3" x14ac:dyDescent="0.35">
      <c r="C42" s="27"/>
    </row>
  </sheetData>
  <mergeCells count="1">
    <mergeCell ref="A1:B1"/>
  </mergeCells>
  <conditionalFormatting sqref="C9:C9981">
    <cfRule type="expression" dxfId="4658" priority="59">
      <formula>$B9="Dial"</formula>
    </cfRule>
    <cfRule type="expression" dxfId="4657" priority="61">
      <formula>$B9="HANGUP"</formula>
    </cfRule>
  </conditionalFormatting>
  <conditionalFormatting sqref="B8:B18">
    <cfRule type="containsText" dxfId="4656" priority="4" operator="containsText" text="Hear">
      <formula>NOT(ISERROR(SEARCH("Hear",B8)))</formula>
    </cfRule>
  </conditionalFormatting>
  <conditionalFormatting sqref="B19:B29">
    <cfRule type="containsText" dxfId="4655" priority="13" operator="containsText" text="Hear">
      <formula>NOT(ISERROR(SEARCH("Hear",B19)))</formula>
    </cfRule>
  </conditionalFormatting>
  <conditionalFormatting sqref="C9:C29">
    <cfRule type="expression" dxfId="4654" priority="12">
      <formula>$B9="Speak"</formula>
    </cfRule>
  </conditionalFormatting>
  <hyperlinks>
    <hyperlink ref="A1" location="'Test Case Overview'!A1" display="Return to Test Case Overview" xr:uid="{E887E2BD-18F7-40E2-AF3C-4C18D108A2B2}"/>
  </hyperlinks>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expression" priority="23" id="{9BA17270-A071-44EA-BF54-990864824E06}">
            <xm:f>'TC1'!$B8="HANGUP"</xm:f>
            <x14:dxf>
              <font>
                <b/>
                <i val="0"/>
              </font>
            </x14:dxf>
          </x14:cfRule>
          <x14:cfRule type="expression" priority="31" id="{02893396-AB60-49FB-8C00-03388B735369}">
            <xm:f>'TC1'!$B8="Dial"</xm:f>
            <x14:dxf>
              <font>
                <b/>
                <i val="0"/>
                <color rgb="FFFF0000"/>
              </font>
            </x14:dxf>
          </x14:cfRule>
          <xm:sqref>C8</xm:sqref>
        </x14:conditionalFormatting>
        <x14:conditionalFormatting xmlns:xm="http://schemas.microsoft.com/office/excel/2006/main">
          <x14:cfRule type="expression" priority="32" id="{0EFBAC56-8DEB-474E-80E1-0918260CAD22}">
            <xm:f>'TC1'!$B8="Speak"</xm:f>
            <x14:dxf>
              <font>
                <b/>
                <i val="0"/>
                <color rgb="FFFF0000"/>
              </font>
            </x14:dxf>
          </x14:cfRule>
          <xm:sqref>C8</xm:sqref>
        </x14:conditionalFormatting>
        <x14:conditionalFormatting xmlns:xm="http://schemas.microsoft.com/office/excel/2006/main">
          <x14:cfRule type="containsText" priority="1200" operator="containsText" text="WEB SERVICE" id="{B66947C8-1704-4A5D-ADEE-5B09C200F939}">
            <xm:f>NOT(ISERROR(SEARCH("WEB SERVICE",'TC1'!#REF!)))</xm:f>
            <x14:dxf>
              <font>
                <color rgb="FF9C0006"/>
              </font>
              <fill>
                <patternFill>
                  <bgColor rgb="FFFFC7CE"/>
                </patternFill>
              </fill>
            </x14:dxf>
          </x14:cfRule>
          <x14:cfRule type="containsText" priority="1201" operator="containsText" text="DB" id="{B83F9C2B-D3F9-427D-9FB6-73D2B631A18B}">
            <xm:f>NOT(ISERROR(SEARCH("DB",'TC1'!#REF!)))</xm:f>
            <x14:dxf>
              <font>
                <color rgb="FF006100"/>
              </font>
              <fill>
                <patternFill>
                  <bgColor rgb="FFC6EFCE"/>
                </patternFill>
              </fill>
            </x14:dxf>
          </x14:cfRule>
          <xm:sqref>E17:E29</xm:sqref>
        </x14:conditionalFormatting>
        <x14:conditionalFormatting xmlns:xm="http://schemas.microsoft.com/office/excel/2006/main">
          <x14:cfRule type="containsText" priority="4016" operator="containsText" text="WEB SERVICE" id="{B66947C8-1704-4A5D-ADEE-5B09C200F939}">
            <xm:f>NOT(ISERROR(SEARCH("WEB SERVICE",'TC1'!#REF!)))</xm:f>
            <x14:dxf>
              <font>
                <color rgb="FF9C0006"/>
              </font>
              <fill>
                <patternFill>
                  <bgColor rgb="FFFFC7CE"/>
                </patternFill>
              </fill>
            </x14:dxf>
          </x14:cfRule>
          <x14:cfRule type="containsText" priority="4017" operator="containsText" text="DB" id="{B83F9C2B-D3F9-427D-9FB6-73D2B631A18B}">
            <xm:f>NOT(ISERROR(SEARCH("DB",'TC1'!#REF!)))</xm:f>
            <x14:dxf>
              <font>
                <color rgb="FF006100"/>
              </font>
              <fill>
                <patternFill>
                  <bgColor rgb="FFC6EFCE"/>
                </patternFill>
              </fill>
            </x14:dxf>
          </x14:cfRule>
          <xm:sqref>E9:E11</xm:sqref>
        </x14:conditionalFormatting>
        <x14:conditionalFormatting xmlns:xm="http://schemas.microsoft.com/office/excel/2006/main">
          <x14:cfRule type="containsText" priority="4018" operator="containsText" text="WEB SERVICE" id="{B66947C8-1704-4A5D-ADEE-5B09C200F939}">
            <xm:f>NOT(ISERROR(SEARCH("WEB SERVICE",'TC1'!E9)))</xm:f>
            <x14:dxf>
              <font>
                <color rgb="FF9C0006"/>
              </font>
              <fill>
                <patternFill>
                  <bgColor rgb="FFFFC7CE"/>
                </patternFill>
              </fill>
            </x14:dxf>
          </x14:cfRule>
          <x14:cfRule type="containsText" priority="4019" operator="containsText" text="DB" id="{B83F9C2B-D3F9-427D-9FB6-73D2B631A18B}">
            <xm:f>NOT(ISERROR(SEARCH("DB",'TC1'!E9)))</xm:f>
            <x14:dxf>
              <font>
                <color rgb="FF006100"/>
              </font>
              <fill>
                <patternFill>
                  <bgColor rgb="FFC6EFCE"/>
                </patternFill>
              </fill>
            </x14:dxf>
          </x14:cfRule>
          <xm:sqref>E12:E15</xm:sqref>
        </x14:conditionalFormatting>
        <x14:conditionalFormatting xmlns:xm="http://schemas.microsoft.com/office/excel/2006/main">
          <x14:cfRule type="containsText" priority="6524" operator="containsText" text="WEB SERVICE" id="{B66947C8-1704-4A5D-ADEE-5B09C200F939}">
            <xm:f>NOT(ISERROR(SEARCH("WEB SERVICE",'TC1'!E15)))</xm:f>
            <x14:dxf>
              <font>
                <color rgb="FF9C0006"/>
              </font>
              <fill>
                <patternFill>
                  <bgColor rgb="FFFFC7CE"/>
                </patternFill>
              </fill>
            </x14:dxf>
          </x14:cfRule>
          <x14:cfRule type="containsText" priority="6525" operator="containsText" text="DB" id="{B83F9C2B-D3F9-427D-9FB6-73D2B631A18B}">
            <xm:f>NOT(ISERROR(SEARCH("DB",'TC1'!E15)))</xm:f>
            <x14:dxf>
              <font>
                <color rgb="FF006100"/>
              </font>
              <fill>
                <patternFill>
                  <bgColor rgb="FFC6EFCE"/>
                </patternFill>
              </fill>
            </x14:dxf>
          </x14:cfRule>
          <xm:sqref>E16</xm:sqref>
        </x14:conditionalFormatting>
      </x14:conditionalFormattings>
    </ext>
  </extLst>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9"/>
  <dimension ref="A1:E55"/>
  <sheetViews>
    <sheetView zoomScaleNormal="100" workbookViewId="0">
      <selection sqref="A1:B1"/>
    </sheetView>
  </sheetViews>
  <sheetFormatPr defaultRowHeight="14.5" x14ac:dyDescent="0.35"/>
  <cols>
    <col min="1" max="1" width="14.453125" style="97" bestFit="1" customWidth="1"/>
    <col min="2" max="2" width="42.6328125" style="97" customWidth="1"/>
    <col min="3" max="3" width="106.1796875" style="98" customWidth="1"/>
    <col min="4" max="4" width="21.81640625" style="111" bestFit="1" customWidth="1"/>
    <col min="5" max="5" width="20.6328125" style="97" customWidth="1"/>
  </cols>
  <sheetData>
    <row r="1" spans="1:5" ht="18.5" x14ac:dyDescent="0.35">
      <c r="A1" s="192" t="s">
        <v>4</v>
      </c>
      <c r="B1" s="192"/>
      <c r="C1" s="105"/>
    </row>
    <row r="2" spans="1:5" x14ac:dyDescent="0.35">
      <c r="A2" s="106" t="s">
        <v>5</v>
      </c>
      <c r="B2" s="107" t="str">
        <f ca="1">MID(CELL("filename",A1),FIND("]",CELL("filename",A1))+1,LEN(CELL("filename",A1))-FIND("]",CELL("filename",A1)))</f>
        <v>TC47</v>
      </c>
    </row>
    <row r="3" spans="1:5" x14ac:dyDescent="0.35">
      <c r="A3" s="104" t="s">
        <v>19</v>
      </c>
      <c r="B3" s="112">
        <f ca="1">VLOOKUP(B2,Table53[#All],2,FALSE)</f>
        <v>0</v>
      </c>
    </row>
    <row r="4" spans="1:5" ht="29" x14ac:dyDescent="0.35">
      <c r="A4" s="113" t="s">
        <v>20</v>
      </c>
      <c r="B4" s="99" t="str">
        <f ca="1">VLOOKUP(B2,Table53[#All],4,FALSE)</f>
        <v>Valid Acct Future</v>
      </c>
    </row>
    <row r="5" spans="1:5" x14ac:dyDescent="0.35">
      <c r="A5" s="104" t="s">
        <v>6</v>
      </c>
      <c r="B5" s="93" t="str">
        <f ca="1">VLOOKUP(B2,Table53[#All],3,FALSE)</f>
        <v>Get Bank Nacha 2- No Input x3</v>
      </c>
    </row>
    <row r="7" spans="1:5" ht="15.5" x14ac:dyDescent="0.35">
      <c r="A7" s="100" t="s">
        <v>7</v>
      </c>
      <c r="B7" s="101" t="s">
        <v>8</v>
      </c>
      <c r="C7" s="102" t="s">
        <v>9</v>
      </c>
      <c r="D7" s="102" t="s">
        <v>14</v>
      </c>
      <c r="E7" s="103" t="s">
        <v>10</v>
      </c>
    </row>
    <row r="8" spans="1:5" x14ac:dyDescent="0.35">
      <c r="A8" s="118">
        <v>1</v>
      </c>
      <c r="B8" s="114" t="s">
        <v>114</v>
      </c>
      <c r="C8" s="109" t="s">
        <v>125</v>
      </c>
      <c r="D8" s="128"/>
      <c r="E8" s="125" t="s">
        <v>11</v>
      </c>
    </row>
    <row r="9" spans="1:5" x14ac:dyDescent="0.35">
      <c r="A9" s="118">
        <v>2</v>
      </c>
      <c r="B9" s="114" t="s">
        <v>115</v>
      </c>
      <c r="C9" s="109" t="str">
        <f>VLOOKUP(Table25755252691013434446474849565758596315181719224566677172737483[[#This Row],[PEG]],Table1016[#All],2,FALSE)</f>
        <v>To get started, tell me your Account Number</v>
      </c>
      <c r="D9" s="141" t="s">
        <v>245</v>
      </c>
      <c r="E9" s="125" t="str">
        <f>VLOOKUP(Table25755252691013434446474849565758596315181719224566677172737483[[#This Row],[PEG]],Table1016[#All],3,FALSE)</f>
        <v>Prompt</v>
      </c>
    </row>
    <row r="10" spans="1:5" x14ac:dyDescent="0.35">
      <c r="A10" s="118">
        <v>3</v>
      </c>
      <c r="B10" s="114" t="s">
        <v>114</v>
      </c>
      <c r="C10" s="109" t="s">
        <v>412</v>
      </c>
      <c r="D10" s="151"/>
      <c r="E10" s="125" t="e">
        <f>VLOOKUP(Table25755252691013434446474849565758596315181719224566677172737483[[#This Row],[PEG]],Table1016[#All],3,FALSE)</f>
        <v>#N/A</v>
      </c>
    </row>
    <row r="11" spans="1:5" ht="174" x14ac:dyDescent="0.35">
      <c r="A11" s="118">
        <v>4</v>
      </c>
      <c r="B11" s="114" t="s">
        <v>12</v>
      </c>
      <c r="C11" s="109" t="str">
        <f>VLOOKUP(Table25755252691013434446474849565758596315181719224566677172737483[[#This Row],[PEG]],Table1016[#All],2,FALSE)</f>
        <v>SAP HANA – SAP01_GetMember
inputs:
idnumber = iIdnumber	T
idtype 	= iIdtype
outputs:
~ Billing Reference
~ Enrollment Details
~ Billing Details
~ Last Payment
~ Recurring Payment Method
~ Stored Payment Method</v>
      </c>
      <c r="D11" s="141" t="s">
        <v>371</v>
      </c>
      <c r="E11" s="125" t="str">
        <f>VLOOKUP(Table25755252691013434446474849565758596315181719224566677172737483[[#This Row],[PEG]],Table1016[#All],3,FALSE)</f>
        <v>DB</v>
      </c>
    </row>
    <row r="12" spans="1:5" x14ac:dyDescent="0.35">
      <c r="A12" s="118">
        <v>5</v>
      </c>
      <c r="B12" s="114" t="s">
        <v>115</v>
      </c>
      <c r="C12" s="109" t="str">
        <f>VLOOKUP(Table25755252691013434446474849565758596315181719224566677172737483[[#This Row],[PEG]],Table1016[#All],2,FALSE)</f>
        <v>Thanks, I found your account!</v>
      </c>
      <c r="D12" s="141" t="s">
        <v>248</v>
      </c>
      <c r="E12" s="125" t="str">
        <f>VLOOKUP(Table25755252691013434446474849565758596315181719224566677172737483[[#This Row],[PEG]],Table1016[#All],3,FALSE)</f>
        <v>Prompt</v>
      </c>
    </row>
    <row r="13" spans="1:5" x14ac:dyDescent="0.35">
      <c r="A13" s="118">
        <v>6</v>
      </c>
      <c r="B13" s="114" t="s">
        <v>115</v>
      </c>
      <c r="C13" s="109" t="str">
        <f>VLOOKUP(Table25755252691013434446474849565758596315181719224566677172737483[[#This Row],[PEG]],Table1016[#All],2,FALSE)</f>
        <v>Your one-time initial payment of &lt;SAP01_CurrentDue&gt; is due by &lt;SAP01_Duedate&gt;</v>
      </c>
      <c r="D13" s="142" t="s">
        <v>256</v>
      </c>
      <c r="E13" s="125" t="str">
        <f>VLOOKUP(Table25755252691013434446474849565758596315181719224566677172737483[[#This Row],[PEG]],Table1016[#All],3,FALSE)</f>
        <v>Prompt</v>
      </c>
    </row>
    <row r="14" spans="1:5" x14ac:dyDescent="0.35">
      <c r="A14" s="118">
        <v>7</v>
      </c>
      <c r="B14" s="114" t="s">
        <v>115</v>
      </c>
      <c r="C14" s="109" t="str">
        <f>VLOOKUP(Table25755252691013434446474849565758596315181719224566677172737483[[#This Row],[PEG]],Table1016[#All],2,FALSE)</f>
        <v>Would you like to pay this in full today?</v>
      </c>
      <c r="D14" s="142" t="s">
        <v>260</v>
      </c>
      <c r="E14" s="125" t="str">
        <f>VLOOKUP(Table25755252691013434446474849565758596315181719224566677172737483[[#This Row],[PEG]],Table1016[#All],3,FALSE)</f>
        <v>Prompt</v>
      </c>
    </row>
    <row r="15" spans="1:5" x14ac:dyDescent="0.35">
      <c r="A15" s="118">
        <v>8</v>
      </c>
      <c r="B15" s="114" t="s">
        <v>114</v>
      </c>
      <c r="C15" s="109">
        <v>1</v>
      </c>
      <c r="D15" s="143"/>
      <c r="E15" s="125" t="e">
        <f>VLOOKUP(Table25755252691013434446474849565758596315181719224566677172737483[[#This Row],[PEG]],Table1016[#All],3,FALSE)</f>
        <v>#N/A</v>
      </c>
    </row>
    <row r="16" spans="1:5" x14ac:dyDescent="0.35">
      <c r="A16" s="118">
        <v>9</v>
      </c>
      <c r="B16" s="114" t="s">
        <v>115</v>
      </c>
      <c r="C16" s="109" t="str">
        <f>VLOOKUP(Table25755252691013434446474849565758596315181719224566677172737483[[#This Row],[PEG]],Table1016[#All],2,FALSE)</f>
        <v>Ok, are you using Credit, Debit, Checking or Savings?</v>
      </c>
      <c r="D16" s="143" t="s">
        <v>286</v>
      </c>
      <c r="E16" s="125" t="str">
        <f>VLOOKUP(Table25755252691013434446474849565758596315181719224566677172737483[[#This Row],[PEG]],Table1016[#All],3,FALSE)</f>
        <v>Prompt</v>
      </c>
    </row>
    <row r="17" spans="1:5" x14ac:dyDescent="0.35">
      <c r="A17" s="118">
        <v>10</v>
      </c>
      <c r="B17" s="114" t="s">
        <v>114</v>
      </c>
      <c r="C17" s="109">
        <v>4</v>
      </c>
      <c r="D17" s="143"/>
      <c r="E17" s="125" t="e">
        <f>VLOOKUP(Table25755252691013434446474849565758596315181719224566677172737483[[#This Row],[PEG]],Table1016[#All],3,FALSE)</f>
        <v>#N/A</v>
      </c>
    </row>
    <row r="18" spans="1:5" x14ac:dyDescent="0.35">
      <c r="A18" s="118">
        <v>11</v>
      </c>
      <c r="B18" s="114" t="s">
        <v>115</v>
      </c>
      <c r="C18" s="109" t="str">
        <f>VLOOKUP(Table25755252691013434446474849565758596315181719224566677172737483[[#This Row],[PEG]],Table1016[#All],2,FALSE)</f>
        <v>Tell me your 9-digit routing number.</v>
      </c>
      <c r="D18" s="143" t="s">
        <v>289</v>
      </c>
      <c r="E18" s="125" t="str">
        <f>VLOOKUP(Table25755252691013434446474849565758596315181719224566677172737483[[#This Row],[PEG]],Table1016[#All],3,FALSE)</f>
        <v>Prompt</v>
      </c>
    </row>
    <row r="19" spans="1:5" x14ac:dyDescent="0.35">
      <c r="A19" s="118">
        <v>12</v>
      </c>
      <c r="B19" s="114" t="s">
        <v>114</v>
      </c>
      <c r="C19" s="109" t="s">
        <v>501</v>
      </c>
      <c r="D19" s="143"/>
      <c r="E19" s="125" t="e">
        <f>VLOOKUP(Table25755252691013434446474849565758596315181719224566677172737483[[#This Row],[PEG]],Table1016[#All],3,FALSE)</f>
        <v>#N/A</v>
      </c>
    </row>
    <row r="20" spans="1:5" x14ac:dyDescent="0.35">
      <c r="A20" s="118">
        <v>13</v>
      </c>
      <c r="B20" s="114" t="s">
        <v>115</v>
      </c>
      <c r="C20" s="109" t="str">
        <f>VLOOKUP(Table25755252691013434446474849565758596315181719224566677172737483[[#This Row],[PEG]],Table1016[#All],2,FALSE)</f>
        <v>Is &lt;ivrBankKey&gt; the right number?</v>
      </c>
      <c r="D20" s="143" t="s">
        <v>292</v>
      </c>
      <c r="E20" s="125" t="str">
        <f>VLOOKUP(Table25755252691013434446474849565758596315181719224566677172737483[[#This Row],[PEG]],Table1016[#All],3,FALSE)</f>
        <v>Prompt</v>
      </c>
    </row>
    <row r="21" spans="1:5" x14ac:dyDescent="0.35">
      <c r="A21" s="118">
        <v>14</v>
      </c>
      <c r="B21" s="114" t="s">
        <v>114</v>
      </c>
      <c r="C21" s="109">
        <v>1</v>
      </c>
      <c r="D21" s="143"/>
      <c r="E21" s="125" t="e">
        <f>VLOOKUP(Table25755252691013434446474849565758596315181719224566677172737483[[#This Row],[PEG]],Table1016[#All],3,FALSE)</f>
        <v>#N/A</v>
      </c>
    </row>
    <row r="22" spans="1:5" x14ac:dyDescent="0.35">
      <c r="A22" s="118">
        <v>15</v>
      </c>
      <c r="B22" s="114" t="s">
        <v>115</v>
      </c>
      <c r="C22" s="109" t="str">
        <f>VLOOKUP(Table25755252691013434446474849565758596315181719224566677172737483[[#This Row],[PEG]],Table1016[#All],2,FALSE)</f>
        <v>Now what is your checking account number.</v>
      </c>
      <c r="D22" s="143" t="s">
        <v>295</v>
      </c>
      <c r="E22" s="125" t="str">
        <f>VLOOKUP(Table25755252691013434446474849565758596315181719224566677172737483[[#This Row],[PEG]],Table1016[#All],3,FALSE)</f>
        <v>Prompt</v>
      </c>
    </row>
    <row r="23" spans="1:5" x14ac:dyDescent="0.35">
      <c r="A23" s="118">
        <v>16</v>
      </c>
      <c r="B23" s="114" t="s">
        <v>114</v>
      </c>
      <c r="C23" s="109" t="s">
        <v>412</v>
      </c>
      <c r="D23" s="143"/>
      <c r="E23" s="125" t="e">
        <f>VLOOKUP(Table25755252691013434446474849565758596315181719224566677172737483[[#This Row],[PEG]],Table1016[#All],3,FALSE)</f>
        <v>#N/A</v>
      </c>
    </row>
    <row r="24" spans="1:5" x14ac:dyDescent="0.35">
      <c r="A24" s="118">
        <v>17</v>
      </c>
      <c r="B24" s="114" t="s">
        <v>115</v>
      </c>
      <c r="C24" s="109" t="str">
        <f>VLOOKUP(Table25755252691013434446474849565758596315181719224566677172737483[[#This Row],[PEG]],Table1016[#All],2,FALSE)</f>
        <v>Is &lt;ivrBankAcct&gt; the right number?</v>
      </c>
      <c r="D24" s="143" t="s">
        <v>301</v>
      </c>
      <c r="E24" s="125">
        <f>VLOOKUP(Table25755252691013434446474849565758596315181719224566677172737483[[#This Row],[PEG]],Table1016[#All],3,FALSE)</f>
        <v>0</v>
      </c>
    </row>
    <row r="25" spans="1:5" x14ac:dyDescent="0.35">
      <c r="A25" s="118">
        <v>18</v>
      </c>
      <c r="B25" s="114" t="s">
        <v>114</v>
      </c>
      <c r="C25" s="109">
        <v>1</v>
      </c>
      <c r="D25" s="143"/>
      <c r="E25" s="125" t="e">
        <f>VLOOKUP(Table25755252691013434446474849565758596315181719224566677172737483[[#This Row],[PEG]],Table1016[#All],3,FALSE)</f>
        <v>#N/A</v>
      </c>
    </row>
    <row r="26" spans="1:5" ht="43.5" x14ac:dyDescent="0.35">
      <c r="A26" s="118">
        <v>19</v>
      </c>
      <c r="B26" s="114" t="s">
        <v>115</v>
      </c>
      <c r="C26" s="109" t="str">
        <f>VLOOKUP(Table25755252691013434446474849565758596315181719224566677172737483[[#This Row],[PEG]],Table1016[#All],2,FALSE)</f>
        <v>Today &lt;SAP01_SystemDate&gt; I’d like to confirm that you &lt;SAP01_NameFirst&gt; &lt;SAP01_NameLast&gt; are authorizing a payment in the amount of &lt;ivrPmtAmt&gt;
to be processed as an electronic funds transfer, or draft drawn from your account.  Do you agree?</v>
      </c>
      <c r="D26" s="143" t="s">
        <v>304</v>
      </c>
      <c r="E26" s="125" t="str">
        <f>VLOOKUP(Table25755252691013434446474849565758596315181719224566677172737483[[#This Row],[PEG]],Table1016[#All],3,FALSE)</f>
        <v>Prompt</v>
      </c>
    </row>
    <row r="27" spans="1:5" x14ac:dyDescent="0.35">
      <c r="A27" s="118">
        <v>20</v>
      </c>
      <c r="B27" s="114" t="s">
        <v>114</v>
      </c>
      <c r="C27" s="109">
        <v>1</v>
      </c>
      <c r="D27" s="117"/>
      <c r="E27" s="125" t="e">
        <f>VLOOKUP(Table25755252691013434446474849565758596315181719224566677172737483[[#This Row],[PEG]],Table1016[#All],3,FALSE)</f>
        <v>#N/A</v>
      </c>
    </row>
    <row r="28" spans="1:5" ht="43.5" x14ac:dyDescent="0.35">
      <c r="A28" s="118">
        <v>21</v>
      </c>
      <c r="B28" s="114" t="s">
        <v>115</v>
      </c>
      <c r="C28" s="109" t="str">
        <f>VLOOKUP(Table25755252691013434446474849565758596315181719224566677172737483[[#This Row],[PEG]],Table1016[#All],2,FALSE)</f>
        <v>If your payment is returned unpaid, you authorize us or our service provider to collect the payment and your State’s return item fee of &lt;SAP01_NSFAmount&gt; by electronic funds transfer(s) or draft(s) drawn from your account.  Do you agree and authorize the payment?</v>
      </c>
      <c r="D28" s="117" t="s">
        <v>307</v>
      </c>
      <c r="E28" s="125" t="str">
        <f>VLOOKUP(Table25755252691013434446474849565758596315181719224566677172737483[[#This Row],[PEG]],Table1016[#All],3,FALSE)</f>
        <v>Prompt</v>
      </c>
    </row>
    <row r="29" spans="1:5" x14ac:dyDescent="0.35">
      <c r="A29" s="118">
        <v>22</v>
      </c>
      <c r="B29" s="114" t="s">
        <v>114</v>
      </c>
      <c r="C29" s="109" t="s">
        <v>478</v>
      </c>
      <c r="D29" s="117"/>
      <c r="E29" s="125" t="e">
        <f>VLOOKUP(Table25755252691013434446474849565758596315181719224566677172737483[[#This Row],[PEG]],Table1016[#All],3,FALSE)</f>
        <v>#N/A</v>
      </c>
    </row>
    <row r="30" spans="1:5" x14ac:dyDescent="0.35">
      <c r="A30" s="118">
        <v>23</v>
      </c>
      <c r="B30" s="114" t="s">
        <v>115</v>
      </c>
      <c r="C30" s="109" t="str">
        <f>VLOOKUP(Table25755252691013434446474849565758596315181719224566677172737483[[#This Row],[PEG]],Table1016[#All],2,FALSE)</f>
        <v>I didn’t get that.</v>
      </c>
      <c r="D30" s="117" t="s">
        <v>365</v>
      </c>
      <c r="E30" s="125" t="str">
        <f>VLOOKUP(Table25755252691013434446474849565758596315181719224566677172737483[[#This Row],[PEG]],Table1016[#All],3,FALSE)</f>
        <v>Prompt</v>
      </c>
    </row>
    <row r="31" spans="1:5" x14ac:dyDescent="0.35">
      <c r="A31" s="118">
        <v>24</v>
      </c>
      <c r="B31" s="114" t="s">
        <v>115</v>
      </c>
      <c r="C31" s="109" t="str">
        <f>VLOOKUP(Table25755252691013434446474849565758596315181719224566677172737483[[#This Row],[PEG]],Table1016[#All],2,FALSE)</f>
        <v>Do you agree?  Just say yes or no</v>
      </c>
      <c r="D31" s="117" t="s">
        <v>308</v>
      </c>
      <c r="E31" s="125" t="str">
        <f>VLOOKUP(Table25755252691013434446474849565758596315181719224566677172737483[[#This Row],[PEG]],Table1016[#All],3,FALSE)</f>
        <v>Prompt</v>
      </c>
    </row>
    <row r="32" spans="1:5" x14ac:dyDescent="0.35">
      <c r="A32" s="118">
        <v>25</v>
      </c>
      <c r="B32" s="114" t="s">
        <v>114</v>
      </c>
      <c r="C32" s="109" t="s">
        <v>478</v>
      </c>
      <c r="D32" s="117"/>
      <c r="E32" s="125" t="e">
        <f>VLOOKUP(Table25755252691013434446474849565758596315181719224566677172737483[[#This Row],[PEG]],Table1016[#All],3,FALSE)</f>
        <v>#N/A</v>
      </c>
    </row>
    <row r="33" spans="1:5" x14ac:dyDescent="0.35">
      <c r="A33" s="118">
        <v>26</v>
      </c>
      <c r="B33" s="114" t="s">
        <v>115</v>
      </c>
      <c r="C33" s="109" t="str">
        <f>VLOOKUP(Table25755252691013434446474849565758596315181719224566677172737483[[#This Row],[PEG]],Table1016[#All],2,FALSE)</f>
        <v>I still didn’t get that.</v>
      </c>
      <c r="D33" s="117" t="s">
        <v>366</v>
      </c>
      <c r="E33" s="125" t="str">
        <f>VLOOKUP(Table25755252691013434446474849565758596315181719224566677172737483[[#This Row],[PEG]],Table1016[#All],3,FALSE)</f>
        <v>Prompt</v>
      </c>
    </row>
    <row r="34" spans="1:5" x14ac:dyDescent="0.35">
      <c r="A34" s="118">
        <v>27</v>
      </c>
      <c r="B34" s="114" t="s">
        <v>115</v>
      </c>
      <c r="C34" s="109" t="str">
        <f>VLOOKUP(Table25755252691013434446474849565758596315181719224566677172737483[[#This Row],[PEG]],Table1016[#All],2,FALSE)</f>
        <v>To finalize the payment, just say yes or press 1. To cancel, say no or press 2.</v>
      </c>
      <c r="D34" s="117" t="s">
        <v>309</v>
      </c>
      <c r="E34" s="125" t="str">
        <f>VLOOKUP(Table25755252691013434446474849565758596315181719224566677172737483[[#This Row],[PEG]],Table1016[#All],3,FALSE)</f>
        <v>Prompt</v>
      </c>
    </row>
    <row r="35" spans="1:5" x14ac:dyDescent="0.35">
      <c r="A35" s="118">
        <v>28</v>
      </c>
      <c r="B35" s="114" t="s">
        <v>114</v>
      </c>
      <c r="C35" s="109" t="s">
        <v>478</v>
      </c>
      <c r="D35" s="117"/>
      <c r="E35" s="125" t="e">
        <f>VLOOKUP(Table25755252691013434446474849565758596315181719224566677172737483[[#This Row],[PEG]],Table1016[#All],3,FALSE)</f>
        <v>#N/A</v>
      </c>
    </row>
    <row r="36" spans="1:5" ht="29" x14ac:dyDescent="0.35">
      <c r="A36" s="118">
        <v>29</v>
      </c>
      <c r="B36" s="114" t="s">
        <v>115</v>
      </c>
      <c r="C36" s="109" t="str">
        <f>VLOOKUP(Table25755252691013434446474849565758596315181719224566677172737483[[#This Row],[PEG]],Table1016[#All],2,FALSE)</f>
        <v>It seems you are having trouble. For future transactions you can also access your plan details, or manage your account online anytime at members.lacare.com. One moment while I get someone to help. Make sure to have your invoice available.</v>
      </c>
      <c r="D36" s="117" t="s">
        <v>361</v>
      </c>
      <c r="E36" s="125" t="str">
        <f>VLOOKUP(Table25755252691013434446474849565758596315181719224566677172737483[[#This Row],[PEG]],Table1016[#All],3,FALSE)</f>
        <v>Prompt</v>
      </c>
    </row>
    <row r="37" spans="1:5" x14ac:dyDescent="0.35">
      <c r="A37" s="118">
        <v>30</v>
      </c>
      <c r="B37" s="114" t="s">
        <v>13</v>
      </c>
      <c r="C37" s="109" t="s">
        <v>13</v>
      </c>
      <c r="D37" s="117"/>
      <c r="E37" s="125" t="e">
        <f>VLOOKUP(Table25755252691013434446474849565758596315181719224566677172737483[[#This Row],[PEG]],Table1016[#All],3,FALSE)</f>
        <v>#N/A</v>
      </c>
    </row>
    <row r="38" spans="1:5" x14ac:dyDescent="0.35">
      <c r="C38" s="26"/>
      <c r="D38" s="111" t="s">
        <v>0</v>
      </c>
    </row>
    <row r="39" spans="1:5" x14ac:dyDescent="0.35">
      <c r="C39" s="26"/>
    </row>
    <row r="40" spans="1:5" x14ac:dyDescent="0.35">
      <c r="C40" s="26"/>
    </row>
    <row r="41" spans="1:5" x14ac:dyDescent="0.35">
      <c r="C41" s="26"/>
    </row>
    <row r="42" spans="1:5" x14ac:dyDescent="0.35">
      <c r="C42" s="26"/>
    </row>
    <row r="43" spans="1:5" x14ac:dyDescent="0.35">
      <c r="C43" s="26"/>
    </row>
    <row r="44" spans="1:5" x14ac:dyDescent="0.35">
      <c r="C44" s="26"/>
    </row>
    <row r="45" spans="1:5" x14ac:dyDescent="0.35">
      <c r="C45" s="26"/>
    </row>
    <row r="46" spans="1:5" x14ac:dyDescent="0.35">
      <c r="C46" s="26"/>
    </row>
    <row r="47" spans="1:5" x14ac:dyDescent="0.35">
      <c r="C47" s="26"/>
    </row>
    <row r="48" spans="1:5" x14ac:dyDescent="0.35">
      <c r="C48" s="26"/>
    </row>
    <row r="49" spans="3:3" x14ac:dyDescent="0.35">
      <c r="C49" s="26"/>
    </row>
    <row r="50" spans="3:3" x14ac:dyDescent="0.35">
      <c r="C50" s="26"/>
    </row>
    <row r="51" spans="3:3" x14ac:dyDescent="0.35">
      <c r="C51" s="26"/>
    </row>
    <row r="52" spans="3:3" x14ac:dyDescent="0.35">
      <c r="C52" s="26"/>
    </row>
    <row r="53" spans="3:3" x14ac:dyDescent="0.35">
      <c r="C53" s="27"/>
    </row>
    <row r="54" spans="3:3" x14ac:dyDescent="0.35">
      <c r="C54" s="27"/>
    </row>
    <row r="55" spans="3:3" x14ac:dyDescent="0.35">
      <c r="C55" s="27"/>
    </row>
  </sheetData>
  <mergeCells count="1">
    <mergeCell ref="A1:B1"/>
  </mergeCells>
  <conditionalFormatting sqref="C10:C9994">
    <cfRule type="expression" dxfId="4642" priority="72">
      <formula>$B10="Dial"</formula>
    </cfRule>
    <cfRule type="expression" dxfId="4641" priority="74">
      <formula>$B10="HANGUP"</formula>
    </cfRule>
  </conditionalFormatting>
  <conditionalFormatting sqref="B8">
    <cfRule type="containsText" dxfId="4640" priority="6" operator="containsText" text="Hear">
      <formula>NOT(ISERROR(SEARCH("Hear",B8)))</formula>
    </cfRule>
  </conditionalFormatting>
  <conditionalFormatting sqref="B27:B29 B31:B35">
    <cfRule type="containsText" dxfId="4639" priority="15" operator="containsText" text="Hear">
      <formula>NOT(ISERROR(SEARCH("Hear",B27)))</formula>
    </cfRule>
  </conditionalFormatting>
  <conditionalFormatting sqref="C10:C37">
    <cfRule type="expression" dxfId="4638" priority="14">
      <formula>$B10="Speak"</formula>
    </cfRule>
  </conditionalFormatting>
  <conditionalFormatting sqref="B30">
    <cfRule type="containsText" dxfId="4637" priority="11" operator="containsText" text="Hear">
      <formula>NOT(ISERROR(SEARCH("Hear",B30)))</formula>
    </cfRule>
  </conditionalFormatting>
  <conditionalFormatting sqref="B36:B37">
    <cfRule type="containsText" dxfId="4636" priority="9" operator="containsText" text="Hear">
      <formula>NOT(ISERROR(SEARCH("Hear",B36)))</formula>
    </cfRule>
  </conditionalFormatting>
  <conditionalFormatting sqref="B9:B18">
    <cfRule type="containsText" dxfId="4635" priority="4" operator="containsText" text="Hear">
      <formula>NOT(ISERROR(SEARCH("Hear",B9)))</formula>
    </cfRule>
  </conditionalFormatting>
  <conditionalFormatting sqref="B19:B26">
    <cfRule type="containsText" dxfId="4634" priority="5" operator="containsText" text="Hear">
      <formula>NOT(ISERROR(SEARCH("Hear",B19)))</formula>
    </cfRule>
  </conditionalFormatting>
  <hyperlinks>
    <hyperlink ref="A1" location="'Test Case Overview'!A1" display="Return to Test Case Overview" xr:uid="{537833EF-E1EA-40A8-A854-E7D9D1DD7D68}"/>
  </hyperlinks>
  <pageMargins left="0.7" right="0.7" top="0.75" bottom="0.75" header="0.3" footer="0.3"/>
  <pageSetup orientation="portrait" verticalDpi="0" r:id="rId1"/>
  <tableParts count="1">
    <tablePart r:id="rId2"/>
  </tableParts>
  <extLst>
    <ext xmlns:x14="http://schemas.microsoft.com/office/spreadsheetml/2009/9/main" uri="{78C0D931-6437-407d-A8EE-F0AAD7539E65}">
      <x14:conditionalFormattings>
        <x14:conditionalFormatting xmlns:xm="http://schemas.microsoft.com/office/excel/2006/main">
          <x14:cfRule type="expression" priority="36" id="{5766109D-0C75-4412-9227-FE58C3E1A7E3}">
            <xm:f>'TC1'!$B8="HANGUP"</xm:f>
            <x14:dxf>
              <font>
                <b/>
                <i val="0"/>
              </font>
            </x14:dxf>
          </x14:cfRule>
          <x14:cfRule type="expression" priority="44" id="{214E2C9E-17EB-4852-B928-3BD2A7DE20E9}">
            <xm:f>'TC1'!$B8="Dial"</xm:f>
            <x14:dxf>
              <font>
                <b/>
                <i val="0"/>
                <color rgb="FFFF0000"/>
              </font>
            </x14:dxf>
          </x14:cfRule>
          <xm:sqref>C8</xm:sqref>
        </x14:conditionalFormatting>
        <x14:conditionalFormatting xmlns:xm="http://schemas.microsoft.com/office/excel/2006/main">
          <x14:cfRule type="expression" priority="45" id="{904702FA-D55E-42A2-92C5-7CCF7ACA3461}">
            <xm:f>'TC1'!$B8="Speak"</xm:f>
            <x14:dxf>
              <font>
                <b/>
                <i val="0"/>
                <color rgb="FFFF0000"/>
              </font>
            </x14:dxf>
          </x14:cfRule>
          <xm:sqref>C8</xm:sqref>
        </x14:conditionalFormatting>
        <x14:conditionalFormatting xmlns:xm="http://schemas.microsoft.com/office/excel/2006/main">
          <x14:cfRule type="containsText" priority="1220" operator="containsText" text="DB" id="{7D0EE784-020C-4183-811F-D7461F0279D4}">
            <xm:f>NOT(ISERROR(SEARCH("DB",'TC1'!E16)))</xm:f>
            <x14:dxf>
              <font>
                <color rgb="FF006100"/>
              </font>
              <fill>
                <patternFill>
                  <bgColor rgb="FFC6EFCE"/>
                </patternFill>
              </fill>
            </x14:dxf>
          </x14:cfRule>
          <x14:cfRule type="containsText" priority="1221" operator="containsText" text="WEB SERVICE" id="{2BD9D90E-F621-4CE5-8E14-F4A3C4DDA47D}">
            <xm:f>NOT(ISERROR(SEARCH("WEB SERVICE",'TC1'!E16)))</xm:f>
            <x14:dxf>
              <font>
                <color rgb="FF9C0006"/>
              </font>
              <fill>
                <patternFill>
                  <bgColor rgb="FFFFC7CE"/>
                </patternFill>
              </fill>
            </x14:dxf>
          </x14:cfRule>
          <xm:sqref>E34:E37</xm:sqref>
        </x14:conditionalFormatting>
        <x14:conditionalFormatting xmlns:xm="http://schemas.microsoft.com/office/excel/2006/main">
          <x14:cfRule type="containsText" priority="1222" operator="containsText" text="DB" id="{7D0EE784-020C-4183-811F-D7461F0279D4}">
            <xm:f>NOT(ISERROR(SEARCH("DB",'TC1'!#REF!)))</xm:f>
            <x14:dxf>
              <font>
                <color rgb="FF006100"/>
              </font>
              <fill>
                <patternFill>
                  <bgColor rgb="FFC6EFCE"/>
                </patternFill>
              </fill>
            </x14:dxf>
          </x14:cfRule>
          <x14:cfRule type="containsText" priority="1223" operator="containsText" text="WEB SERVICE" id="{2BD9D90E-F621-4CE5-8E14-F4A3C4DDA47D}">
            <xm:f>NOT(ISERROR(SEARCH("WEB SERVICE",'TC1'!#REF!)))</xm:f>
            <x14:dxf>
              <font>
                <color rgb="FF9C0006"/>
              </font>
              <fill>
                <patternFill>
                  <bgColor rgb="FFFFC7CE"/>
                </patternFill>
              </fill>
            </x14:dxf>
          </x14:cfRule>
          <xm:sqref>E17:E33</xm:sqref>
        </x14:conditionalFormatting>
        <x14:conditionalFormatting xmlns:xm="http://schemas.microsoft.com/office/excel/2006/main">
          <x14:cfRule type="expression" priority="4028" id="{5766109D-0C75-4412-9227-FE58C3E1A7E3}">
            <xm:f>'TC1'!#REF!="HANGUP"</xm:f>
            <x14:dxf>
              <font>
                <b/>
                <i val="0"/>
              </font>
            </x14:dxf>
          </x14:cfRule>
          <x14:cfRule type="expression" priority="4029" id="{214E2C9E-17EB-4852-B928-3BD2A7DE20E9}">
            <xm:f>'TC1'!#REF!="Dial"</xm:f>
            <x14:dxf>
              <font>
                <b/>
                <i val="0"/>
                <color rgb="FFFF0000"/>
              </font>
            </x14:dxf>
          </x14:cfRule>
          <xm:sqref>C9</xm:sqref>
        </x14:conditionalFormatting>
        <x14:conditionalFormatting xmlns:xm="http://schemas.microsoft.com/office/excel/2006/main">
          <x14:cfRule type="expression" priority="4034" id="{904702FA-D55E-42A2-92C5-7CCF7ACA3461}">
            <xm:f>'TC1'!#REF!="Speak"</xm:f>
            <x14:dxf>
              <font>
                <b/>
                <i val="0"/>
                <color rgb="FFFF0000"/>
              </font>
            </x14:dxf>
          </x14:cfRule>
          <xm:sqref>C9</xm:sqref>
        </x14:conditionalFormatting>
        <x14:conditionalFormatting xmlns:xm="http://schemas.microsoft.com/office/excel/2006/main">
          <x14:cfRule type="containsText" priority="4036" operator="containsText" text="DB" id="{7D0EE784-020C-4183-811F-D7461F0279D4}">
            <xm:f>NOT(ISERROR(SEARCH("DB",'TC1'!#REF!)))</xm:f>
            <x14:dxf>
              <font>
                <color rgb="FF006100"/>
              </font>
              <fill>
                <patternFill>
                  <bgColor rgb="FFC6EFCE"/>
                </patternFill>
              </fill>
            </x14:dxf>
          </x14:cfRule>
          <x14:cfRule type="containsText" priority="4037" operator="containsText" text="WEB SERVICE" id="{2BD9D90E-F621-4CE5-8E14-F4A3C4DDA47D}">
            <xm:f>NOT(ISERROR(SEARCH("WEB SERVICE",'TC1'!#REF!)))</xm:f>
            <x14:dxf>
              <font>
                <color rgb="FF9C0006"/>
              </font>
              <fill>
                <patternFill>
                  <bgColor rgb="FFFFC7CE"/>
                </patternFill>
              </fill>
            </x14:dxf>
          </x14:cfRule>
          <xm:sqref>E9:E11</xm:sqref>
        </x14:conditionalFormatting>
        <x14:conditionalFormatting xmlns:xm="http://schemas.microsoft.com/office/excel/2006/main">
          <x14:cfRule type="containsText" priority="4038" operator="containsText" text="DB" id="{7D0EE784-020C-4183-811F-D7461F0279D4}">
            <xm:f>NOT(ISERROR(SEARCH("DB",'TC1'!E9)))</xm:f>
            <x14:dxf>
              <font>
                <color rgb="FF006100"/>
              </font>
              <fill>
                <patternFill>
                  <bgColor rgb="FFC6EFCE"/>
                </patternFill>
              </fill>
            </x14:dxf>
          </x14:cfRule>
          <x14:cfRule type="containsText" priority="4039" operator="containsText" text="WEB SERVICE" id="{2BD9D90E-F621-4CE5-8E14-F4A3C4DDA47D}">
            <xm:f>NOT(ISERROR(SEARCH("WEB SERVICE",'TC1'!E9)))</xm:f>
            <x14:dxf>
              <font>
                <color rgb="FF9C0006"/>
              </font>
              <fill>
                <patternFill>
                  <bgColor rgb="FFFFC7CE"/>
                </patternFill>
              </fill>
            </x14:dxf>
          </x14:cfRule>
          <xm:sqref>E12:E15</xm:sqref>
        </x14:conditionalFormatting>
        <x14:conditionalFormatting xmlns:xm="http://schemas.microsoft.com/office/excel/2006/main">
          <x14:cfRule type="containsText" priority="6541" operator="containsText" text="DB" id="{7D0EE784-020C-4183-811F-D7461F0279D4}">
            <xm:f>NOT(ISERROR(SEARCH("DB",'TC1'!E15)))</xm:f>
            <x14:dxf>
              <font>
                <color rgb="FF006100"/>
              </font>
              <fill>
                <patternFill>
                  <bgColor rgb="FFC6EFCE"/>
                </patternFill>
              </fill>
            </x14:dxf>
          </x14:cfRule>
          <x14:cfRule type="containsText" priority="6542" operator="containsText" text="WEB SERVICE" id="{2BD9D90E-F621-4CE5-8E14-F4A3C4DDA47D}">
            <xm:f>NOT(ISERROR(SEARCH("WEB SERVICE",'TC1'!E15)))</xm:f>
            <x14:dxf>
              <font>
                <color rgb="FF9C0006"/>
              </font>
              <fill>
                <patternFill>
                  <bgColor rgb="FFFFC7CE"/>
                </patternFill>
              </fill>
            </x14:dxf>
          </x14:cfRule>
          <xm:sqref>E16</xm:sqref>
        </x14:conditionalFormatting>
      </x14:conditionalFormattings>
    </ext>
  </extLst>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50"/>
  <dimension ref="A1:E53"/>
  <sheetViews>
    <sheetView zoomScaleNormal="100" workbookViewId="0">
      <selection sqref="A1:B1"/>
    </sheetView>
  </sheetViews>
  <sheetFormatPr defaultRowHeight="14.5" x14ac:dyDescent="0.35"/>
  <cols>
    <col min="1" max="1" width="14.453125" style="97" bestFit="1" customWidth="1"/>
    <col min="2" max="2" width="42.6328125" style="97" customWidth="1"/>
    <col min="3" max="3" width="106.1796875" style="98" customWidth="1"/>
    <col min="4" max="4" width="21.81640625" style="111" bestFit="1" customWidth="1"/>
    <col min="5" max="5" width="20.6328125" style="97" customWidth="1"/>
  </cols>
  <sheetData>
    <row r="1" spans="1:5" ht="18.5" x14ac:dyDescent="0.35">
      <c r="A1" s="192" t="s">
        <v>4</v>
      </c>
      <c r="B1" s="192"/>
      <c r="C1" s="105"/>
    </row>
    <row r="2" spans="1:5" x14ac:dyDescent="0.35">
      <c r="A2" s="106" t="s">
        <v>5</v>
      </c>
      <c r="B2" s="107" t="str">
        <f ca="1">MID(CELL("filename",A1),FIND("]",CELL("filename",A1))+1,LEN(CELL("filename",A1))-FIND("]",CELL("filename",A1)))</f>
        <v>TC48</v>
      </c>
    </row>
    <row r="3" spans="1:5" x14ac:dyDescent="0.35">
      <c r="A3" s="104" t="s">
        <v>19</v>
      </c>
      <c r="B3" s="112">
        <f ca="1">VLOOKUP(B2,Table53[#All],2,FALSE)</f>
        <v>0</v>
      </c>
    </row>
    <row r="4" spans="1:5" ht="29" x14ac:dyDescent="0.35">
      <c r="A4" s="113" t="s">
        <v>20</v>
      </c>
      <c r="B4" s="99" t="str">
        <f ca="1">VLOOKUP(B2,Table53[#All],4,FALSE)</f>
        <v>Valid Acct Future</v>
      </c>
    </row>
    <row r="5" spans="1:5" x14ac:dyDescent="0.35">
      <c r="A5" s="104" t="s">
        <v>6</v>
      </c>
      <c r="B5" s="93" t="str">
        <f ca="1">VLOOKUP(B2,Table53[#All],3,FALSE)</f>
        <v>Get Bank Nacha 1- No Match x3</v>
      </c>
    </row>
    <row r="7" spans="1:5" ht="15.5" x14ac:dyDescent="0.35">
      <c r="A7" s="100" t="s">
        <v>7</v>
      </c>
      <c r="B7" s="101" t="s">
        <v>8</v>
      </c>
      <c r="C7" s="102" t="s">
        <v>9</v>
      </c>
      <c r="D7" s="102" t="s">
        <v>14</v>
      </c>
      <c r="E7" s="103" t="s">
        <v>10</v>
      </c>
    </row>
    <row r="8" spans="1:5" x14ac:dyDescent="0.35">
      <c r="A8" s="118">
        <v>1</v>
      </c>
      <c r="B8" s="114" t="s">
        <v>114</v>
      </c>
      <c r="C8" s="109" t="s">
        <v>125</v>
      </c>
      <c r="D8" s="128"/>
      <c r="E8" s="125" t="s">
        <v>11</v>
      </c>
    </row>
    <row r="9" spans="1:5" x14ac:dyDescent="0.35">
      <c r="A9" s="118">
        <v>2</v>
      </c>
      <c r="B9" s="114" t="s">
        <v>115</v>
      </c>
      <c r="C9" s="109" t="str">
        <f>VLOOKUP(Table2575525269101343444647484956575859631518171922456667717273748387[[#This Row],[PEG]],Table1016[#All],2,FALSE)</f>
        <v>To get started, tell me your Account Number</v>
      </c>
      <c r="D9" s="141" t="s">
        <v>245</v>
      </c>
      <c r="E9" s="125" t="str">
        <f>VLOOKUP(Table2575525269101343444647484956575859631518171922456667717273748387[[#This Row],[PEG]],Table1016[#All],3,FALSE)</f>
        <v>Prompt</v>
      </c>
    </row>
    <row r="10" spans="1:5" x14ac:dyDescent="0.35">
      <c r="A10" s="118">
        <v>3</v>
      </c>
      <c r="B10" s="114" t="s">
        <v>114</v>
      </c>
      <c r="C10" s="109" t="s">
        <v>412</v>
      </c>
      <c r="D10" s="151"/>
      <c r="E10" s="125" t="e">
        <f>VLOOKUP(Table2575525269101343444647484956575859631518171922456667717273748387[[#This Row],[PEG]],Table1016[#All],3,FALSE)</f>
        <v>#N/A</v>
      </c>
    </row>
    <row r="11" spans="1:5" ht="174" x14ac:dyDescent="0.35">
      <c r="A11" s="118">
        <v>4</v>
      </c>
      <c r="B11" s="114" t="s">
        <v>12</v>
      </c>
      <c r="C11" s="109" t="str">
        <f>VLOOKUP(Table2575525269101343444647484956575859631518171922456667717273748387[[#This Row],[PEG]],Table1016[#All],2,FALSE)</f>
        <v>SAP HANA – SAP01_GetMember
inputs:
idnumber = iIdnumber	T
idtype 	= iIdtype
outputs:
~ Billing Reference
~ Enrollment Details
~ Billing Details
~ Last Payment
~ Recurring Payment Method
~ Stored Payment Method</v>
      </c>
      <c r="D11" s="141" t="s">
        <v>371</v>
      </c>
      <c r="E11" s="125" t="str">
        <f>VLOOKUP(Table2575525269101343444647484956575859631518171922456667717273748387[[#This Row],[PEG]],Table1016[#All],3,FALSE)</f>
        <v>DB</v>
      </c>
    </row>
    <row r="12" spans="1:5" x14ac:dyDescent="0.35">
      <c r="A12" s="118">
        <v>5</v>
      </c>
      <c r="B12" s="114" t="s">
        <v>115</v>
      </c>
      <c r="C12" s="109" t="str">
        <f>VLOOKUP(Table2575525269101343444647484956575859631518171922456667717273748387[[#This Row],[PEG]],Table1016[#All],2,FALSE)</f>
        <v>Thanks, I found your account!</v>
      </c>
      <c r="D12" s="141" t="s">
        <v>248</v>
      </c>
      <c r="E12" s="125" t="str">
        <f>VLOOKUP(Table2575525269101343444647484956575859631518171922456667717273748387[[#This Row],[PEG]],Table1016[#All],3,FALSE)</f>
        <v>Prompt</v>
      </c>
    </row>
    <row r="13" spans="1:5" x14ac:dyDescent="0.35">
      <c r="A13" s="118">
        <v>6</v>
      </c>
      <c r="B13" s="114" t="s">
        <v>115</v>
      </c>
      <c r="C13" s="109" t="str">
        <f>VLOOKUP(Table2575525269101343444647484956575859631518171922456667717273748387[[#This Row],[PEG]],Table1016[#All],2,FALSE)</f>
        <v>Your one-time initial payment of &lt;SAP01_CurrentDue&gt; is due by &lt;SAP01_Duedate&gt;</v>
      </c>
      <c r="D13" s="142" t="s">
        <v>256</v>
      </c>
      <c r="E13" s="125" t="str">
        <f>VLOOKUP(Table2575525269101343444647484956575859631518171922456667717273748387[[#This Row],[PEG]],Table1016[#All],3,FALSE)</f>
        <v>Prompt</v>
      </c>
    </row>
    <row r="14" spans="1:5" x14ac:dyDescent="0.35">
      <c r="A14" s="118">
        <v>7</v>
      </c>
      <c r="B14" s="114" t="s">
        <v>115</v>
      </c>
      <c r="C14" s="109" t="str">
        <f>VLOOKUP(Table2575525269101343444647484956575859631518171922456667717273748387[[#This Row],[PEG]],Table1016[#All],2,FALSE)</f>
        <v>Would you like to pay this in full today?</v>
      </c>
      <c r="D14" s="142" t="s">
        <v>260</v>
      </c>
      <c r="E14" s="125" t="str">
        <f>VLOOKUP(Table2575525269101343444647484956575859631518171922456667717273748387[[#This Row],[PEG]],Table1016[#All],3,FALSE)</f>
        <v>Prompt</v>
      </c>
    </row>
    <row r="15" spans="1:5" x14ac:dyDescent="0.35">
      <c r="A15" s="118">
        <v>8</v>
      </c>
      <c r="B15" s="114" t="s">
        <v>114</v>
      </c>
      <c r="C15" s="109">
        <v>1</v>
      </c>
      <c r="D15" s="143"/>
      <c r="E15" s="125" t="e">
        <f>VLOOKUP(Table2575525269101343444647484956575859631518171922456667717273748387[[#This Row],[PEG]],Table1016[#All],3,FALSE)</f>
        <v>#N/A</v>
      </c>
    </row>
    <row r="16" spans="1:5" x14ac:dyDescent="0.35">
      <c r="A16" s="118">
        <v>9</v>
      </c>
      <c r="B16" s="114" t="s">
        <v>115</v>
      </c>
      <c r="C16" s="109" t="str">
        <f>VLOOKUP(Table2575525269101343444647484956575859631518171922456667717273748387[[#This Row],[PEG]],Table1016[#All],2,FALSE)</f>
        <v>Ok, are you using Credit, Debit, Checking or Savings?</v>
      </c>
      <c r="D16" s="143" t="s">
        <v>286</v>
      </c>
      <c r="E16" s="125" t="str">
        <f>VLOOKUP(Table2575525269101343444647484956575859631518171922456667717273748387[[#This Row],[PEG]],Table1016[#All],3,FALSE)</f>
        <v>Prompt</v>
      </c>
    </row>
    <row r="17" spans="1:5" x14ac:dyDescent="0.35">
      <c r="A17" s="118">
        <v>10</v>
      </c>
      <c r="B17" s="114" t="s">
        <v>114</v>
      </c>
      <c r="C17" s="109">
        <v>3</v>
      </c>
      <c r="D17" s="143"/>
      <c r="E17" s="125" t="e">
        <f>VLOOKUP(Table2575525269101343444647484956575859631518171922456667717273748387[[#This Row],[PEG]],Table1016[#All],3,FALSE)</f>
        <v>#N/A</v>
      </c>
    </row>
    <row r="18" spans="1:5" x14ac:dyDescent="0.35">
      <c r="A18" s="118">
        <v>11</v>
      </c>
      <c r="B18" s="114" t="s">
        <v>115</v>
      </c>
      <c r="C18" s="109" t="str">
        <f>VLOOKUP(Table2575525269101343444647484956575859631518171922456667717273748387[[#This Row],[PEG]],Table1016[#All],2,FALSE)</f>
        <v>Tell me your 9-digit routing number.</v>
      </c>
      <c r="D18" s="143" t="s">
        <v>289</v>
      </c>
      <c r="E18" s="125" t="str">
        <f>VLOOKUP(Table2575525269101343444647484956575859631518171922456667717273748387[[#This Row],[PEG]],Table1016[#All],3,FALSE)</f>
        <v>Prompt</v>
      </c>
    </row>
    <row r="19" spans="1:5" x14ac:dyDescent="0.35">
      <c r="A19" s="118">
        <v>12</v>
      </c>
      <c r="B19" s="114" t="s">
        <v>114</v>
      </c>
      <c r="C19" s="109" t="s">
        <v>501</v>
      </c>
      <c r="D19" s="143"/>
      <c r="E19" s="125" t="e">
        <f>VLOOKUP(Table2575525269101343444647484956575859631518171922456667717273748387[[#This Row],[PEG]],Table1016[#All],3,FALSE)</f>
        <v>#N/A</v>
      </c>
    </row>
    <row r="20" spans="1:5" x14ac:dyDescent="0.35">
      <c r="A20" s="118">
        <v>13</v>
      </c>
      <c r="B20" s="114" t="s">
        <v>115</v>
      </c>
      <c r="C20" s="109" t="str">
        <f>VLOOKUP(Table2575525269101343444647484956575859631518171922456667717273748387[[#This Row],[PEG]],Table1016[#All],2,FALSE)</f>
        <v>Is &lt;ivrBankKey&gt; the right number?</v>
      </c>
      <c r="D20" s="143" t="s">
        <v>292</v>
      </c>
      <c r="E20" s="125" t="str">
        <f>VLOOKUP(Table2575525269101343444647484956575859631518171922456667717273748387[[#This Row],[PEG]],Table1016[#All],3,FALSE)</f>
        <v>Prompt</v>
      </c>
    </row>
    <row r="21" spans="1:5" x14ac:dyDescent="0.35">
      <c r="A21" s="118">
        <v>14</v>
      </c>
      <c r="B21" s="114" t="s">
        <v>114</v>
      </c>
      <c r="C21" s="109">
        <v>1</v>
      </c>
      <c r="D21" s="143"/>
      <c r="E21" s="125" t="e">
        <f>VLOOKUP(Table2575525269101343444647484956575859631518171922456667717273748387[[#This Row],[PEG]],Table1016[#All],3,FALSE)</f>
        <v>#N/A</v>
      </c>
    </row>
    <row r="22" spans="1:5" x14ac:dyDescent="0.35">
      <c r="A22" s="118">
        <v>15</v>
      </c>
      <c r="B22" s="114" t="s">
        <v>115</v>
      </c>
      <c r="C22" s="109" t="str">
        <f>VLOOKUP(Table2575525269101343444647484956575859631518171922456667717273748387[[#This Row],[PEG]],Table1016[#All],2,FALSE)</f>
        <v>Now what is your checking account number.</v>
      </c>
      <c r="D22" s="143" t="s">
        <v>295</v>
      </c>
      <c r="E22" s="125" t="str">
        <f>VLOOKUP(Table2575525269101343444647484956575859631518171922456667717273748387[[#This Row],[PEG]],Table1016[#All],3,FALSE)</f>
        <v>Prompt</v>
      </c>
    </row>
    <row r="23" spans="1:5" x14ac:dyDescent="0.35">
      <c r="A23" s="118">
        <v>16</v>
      </c>
      <c r="B23" s="114" t="s">
        <v>114</v>
      </c>
      <c r="C23" s="109" t="s">
        <v>412</v>
      </c>
      <c r="D23" s="143"/>
      <c r="E23" s="125" t="e">
        <f>VLOOKUP(Table2575525269101343444647484956575859631518171922456667717273748387[[#This Row],[PEG]],Table1016[#All],3,FALSE)</f>
        <v>#N/A</v>
      </c>
    </row>
    <row r="24" spans="1:5" x14ac:dyDescent="0.35">
      <c r="A24" s="118">
        <v>17</v>
      </c>
      <c r="B24" s="114" t="s">
        <v>115</v>
      </c>
      <c r="C24" s="109" t="str">
        <f>VLOOKUP(Table2575525269101343444647484956575859631518171922456667717273748387[[#This Row],[PEG]],Table1016[#All],2,FALSE)</f>
        <v>Is &lt;ivrBankAcct&gt; the right number?</v>
      </c>
      <c r="D24" s="143" t="s">
        <v>301</v>
      </c>
      <c r="E24" s="125">
        <f>VLOOKUP(Table2575525269101343444647484956575859631518171922456667717273748387[[#This Row],[PEG]],Table1016[#All],3,FALSE)</f>
        <v>0</v>
      </c>
    </row>
    <row r="25" spans="1:5" x14ac:dyDescent="0.35">
      <c r="A25" s="118">
        <v>18</v>
      </c>
      <c r="B25" s="114" t="s">
        <v>114</v>
      </c>
      <c r="C25" s="109">
        <v>1</v>
      </c>
      <c r="D25" s="143"/>
      <c r="E25" s="125" t="e">
        <f>VLOOKUP(Table2575525269101343444647484956575859631518171922456667717273748387[[#This Row],[PEG]],Table1016[#All],3,FALSE)</f>
        <v>#N/A</v>
      </c>
    </row>
    <row r="26" spans="1:5" ht="43.5" x14ac:dyDescent="0.35">
      <c r="A26" s="118">
        <v>19</v>
      </c>
      <c r="B26" s="114" t="s">
        <v>115</v>
      </c>
      <c r="C26" s="109" t="str">
        <f>VLOOKUP(Table2575525269101343444647484956575859631518171922456667717273748387[[#This Row],[PEG]],Table1016[#All],2,FALSE)</f>
        <v>Today &lt;SAP01_SystemDate&gt; I’d like to confirm that you &lt;SAP01_NameFirst&gt; &lt;SAP01_NameLast&gt; are authorizing a payment in the amount of &lt;ivrPmtAmt&gt;
to be processed as an electronic funds transfer, or draft drawn from your account.  Do you agree?</v>
      </c>
      <c r="D26" s="143" t="s">
        <v>304</v>
      </c>
      <c r="E26" s="125" t="str">
        <f>VLOOKUP(Table2575525269101343444647484956575859631518171922456667717273748387[[#This Row],[PEG]],Table1016[#All],3,FALSE)</f>
        <v>Prompt</v>
      </c>
    </row>
    <row r="27" spans="1:5" x14ac:dyDescent="0.35">
      <c r="A27" s="118">
        <v>20</v>
      </c>
      <c r="B27" s="114" t="s">
        <v>114</v>
      </c>
      <c r="C27" s="109">
        <v>3</v>
      </c>
      <c r="D27" s="117"/>
      <c r="E27" s="125" t="e">
        <f>VLOOKUP(Table2575525269101343444647484956575859631518171922456667717273748387[[#This Row],[PEG]],Table1016[#All],3,FALSE)</f>
        <v>#N/A</v>
      </c>
    </row>
    <row r="28" spans="1:5" x14ac:dyDescent="0.35">
      <c r="A28" s="118">
        <v>21</v>
      </c>
      <c r="B28" s="114" t="s">
        <v>115</v>
      </c>
      <c r="C28" s="109" t="str">
        <f>VLOOKUP(Table2575525269101343444647484956575859631518171922456667717273748387[[#This Row],[PEG]],Table1016[#All],2,FALSE)</f>
        <v>Sorry, I didn’t understand.</v>
      </c>
      <c r="D28" s="143" t="s">
        <v>367</v>
      </c>
      <c r="E28" s="125" t="str">
        <f>VLOOKUP(Table2575525269101343444647484956575859631518171922456667717273748387[[#This Row],[PEG]],Table1016[#All],3,FALSE)</f>
        <v>Prompt</v>
      </c>
    </row>
    <row r="29" spans="1:5" x14ac:dyDescent="0.35">
      <c r="A29" s="118">
        <v>22</v>
      </c>
      <c r="B29" s="114" t="s">
        <v>115</v>
      </c>
      <c r="C29" s="109" t="str">
        <f>VLOOKUP(Table2575525269101343444647484956575859631518171922456667717273748387[[#This Row],[PEG]],Table1016[#All],2,FALSE)</f>
        <v>Do you agree?  Just say yes or no</v>
      </c>
      <c r="D29" s="143" t="s">
        <v>305</v>
      </c>
      <c r="E29" s="125" t="str">
        <f>VLOOKUP(Table2575525269101343444647484956575859631518171922456667717273748387[[#This Row],[PEG]],Table1016[#All],3,FALSE)</f>
        <v>Prompt</v>
      </c>
    </row>
    <row r="30" spans="1:5" x14ac:dyDescent="0.35">
      <c r="A30" s="118">
        <v>23</v>
      </c>
      <c r="B30" s="114" t="s">
        <v>114</v>
      </c>
      <c r="C30" s="109">
        <v>3</v>
      </c>
      <c r="D30" s="143"/>
      <c r="E30" s="125" t="e">
        <f>VLOOKUP(Table2575525269101343444647484956575859631518171922456667717273748387[[#This Row],[PEG]],Table1016[#All],3,FALSE)</f>
        <v>#N/A</v>
      </c>
    </row>
    <row r="31" spans="1:5" x14ac:dyDescent="0.35">
      <c r="A31" s="118">
        <v>24</v>
      </c>
      <c r="B31" s="114" t="s">
        <v>115</v>
      </c>
      <c r="C31" s="109" t="str">
        <f>VLOOKUP(Table2575525269101343444647484956575859631518171922456667717273748387[[#This Row],[PEG]],Table1016[#All],2,FALSE)</f>
        <v>Let’s try that one more time.</v>
      </c>
      <c r="D31" s="143" t="s">
        <v>368</v>
      </c>
      <c r="E31" s="125" t="str">
        <f>VLOOKUP(Table2575525269101343444647484956575859631518171922456667717273748387[[#This Row],[PEG]],Table1016[#All],3,FALSE)</f>
        <v>Prompt</v>
      </c>
    </row>
    <row r="32" spans="1:5" x14ac:dyDescent="0.35">
      <c r="A32" s="118">
        <v>25</v>
      </c>
      <c r="B32" s="114" t="s">
        <v>115</v>
      </c>
      <c r="C32" s="109" t="str">
        <f>VLOOKUP(Table2575525269101343444647484956575859631518171922456667717273748387[[#This Row],[PEG]],Table1016[#All],2,FALSE)</f>
        <v>If you agree, say yes or press 1.  If you wish to cancel this payment, say no or press 2.</v>
      </c>
      <c r="D32" s="143" t="s">
        <v>306</v>
      </c>
      <c r="E32" s="125" t="str">
        <f>VLOOKUP(Table2575525269101343444647484956575859631518171922456667717273748387[[#This Row],[PEG]],Table1016[#All],3,FALSE)</f>
        <v>Prompt</v>
      </c>
    </row>
    <row r="33" spans="1:5" x14ac:dyDescent="0.35">
      <c r="A33" s="118">
        <v>26</v>
      </c>
      <c r="B33" s="114" t="s">
        <v>114</v>
      </c>
      <c r="C33" s="109">
        <v>3</v>
      </c>
      <c r="D33" s="117"/>
      <c r="E33" s="125" t="e">
        <f>VLOOKUP(Table2575525269101343444647484956575859631518171922456667717273748387[[#This Row],[PEG]],Table1016[#All],3,FALSE)</f>
        <v>#N/A</v>
      </c>
    </row>
    <row r="34" spans="1:5" ht="29" x14ac:dyDescent="0.35">
      <c r="A34" s="118">
        <v>27</v>
      </c>
      <c r="B34" s="114" t="s">
        <v>115</v>
      </c>
      <c r="C34" s="109" t="str">
        <f>VLOOKUP(Table2575525269101343444647484956575859631518171922456667717273748387[[#This Row],[PEG]],Table1016[#All],2,FALSE)</f>
        <v>It seems you are having trouble. For future transactions you can also access your plan details, or manage your account online anytime at members.lacare.com. One moment while I get someone to help. Make sure to have your invoice available.</v>
      </c>
      <c r="D34" s="143" t="s">
        <v>361</v>
      </c>
      <c r="E34" s="125" t="str">
        <f>VLOOKUP(Table2575525269101343444647484956575859631518171922456667717273748387[[#This Row],[PEG]],Table1016[#All],3,FALSE)</f>
        <v>Prompt</v>
      </c>
    </row>
    <row r="35" spans="1:5" x14ac:dyDescent="0.35">
      <c r="A35" s="118">
        <v>28</v>
      </c>
      <c r="B35" s="114" t="s">
        <v>13</v>
      </c>
      <c r="C35" s="109" t="s">
        <v>13</v>
      </c>
      <c r="D35" s="117"/>
      <c r="E35" s="125" t="e">
        <f>VLOOKUP(Table2575525269101343444647484956575859631518171922456667717273748387[[#This Row],[PEG]],Table1016[#All],3,FALSE)</f>
        <v>#N/A</v>
      </c>
    </row>
    <row r="36" spans="1:5" x14ac:dyDescent="0.35">
      <c r="C36" s="26"/>
      <c r="D36" s="111" t="s">
        <v>0</v>
      </c>
    </row>
    <row r="37" spans="1:5" x14ac:dyDescent="0.35">
      <c r="C37" s="26"/>
    </row>
    <row r="38" spans="1:5" x14ac:dyDescent="0.35">
      <c r="C38" s="26"/>
    </row>
    <row r="39" spans="1:5" x14ac:dyDescent="0.35">
      <c r="C39" s="26"/>
    </row>
    <row r="40" spans="1:5" x14ac:dyDescent="0.35">
      <c r="C40" s="26"/>
    </row>
    <row r="41" spans="1:5" x14ac:dyDescent="0.35">
      <c r="C41" s="26"/>
    </row>
    <row r="42" spans="1:5" x14ac:dyDescent="0.35">
      <c r="C42" s="26"/>
    </row>
    <row r="43" spans="1:5" x14ac:dyDescent="0.35">
      <c r="C43" s="26"/>
    </row>
    <row r="44" spans="1:5" x14ac:dyDescent="0.35">
      <c r="C44" s="26"/>
    </row>
    <row r="45" spans="1:5" x14ac:dyDescent="0.35">
      <c r="C45" s="26"/>
    </row>
    <row r="46" spans="1:5" x14ac:dyDescent="0.35">
      <c r="C46" s="26"/>
    </row>
    <row r="47" spans="1:5" x14ac:dyDescent="0.35">
      <c r="C47" s="26"/>
    </row>
    <row r="48" spans="1:5" x14ac:dyDescent="0.35">
      <c r="C48" s="26"/>
    </row>
    <row r="49" spans="3:3" x14ac:dyDescent="0.35">
      <c r="C49" s="26"/>
    </row>
    <row r="50" spans="3:3" x14ac:dyDescent="0.35">
      <c r="C50" s="26"/>
    </row>
    <row r="51" spans="3:3" x14ac:dyDescent="0.35">
      <c r="C51" s="27"/>
    </row>
    <row r="52" spans="3:3" x14ac:dyDescent="0.35">
      <c r="C52" s="27"/>
    </row>
    <row r="53" spans="3:3" x14ac:dyDescent="0.35">
      <c r="C53" s="27"/>
    </row>
  </sheetData>
  <mergeCells count="1">
    <mergeCell ref="A1:B1"/>
  </mergeCells>
  <conditionalFormatting sqref="C10:C9992">
    <cfRule type="expression" dxfId="4617" priority="81">
      <formula>$B10="Dial"</formula>
    </cfRule>
    <cfRule type="expression" dxfId="4616" priority="83">
      <formula>$B10="HANGUP"</formula>
    </cfRule>
  </conditionalFormatting>
  <conditionalFormatting sqref="B8:B18">
    <cfRule type="containsText" dxfId="4615" priority="4" operator="containsText" text="Hear">
      <formula>NOT(ISERROR(SEARCH("Hear",B8)))</formula>
    </cfRule>
  </conditionalFormatting>
  <conditionalFormatting sqref="B19:B29 B31:B35">
    <cfRule type="containsText" dxfId="4614" priority="13" operator="containsText" text="Hear">
      <formula>NOT(ISERROR(SEARCH("Hear",B19)))</formula>
    </cfRule>
  </conditionalFormatting>
  <conditionalFormatting sqref="C10:C35">
    <cfRule type="expression" dxfId="4613" priority="12">
      <formula>$B10="Speak"</formula>
    </cfRule>
  </conditionalFormatting>
  <conditionalFormatting sqref="B30">
    <cfRule type="containsText" dxfId="4612" priority="9" operator="containsText" text="Hear">
      <formula>NOT(ISERROR(SEARCH("Hear",B30)))</formula>
    </cfRule>
  </conditionalFormatting>
  <hyperlinks>
    <hyperlink ref="A1" location="'Test Case Overview'!A1" display="Return to Test Case Overview" xr:uid="{E5563396-453A-4C8C-B728-54BE3E0843C8}"/>
  </hyperlinks>
  <pageMargins left="0.7" right="0.7" top="0.75" bottom="0.75" header="0.3" footer="0.3"/>
  <pageSetup orientation="portrait" verticalDpi="0" r:id="rId1"/>
  <tableParts count="1">
    <tablePart r:id="rId2"/>
  </tableParts>
  <extLst>
    <ext xmlns:x14="http://schemas.microsoft.com/office/spreadsheetml/2009/9/main" uri="{78C0D931-6437-407d-A8EE-F0AAD7539E65}">
      <x14:conditionalFormattings>
        <x14:conditionalFormatting xmlns:xm="http://schemas.microsoft.com/office/excel/2006/main">
          <x14:cfRule type="expression" priority="59" id="{B76E457A-7100-4974-8B15-D25AEA8C46CC}">
            <xm:f>'TC1'!$B8="HANGUP"</xm:f>
            <x14:dxf>
              <font>
                <b/>
                <i val="0"/>
              </font>
            </x14:dxf>
          </x14:cfRule>
          <x14:cfRule type="expression" priority="67" id="{D2D7570D-E060-408D-8656-6D1BC8FF805E}">
            <xm:f>'TC1'!$B8="Dial"</xm:f>
            <x14:dxf>
              <font>
                <b/>
                <i val="0"/>
                <color rgb="FFFF0000"/>
              </font>
            </x14:dxf>
          </x14:cfRule>
          <xm:sqref>C8</xm:sqref>
        </x14:conditionalFormatting>
        <x14:conditionalFormatting xmlns:xm="http://schemas.microsoft.com/office/excel/2006/main">
          <x14:cfRule type="expression" priority="68" id="{18EF88F5-DB1C-42B0-8890-9D0AC5D45FC1}">
            <xm:f>'TC1'!$B8="Speak"</xm:f>
            <x14:dxf>
              <font>
                <b/>
                <i val="0"/>
                <color rgb="FFFF0000"/>
              </font>
            </x14:dxf>
          </x14:cfRule>
          <xm:sqref>C8</xm:sqref>
        </x14:conditionalFormatting>
        <x14:conditionalFormatting xmlns:xm="http://schemas.microsoft.com/office/excel/2006/main">
          <x14:cfRule type="containsText" priority="1238" operator="containsText" text="DB" id="{6131B6CC-D35F-4D71-9887-0DA1E01A5C7F}">
            <xm:f>NOT(ISERROR(SEARCH("DB",'TC1'!E16)))</xm:f>
            <x14:dxf>
              <font>
                <color rgb="FF006100"/>
              </font>
              <fill>
                <patternFill>
                  <bgColor rgb="FFC6EFCE"/>
                </patternFill>
              </fill>
            </x14:dxf>
          </x14:cfRule>
          <x14:cfRule type="containsText" priority="1239" operator="containsText" text="WEB SERVICE" id="{9C021F04-FAAA-4C7F-AD12-B0CE7B4C0531}">
            <xm:f>NOT(ISERROR(SEARCH("WEB SERVICE",'TC1'!E16)))</xm:f>
            <x14:dxf>
              <font>
                <color rgb="FF9C0006"/>
              </font>
              <fill>
                <patternFill>
                  <bgColor rgb="FFFFC7CE"/>
                </patternFill>
              </fill>
            </x14:dxf>
          </x14:cfRule>
          <xm:sqref>E34:E35</xm:sqref>
        </x14:conditionalFormatting>
        <x14:conditionalFormatting xmlns:xm="http://schemas.microsoft.com/office/excel/2006/main">
          <x14:cfRule type="containsText" priority="1240" operator="containsText" text="DB" id="{6131B6CC-D35F-4D71-9887-0DA1E01A5C7F}">
            <xm:f>NOT(ISERROR(SEARCH("DB",'TC1'!#REF!)))</xm:f>
            <x14:dxf>
              <font>
                <color rgb="FF006100"/>
              </font>
              <fill>
                <patternFill>
                  <bgColor rgb="FFC6EFCE"/>
                </patternFill>
              </fill>
            </x14:dxf>
          </x14:cfRule>
          <x14:cfRule type="containsText" priority="1241" operator="containsText" text="WEB SERVICE" id="{9C021F04-FAAA-4C7F-AD12-B0CE7B4C0531}">
            <xm:f>NOT(ISERROR(SEARCH("WEB SERVICE",'TC1'!#REF!)))</xm:f>
            <x14:dxf>
              <font>
                <color rgb="FF9C0006"/>
              </font>
              <fill>
                <patternFill>
                  <bgColor rgb="FFFFC7CE"/>
                </patternFill>
              </fill>
            </x14:dxf>
          </x14:cfRule>
          <xm:sqref>E17:E33</xm:sqref>
        </x14:conditionalFormatting>
        <x14:conditionalFormatting xmlns:xm="http://schemas.microsoft.com/office/excel/2006/main">
          <x14:cfRule type="expression" priority="4044" id="{B76E457A-7100-4974-8B15-D25AEA8C46CC}">
            <xm:f>'TC1'!#REF!="HANGUP"</xm:f>
            <x14:dxf>
              <font>
                <b/>
                <i val="0"/>
              </font>
            </x14:dxf>
          </x14:cfRule>
          <x14:cfRule type="expression" priority="4045" id="{D2D7570D-E060-408D-8656-6D1BC8FF805E}">
            <xm:f>'TC1'!#REF!="Dial"</xm:f>
            <x14:dxf>
              <font>
                <b/>
                <i val="0"/>
                <color rgb="FFFF0000"/>
              </font>
            </x14:dxf>
          </x14:cfRule>
          <xm:sqref>C9</xm:sqref>
        </x14:conditionalFormatting>
        <x14:conditionalFormatting xmlns:xm="http://schemas.microsoft.com/office/excel/2006/main">
          <x14:cfRule type="expression" priority="4050" id="{18EF88F5-DB1C-42B0-8890-9D0AC5D45FC1}">
            <xm:f>'TC1'!#REF!="Speak"</xm:f>
            <x14:dxf>
              <font>
                <b/>
                <i val="0"/>
                <color rgb="FFFF0000"/>
              </font>
            </x14:dxf>
          </x14:cfRule>
          <xm:sqref>C9</xm:sqref>
        </x14:conditionalFormatting>
        <x14:conditionalFormatting xmlns:xm="http://schemas.microsoft.com/office/excel/2006/main">
          <x14:cfRule type="containsText" priority="4052" operator="containsText" text="DB" id="{6131B6CC-D35F-4D71-9887-0DA1E01A5C7F}">
            <xm:f>NOT(ISERROR(SEARCH("DB",'TC1'!#REF!)))</xm:f>
            <x14:dxf>
              <font>
                <color rgb="FF006100"/>
              </font>
              <fill>
                <patternFill>
                  <bgColor rgb="FFC6EFCE"/>
                </patternFill>
              </fill>
            </x14:dxf>
          </x14:cfRule>
          <x14:cfRule type="containsText" priority="4053" operator="containsText" text="WEB SERVICE" id="{9C021F04-FAAA-4C7F-AD12-B0CE7B4C0531}">
            <xm:f>NOT(ISERROR(SEARCH("WEB SERVICE",'TC1'!#REF!)))</xm:f>
            <x14:dxf>
              <font>
                <color rgb="FF9C0006"/>
              </font>
              <fill>
                <patternFill>
                  <bgColor rgb="FFFFC7CE"/>
                </patternFill>
              </fill>
            </x14:dxf>
          </x14:cfRule>
          <xm:sqref>E9:E11</xm:sqref>
        </x14:conditionalFormatting>
        <x14:conditionalFormatting xmlns:xm="http://schemas.microsoft.com/office/excel/2006/main">
          <x14:cfRule type="containsText" priority="4054" operator="containsText" text="DB" id="{6131B6CC-D35F-4D71-9887-0DA1E01A5C7F}">
            <xm:f>NOT(ISERROR(SEARCH("DB",'TC1'!E9)))</xm:f>
            <x14:dxf>
              <font>
                <color rgb="FF006100"/>
              </font>
              <fill>
                <patternFill>
                  <bgColor rgb="FFC6EFCE"/>
                </patternFill>
              </fill>
            </x14:dxf>
          </x14:cfRule>
          <x14:cfRule type="containsText" priority="4055" operator="containsText" text="WEB SERVICE" id="{9C021F04-FAAA-4C7F-AD12-B0CE7B4C0531}">
            <xm:f>NOT(ISERROR(SEARCH("WEB SERVICE",'TC1'!E9)))</xm:f>
            <x14:dxf>
              <font>
                <color rgb="FF9C0006"/>
              </font>
              <fill>
                <patternFill>
                  <bgColor rgb="FFFFC7CE"/>
                </patternFill>
              </fill>
            </x14:dxf>
          </x14:cfRule>
          <xm:sqref>E12:E15</xm:sqref>
        </x14:conditionalFormatting>
        <x14:conditionalFormatting xmlns:xm="http://schemas.microsoft.com/office/excel/2006/main">
          <x14:cfRule type="containsText" priority="6554" operator="containsText" text="DB" id="{6131B6CC-D35F-4D71-9887-0DA1E01A5C7F}">
            <xm:f>NOT(ISERROR(SEARCH("DB",'TC1'!E15)))</xm:f>
            <x14:dxf>
              <font>
                <color rgb="FF006100"/>
              </font>
              <fill>
                <patternFill>
                  <bgColor rgb="FFC6EFCE"/>
                </patternFill>
              </fill>
            </x14:dxf>
          </x14:cfRule>
          <x14:cfRule type="containsText" priority="6555" operator="containsText" text="WEB SERVICE" id="{9C021F04-FAAA-4C7F-AD12-B0CE7B4C0531}">
            <xm:f>NOT(ISERROR(SEARCH("WEB SERVICE",'TC1'!E15)))</xm:f>
            <x14:dxf>
              <font>
                <color rgb="FF9C0006"/>
              </font>
              <fill>
                <patternFill>
                  <bgColor rgb="FFFFC7CE"/>
                </patternFill>
              </fill>
            </x14:dxf>
          </x14:cfRule>
          <xm:sqref>E16</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6"/>
  <dimension ref="A1:E38"/>
  <sheetViews>
    <sheetView zoomScaleNormal="100" workbookViewId="0">
      <selection activeCell="B8" sqref="B8:B20"/>
    </sheetView>
  </sheetViews>
  <sheetFormatPr defaultRowHeight="14.5" x14ac:dyDescent="0.35"/>
  <cols>
    <col min="1" max="1" width="14.453125" style="97" bestFit="1" customWidth="1"/>
    <col min="2" max="2" width="42.6328125" style="97" customWidth="1"/>
    <col min="3" max="3" width="106.1796875" style="98" customWidth="1"/>
    <col min="4" max="4" width="21.81640625" style="111" bestFit="1" customWidth="1"/>
    <col min="5" max="5" width="20.6328125" style="97" customWidth="1"/>
  </cols>
  <sheetData>
    <row r="1" spans="1:5" ht="18.5" x14ac:dyDescent="0.35">
      <c r="A1" s="192" t="s">
        <v>4</v>
      </c>
      <c r="B1" s="192"/>
      <c r="C1" s="105"/>
    </row>
    <row r="2" spans="1:5" x14ac:dyDescent="0.35">
      <c r="A2" s="106" t="s">
        <v>5</v>
      </c>
      <c r="B2" s="107" t="str">
        <f ca="1">MID(CELL("filename",A1),FIND("]",CELL("filename",A1))+1,LEN(CELL("filename",A1))-FIND("]",CELL("filename",A1)))</f>
        <v>TC4</v>
      </c>
    </row>
    <row r="3" spans="1:5" x14ac:dyDescent="0.35">
      <c r="A3" s="104" t="s">
        <v>19</v>
      </c>
      <c r="B3" s="112">
        <f ca="1">VLOOKUP(B2,Table1[#All],2,FALSE)</f>
        <v>0</v>
      </c>
    </row>
    <row r="4" spans="1:5" ht="29" x14ac:dyDescent="0.35">
      <c r="A4" s="113" t="s">
        <v>20</v>
      </c>
      <c r="B4" s="99" t="str">
        <f ca="1">VLOOKUP(B2,Table1[#All],4,FALSE)</f>
        <v>Last Payment, Current Due, Stored Mthd, Do not pay in full</v>
      </c>
    </row>
    <row r="5" spans="1:5" x14ac:dyDescent="0.35">
      <c r="A5" s="104" t="s">
        <v>6</v>
      </c>
      <c r="B5" s="93" t="str">
        <f ca="1">VLOOKUP(B2,Table1[#All],3,FALSE)</f>
        <v>Account with Balance - Partial Payment</v>
      </c>
    </row>
    <row r="7" spans="1:5" ht="15.5" x14ac:dyDescent="0.35">
      <c r="A7" s="100" t="s">
        <v>7</v>
      </c>
      <c r="B7" s="101" t="s">
        <v>8</v>
      </c>
      <c r="C7" s="102" t="s">
        <v>9</v>
      </c>
      <c r="D7" s="102" t="s">
        <v>14</v>
      </c>
      <c r="E7" s="103" t="s">
        <v>10</v>
      </c>
    </row>
    <row r="8" spans="1:5" x14ac:dyDescent="0.35">
      <c r="A8" s="25">
        <v>1</v>
      </c>
      <c r="B8" s="114" t="s">
        <v>114</v>
      </c>
      <c r="C8" s="127" t="s">
        <v>240</v>
      </c>
      <c r="D8" s="128"/>
      <c r="E8" s="125" t="s">
        <v>11</v>
      </c>
    </row>
    <row r="9" spans="1:5" s="97" customFormat="1" x14ac:dyDescent="0.35">
      <c r="A9" s="118">
        <v>2</v>
      </c>
      <c r="B9" s="114" t="s">
        <v>115</v>
      </c>
      <c r="C9" s="109" t="str">
        <f>VLOOKUP(Table257552526910[[#This Row],[PEG]],Table1016[#All],2,FALSE)</f>
        <v>To get started, tell me your Account Number</v>
      </c>
      <c r="D9" s="141" t="s">
        <v>245</v>
      </c>
      <c r="E9" s="125" t="str">
        <f>VLOOKUP(Table257552526911[[#This Row],[PEG]],Table1016[#All],3,FALSE)</f>
        <v>Prompt</v>
      </c>
    </row>
    <row r="10" spans="1:5" s="97" customFormat="1" x14ac:dyDescent="0.35">
      <c r="A10" s="118">
        <v>3</v>
      </c>
      <c r="B10" s="114" t="s">
        <v>124</v>
      </c>
      <c r="C10" s="109"/>
      <c r="D10" s="128"/>
      <c r="E10" s="125" t="e">
        <f>VLOOKUP(Table257552526911[[#This Row],[PEG]],Table1016[#All],3,FALSE)</f>
        <v>#N/A</v>
      </c>
    </row>
    <row r="11" spans="1:5" s="97" customFormat="1" ht="174" x14ac:dyDescent="0.35">
      <c r="A11" s="25">
        <v>4</v>
      </c>
      <c r="B11" s="114" t="s">
        <v>12</v>
      </c>
      <c r="C11" s="109" t="str">
        <f>VLOOKUP(Table257552526911[[#This Row],[PEG]],Table1016[#All],2,FALSE)</f>
        <v>SAP HANA – SAP01_GetMember
inputs:
idnumber = iIdnumber	T
idtype 	= iIdtype
outputs:
~ Billing Reference
~ Enrollment Details
~ Billing Details
~ Last Payment
~ Recurring Payment Method
~ Stored Payment Method</v>
      </c>
      <c r="D11" s="144" t="s">
        <v>371</v>
      </c>
      <c r="E11" s="125" t="str">
        <f>VLOOKUP(Table257552526911[[#This Row],[PEG]],Table1016[#All],3,FALSE)</f>
        <v>DB</v>
      </c>
    </row>
    <row r="12" spans="1:5" x14ac:dyDescent="0.35">
      <c r="A12" s="118">
        <v>5</v>
      </c>
      <c r="B12" s="114" t="s">
        <v>115</v>
      </c>
      <c r="C12" s="109" t="str">
        <f>VLOOKUP(Table257552526911[[#This Row],[PEG]],Table1016[#All],2,FALSE)</f>
        <v>Thanks, I found your account!</v>
      </c>
      <c r="D12" s="141" t="s">
        <v>248</v>
      </c>
      <c r="E12" s="125" t="str">
        <f>VLOOKUP(Table257552526911[[#This Row],[PEG]],Table1016[#All],3,FALSE)</f>
        <v>Prompt</v>
      </c>
    </row>
    <row r="13" spans="1:5" s="97" customFormat="1" x14ac:dyDescent="0.35">
      <c r="A13" s="118">
        <v>6</v>
      </c>
      <c r="B13" s="114" t="s">
        <v>115</v>
      </c>
      <c r="C13" s="109" t="str">
        <f>VLOOKUP(Table257552526911[[#This Row],[PEG]],Table1016[#All],2,FALSE)</f>
        <v>Your last payment of &lt;SAP01_ivrLastPaymentAmount&gt; was received on &lt;SAP01_ivrLastPaymentDate&gt;</v>
      </c>
      <c r="D13" s="141" t="s">
        <v>257</v>
      </c>
      <c r="E13" s="125"/>
    </row>
    <row r="14" spans="1:5" x14ac:dyDescent="0.35">
      <c r="A14" s="25">
        <v>7</v>
      </c>
      <c r="B14" s="114" t="s">
        <v>115</v>
      </c>
      <c r="C14" s="109" t="str">
        <f>VLOOKUP(Table257552526911[[#This Row],[PEG]],Table1016[#All],2,FALSE)</f>
        <v>A current balance of &lt;SAP01_CurrentDue&gt; is due by &lt;SAP01_Duedate&gt;.</v>
      </c>
      <c r="D14" s="142" t="s">
        <v>258</v>
      </c>
      <c r="E14" s="125" t="str">
        <f>VLOOKUP(Table257552526911[[#This Row],[PEG]],Table1016[#All],3,FALSE)</f>
        <v>Prompt</v>
      </c>
    </row>
    <row r="15" spans="1:5" x14ac:dyDescent="0.35">
      <c r="A15" s="118">
        <v>8</v>
      </c>
      <c r="B15" s="114" t="s">
        <v>115</v>
      </c>
      <c r="C15" s="109" t="str">
        <f>VLOOKUP(Table257552526911[[#This Row],[PEG]],Table1016[#All],2,FALSE)</f>
        <v>Would you like to pay this in full today?</v>
      </c>
      <c r="D15" s="142" t="s">
        <v>260</v>
      </c>
      <c r="E15" s="125" t="str">
        <f>VLOOKUP(Table257552526911[[#This Row],[PEG]],Table1016[#All],3,FALSE)</f>
        <v>Prompt</v>
      </c>
    </row>
    <row r="16" spans="1:5" x14ac:dyDescent="0.35">
      <c r="A16" s="118">
        <v>9</v>
      </c>
      <c r="B16" s="114" t="s">
        <v>124</v>
      </c>
      <c r="C16" s="109" t="s">
        <v>390</v>
      </c>
      <c r="D16" s="117"/>
      <c r="E16" s="125" t="e">
        <f>VLOOKUP(Table257552526911[[#This Row],[PEG]],Table1016[#All],3,FALSE)</f>
        <v>#N/A</v>
      </c>
    </row>
    <row r="17" spans="1:5" x14ac:dyDescent="0.35">
      <c r="A17" s="25">
        <v>10</v>
      </c>
      <c r="B17" s="114" t="s">
        <v>115</v>
      </c>
      <c r="C17" s="109" t="str">
        <f>VLOOKUP(Table257552526911[[#This Row],[PEG]],Table1016[#All],2,FALSE)</f>
        <v>Ok, what amount do you want to pay?</v>
      </c>
      <c r="D17" s="143" t="s">
        <v>263</v>
      </c>
      <c r="E17" s="125" t="str">
        <f>VLOOKUP(Table257552526911[[#This Row],[PEG]],Table1016[#All],3,FALSE)</f>
        <v>Prompt</v>
      </c>
    </row>
    <row r="18" spans="1:5" x14ac:dyDescent="0.35">
      <c r="A18" s="118">
        <v>11</v>
      </c>
      <c r="B18" s="114" t="s">
        <v>124</v>
      </c>
      <c r="C18" s="109" t="s">
        <v>389</v>
      </c>
      <c r="D18" s="117"/>
      <c r="E18" s="125" t="e">
        <f>VLOOKUP(Table257552526911[[#This Row],[PEG]],Table1016[#All],3,FALSE)</f>
        <v>#N/A</v>
      </c>
    </row>
    <row r="19" spans="1:5" s="97" customFormat="1" x14ac:dyDescent="0.35">
      <c r="A19" s="118">
        <v>12</v>
      </c>
      <c r="B19" s="114" t="s">
        <v>115</v>
      </c>
      <c r="C19" s="109" t="str">
        <f>VLOOKUP(Table257552526911[[#This Row],[PEG]],Table1016[#All],2,FALSE)</f>
        <v>Do you want to use the checking account on file ending in &lt;SAP01_ivrStoredPmtLast4Digits&gt;.</v>
      </c>
      <c r="D19" s="143" t="s">
        <v>275</v>
      </c>
      <c r="E19" s="125" t="str">
        <f>VLOOKUP(Table257552526911[[#This Row],[PEG]],Table1016[#All],3,FALSE)</f>
        <v>Prompt</v>
      </c>
    </row>
    <row r="20" spans="1:5" s="97" customFormat="1" x14ac:dyDescent="0.35">
      <c r="A20" s="25">
        <v>13</v>
      </c>
      <c r="B20" s="114" t="s">
        <v>13</v>
      </c>
      <c r="C20" s="109" t="s">
        <v>13</v>
      </c>
      <c r="D20" s="117"/>
      <c r="E20" s="125" t="e">
        <f>VLOOKUP(Table257552526911[[#This Row],[PEG]],Table1016[#All],3,FALSE)</f>
        <v>#N/A</v>
      </c>
    </row>
    <row r="21" spans="1:5" x14ac:dyDescent="0.35">
      <c r="C21" s="26"/>
      <c r="D21" s="111" t="s">
        <v>0</v>
      </c>
    </row>
    <row r="22" spans="1:5" x14ac:dyDescent="0.35">
      <c r="C22" s="26"/>
    </row>
    <row r="23" spans="1:5" x14ac:dyDescent="0.35">
      <c r="C23" s="26"/>
    </row>
    <row r="24" spans="1:5" x14ac:dyDescent="0.35">
      <c r="C24" s="26"/>
    </row>
    <row r="25" spans="1:5" x14ac:dyDescent="0.35">
      <c r="C25" s="26"/>
    </row>
    <row r="26" spans="1:5" x14ac:dyDescent="0.35">
      <c r="C26" s="26"/>
    </row>
    <row r="27" spans="1:5" x14ac:dyDescent="0.35">
      <c r="C27" s="26"/>
    </row>
    <row r="28" spans="1:5" x14ac:dyDescent="0.35">
      <c r="C28" s="26"/>
    </row>
    <row r="29" spans="1:5" x14ac:dyDescent="0.35">
      <c r="C29" s="26"/>
    </row>
    <row r="30" spans="1:5" x14ac:dyDescent="0.35">
      <c r="C30" s="26"/>
    </row>
    <row r="31" spans="1:5" x14ac:dyDescent="0.35">
      <c r="C31" s="26"/>
    </row>
    <row r="32" spans="1:5" x14ac:dyDescent="0.35">
      <c r="C32" s="26"/>
    </row>
    <row r="33" spans="3:3" x14ac:dyDescent="0.35">
      <c r="C33" s="26"/>
    </row>
    <row r="34" spans="3:3" x14ac:dyDescent="0.35">
      <c r="C34" s="26"/>
    </row>
    <row r="35" spans="3:3" x14ac:dyDescent="0.35">
      <c r="C35" s="26"/>
    </row>
    <row r="36" spans="3:3" x14ac:dyDescent="0.35">
      <c r="C36" s="27"/>
    </row>
    <row r="37" spans="3:3" x14ac:dyDescent="0.35">
      <c r="C37" s="27"/>
    </row>
    <row r="38" spans="3:3" x14ac:dyDescent="0.35">
      <c r="C38" s="27"/>
    </row>
  </sheetData>
  <mergeCells count="1">
    <mergeCell ref="A1:B1"/>
  </mergeCells>
  <conditionalFormatting sqref="C18:C9977">
    <cfRule type="expression" dxfId="5915" priority="50">
      <formula>$B18="Dial"</formula>
    </cfRule>
    <cfRule type="expression" dxfId="5914" priority="52">
      <formula>$B18="HANGUP"</formula>
    </cfRule>
  </conditionalFormatting>
  <conditionalFormatting sqref="B8:B20">
    <cfRule type="containsText" dxfId="5913" priority="21" operator="containsText" text="Hear">
      <formula>NOT(ISERROR(SEARCH("Hear",B8)))</formula>
    </cfRule>
  </conditionalFormatting>
  <conditionalFormatting sqref="C16 C10:C14">
    <cfRule type="expression" dxfId="5912" priority="22">
      <formula>$B10="Dial"</formula>
    </cfRule>
    <cfRule type="expression" dxfId="5911" priority="24">
      <formula>$B10="HANGUP"</formula>
    </cfRule>
  </conditionalFormatting>
  <conditionalFormatting sqref="C16 C10:C14 C18:C20">
    <cfRule type="expression" dxfId="5910" priority="23">
      <formula>$B10="Speak"</formula>
    </cfRule>
  </conditionalFormatting>
  <conditionalFormatting sqref="C9">
    <cfRule type="expression" dxfId="5909" priority="14">
      <formula>$B9="Dial"</formula>
    </cfRule>
    <cfRule type="expression" dxfId="5908" priority="16">
      <formula>$B9="HANGUP"</formula>
    </cfRule>
  </conditionalFormatting>
  <conditionalFormatting sqref="C9">
    <cfRule type="expression" dxfId="5907" priority="15">
      <formula>$B9="Speak"</formula>
    </cfRule>
  </conditionalFormatting>
  <conditionalFormatting sqref="C8">
    <cfRule type="expression" dxfId="5906" priority="9">
      <formula>$B8="Dial"</formula>
    </cfRule>
    <cfRule type="expression" dxfId="5905" priority="10">
      <formula>$B8="HANGUP"</formula>
    </cfRule>
  </conditionalFormatting>
  <conditionalFormatting sqref="C15">
    <cfRule type="expression" dxfId="5904" priority="4">
      <formula>$B15="Dial"</formula>
    </cfRule>
    <cfRule type="expression" dxfId="5903" priority="6">
      <formula>$B15="HANGUP"</formula>
    </cfRule>
  </conditionalFormatting>
  <conditionalFormatting sqref="C15">
    <cfRule type="expression" dxfId="5902" priority="5">
      <formula>$B15="Speak"</formula>
    </cfRule>
  </conditionalFormatting>
  <conditionalFormatting sqref="C17">
    <cfRule type="expression" dxfId="5901" priority="1">
      <formula>$B17="Dial"</formula>
    </cfRule>
    <cfRule type="expression" dxfId="5900" priority="3">
      <formula>$B17="HANGUP"</formula>
    </cfRule>
  </conditionalFormatting>
  <conditionalFormatting sqref="C17">
    <cfRule type="expression" dxfId="5899" priority="2">
      <formula>$B17="Speak"</formula>
    </cfRule>
  </conditionalFormatting>
  <hyperlinks>
    <hyperlink ref="A1" location="'Test Case Overview'!A1" display="Return to Test Case Overview" xr:uid="{00000000-0004-0000-0400-000000000000}"/>
  </hyperlinks>
  <pageMargins left="0.7" right="0.7" top="0.75" bottom="0.75" header="0.3" footer="0.3"/>
  <pageSetup orientation="portrait" verticalDpi="0" r:id="rId1"/>
  <tableParts count="1">
    <tablePart r:id="rId2"/>
  </tableParts>
  <extLst>
    <ext xmlns:x14="http://schemas.microsoft.com/office/spreadsheetml/2009/9/main" uri="{78C0D931-6437-407d-A8EE-F0AAD7539E65}">
      <x14:conditionalFormattings>
        <x14:conditionalFormatting xmlns:xm="http://schemas.microsoft.com/office/excel/2006/main">
          <x14:cfRule type="containsText" priority="712" operator="containsText" text="WEB SERVICE" id="{203B1A98-5E31-41F3-9495-884B01884263}">
            <xm:f>NOT(ISERROR(SEARCH("WEB SERVICE",'TC1'!#REF!)))</xm:f>
            <x14:dxf>
              <font>
                <color rgb="FF9C0006"/>
              </font>
              <fill>
                <patternFill>
                  <bgColor rgb="FFFFC7CE"/>
                </patternFill>
              </fill>
            </x14:dxf>
          </x14:cfRule>
          <x14:cfRule type="containsText" priority="713" operator="containsText" text="DB" id="{7BC31631-27A3-4DD4-874B-8DDE003E9E02}">
            <xm:f>NOT(ISERROR(SEARCH("DB",'TC1'!#REF!)))</xm:f>
            <x14:dxf>
              <font>
                <color rgb="FF006100"/>
              </font>
              <fill>
                <patternFill>
                  <bgColor rgb="FFC6EFCE"/>
                </patternFill>
              </fill>
            </x14:dxf>
          </x14:cfRule>
          <xm:sqref>E14:E20</xm:sqref>
        </x14:conditionalFormatting>
        <x14:conditionalFormatting xmlns:xm="http://schemas.microsoft.com/office/excel/2006/main">
          <x14:cfRule type="containsText" priority="6127" operator="containsText" text="WEB SERVICE" id="{203B1A98-5E31-41F3-9495-884B01884263}">
            <xm:f>NOT(ISERROR(SEARCH("WEB SERVICE",'TC1'!E10)))</xm:f>
            <x14:dxf>
              <font>
                <color rgb="FF9C0006"/>
              </font>
              <fill>
                <patternFill>
                  <bgColor rgb="FFFFC7CE"/>
                </patternFill>
              </fill>
            </x14:dxf>
          </x14:cfRule>
          <x14:cfRule type="containsText" priority="6128" operator="containsText" text="DB" id="{7BC31631-27A3-4DD4-874B-8DDE003E9E02}">
            <xm:f>NOT(ISERROR(SEARCH("DB",'TC1'!E10)))</xm:f>
            <x14:dxf>
              <font>
                <color rgb="FF006100"/>
              </font>
              <fill>
                <patternFill>
                  <bgColor rgb="FFC6EFCE"/>
                </patternFill>
              </fill>
            </x14:dxf>
          </x14:cfRule>
          <xm:sqref>E9:E11</xm:sqref>
        </x14:conditionalFormatting>
        <x14:conditionalFormatting xmlns:xm="http://schemas.microsoft.com/office/excel/2006/main">
          <x14:cfRule type="containsText" priority="6137" operator="containsText" text="WEB SERVICE" id="{203B1A98-5E31-41F3-9495-884B01884263}">
            <xm:f>NOT(ISERROR(SEARCH("WEB SERVICE",'TC1'!E15)))</xm:f>
            <x14:dxf>
              <font>
                <color rgb="FF9C0006"/>
              </font>
              <fill>
                <patternFill>
                  <bgColor rgb="FFFFC7CE"/>
                </patternFill>
              </fill>
            </x14:dxf>
          </x14:cfRule>
          <x14:cfRule type="containsText" priority="6138" operator="containsText" text="DB" id="{7BC31631-27A3-4DD4-874B-8DDE003E9E02}">
            <xm:f>NOT(ISERROR(SEARCH("DB",'TC1'!E15)))</xm:f>
            <x14:dxf>
              <font>
                <color rgb="FF006100"/>
              </font>
              <fill>
                <patternFill>
                  <bgColor rgb="FFC6EFCE"/>
                </patternFill>
              </fill>
            </x14:dxf>
          </x14:cfRule>
          <xm:sqref>E12:E13</xm:sqref>
        </x14:conditionalFormatting>
      </x14:conditionalFormattings>
    </ext>
  </extLst>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51"/>
  <dimension ref="A1:E66"/>
  <sheetViews>
    <sheetView topLeftCell="A26" zoomScaleNormal="100" workbookViewId="0">
      <selection activeCell="D47" sqref="D47"/>
    </sheetView>
  </sheetViews>
  <sheetFormatPr defaultRowHeight="14.5" x14ac:dyDescent="0.35"/>
  <cols>
    <col min="1" max="1" width="14.453125" style="97" bestFit="1" customWidth="1"/>
    <col min="2" max="2" width="42.6328125" style="97" customWidth="1"/>
    <col min="3" max="3" width="106.1796875" style="98" customWidth="1"/>
    <col min="4" max="4" width="21.81640625" style="111" bestFit="1" customWidth="1"/>
    <col min="5" max="5" width="20.6328125" style="97" customWidth="1"/>
  </cols>
  <sheetData>
    <row r="1" spans="1:5" ht="18.5" x14ac:dyDescent="0.35">
      <c r="A1" s="192" t="s">
        <v>4</v>
      </c>
      <c r="B1" s="192"/>
      <c r="C1" s="105"/>
    </row>
    <row r="2" spans="1:5" x14ac:dyDescent="0.35">
      <c r="A2" s="106" t="s">
        <v>5</v>
      </c>
      <c r="B2" s="107" t="str">
        <f ca="1">MID(CELL("filename",A1),FIND("]",CELL("filename",A1))+1,LEN(CELL("filename",A1))-FIND("]",CELL("filename",A1)))</f>
        <v>TC49</v>
      </c>
    </row>
    <row r="3" spans="1:5" x14ac:dyDescent="0.35">
      <c r="A3" s="104" t="s">
        <v>19</v>
      </c>
      <c r="B3" s="112">
        <f ca="1">VLOOKUP(B2,Table53[#All],2,FALSE)</f>
        <v>0</v>
      </c>
    </row>
    <row r="4" spans="1:5" ht="29" x14ac:dyDescent="0.35">
      <c r="A4" s="113" t="s">
        <v>20</v>
      </c>
      <c r="B4" s="99" t="str">
        <f ca="1">VLOOKUP(B2,Table53[#All],4,FALSE)</f>
        <v>No Recurring, Current Due, No Stored Mthd</v>
      </c>
    </row>
    <row r="5" spans="1:5" x14ac:dyDescent="0.35">
      <c r="A5" s="104" t="s">
        <v>6</v>
      </c>
      <c r="B5" s="93" t="str">
        <f ca="1">VLOOKUP(B2,Table53[#All],3,FALSE)</f>
        <v>Get Bank - Setup Recurring No Match x3</v>
      </c>
    </row>
    <row r="7" spans="1:5" ht="15.5" x14ac:dyDescent="0.35">
      <c r="A7" s="100" t="s">
        <v>7</v>
      </c>
      <c r="B7" s="101" t="s">
        <v>8</v>
      </c>
      <c r="C7" s="102" t="s">
        <v>9</v>
      </c>
      <c r="D7" s="102" t="s">
        <v>14</v>
      </c>
      <c r="E7" s="103" t="s">
        <v>10</v>
      </c>
    </row>
    <row r="8" spans="1:5" x14ac:dyDescent="0.35">
      <c r="A8" s="118">
        <v>1</v>
      </c>
      <c r="B8" s="114" t="s">
        <v>114</v>
      </c>
      <c r="C8" s="109" t="s">
        <v>125</v>
      </c>
      <c r="D8" s="128"/>
      <c r="E8" s="125" t="s">
        <v>11</v>
      </c>
    </row>
    <row r="9" spans="1:5" x14ac:dyDescent="0.35">
      <c r="A9" s="118">
        <v>2</v>
      </c>
      <c r="B9" s="114" t="s">
        <v>115</v>
      </c>
      <c r="C9" s="109" t="str">
        <f>VLOOKUP(Table2575525269101343444647484956575859631518171922456667717273748388[[#This Row],[PEG]],Table1016[#All],2,FALSE)</f>
        <v>To get started, tell me your Account Number</v>
      </c>
      <c r="D9" s="141" t="s">
        <v>245</v>
      </c>
      <c r="E9" s="125" t="str">
        <f>VLOOKUP(Table2575525269101343444647484956575859631518171922456667717273748388[[#This Row],[PEG]],Table1016[#All],3,FALSE)</f>
        <v>Prompt</v>
      </c>
    </row>
    <row r="10" spans="1:5" x14ac:dyDescent="0.35">
      <c r="A10" s="118">
        <v>3</v>
      </c>
      <c r="B10" s="114" t="s">
        <v>114</v>
      </c>
      <c r="C10" s="109" t="s">
        <v>412</v>
      </c>
      <c r="D10" s="151"/>
      <c r="E10" s="125" t="e">
        <f>VLOOKUP(Table2575525269101343444647484956575859631518171922456667717273748388[[#This Row],[PEG]],Table1016[#All],3,FALSE)</f>
        <v>#N/A</v>
      </c>
    </row>
    <row r="11" spans="1:5" ht="174" x14ac:dyDescent="0.35">
      <c r="A11" s="118">
        <v>4</v>
      </c>
      <c r="B11" s="114" t="s">
        <v>12</v>
      </c>
      <c r="C11" s="109" t="str">
        <f>VLOOKUP(Table2575525269101343444647484956575859631518171922456667717273748388[[#This Row],[PEG]],Table1016[#All],2,FALSE)</f>
        <v>SAP HANA – SAP01_GetMember
inputs:
idnumber = iIdnumber	T
idtype 	= iIdtype
outputs:
~ Billing Reference
~ Enrollment Details
~ Billing Details
~ Last Payment
~ Recurring Payment Method
~ Stored Payment Method</v>
      </c>
      <c r="D11" s="141" t="s">
        <v>371</v>
      </c>
      <c r="E11" s="125" t="str">
        <f>VLOOKUP(Table2575525269101343444647484956575859631518171922456667717273748388[[#This Row],[PEG]],Table1016[#All],3,FALSE)</f>
        <v>DB</v>
      </c>
    </row>
    <row r="12" spans="1:5" x14ac:dyDescent="0.35">
      <c r="A12" s="118">
        <v>5</v>
      </c>
      <c r="B12" s="114" t="s">
        <v>115</v>
      </c>
      <c r="C12" s="109" t="str">
        <f>VLOOKUP(Table2575525269101343444647484956575859631518171922456667717273748388[[#This Row],[PEG]],Table1016[#All],2,FALSE)</f>
        <v>Thanks, I found your account!</v>
      </c>
      <c r="D12" s="141" t="s">
        <v>248</v>
      </c>
      <c r="E12" s="125" t="str">
        <f>VLOOKUP(Table2575525269101343444647484956575859631518171922456667717273748388[[#This Row],[PEG]],Table1016[#All],3,FALSE)</f>
        <v>Prompt</v>
      </c>
    </row>
    <row r="13" spans="1:5" x14ac:dyDescent="0.35">
      <c r="A13" s="118">
        <v>6</v>
      </c>
      <c r="B13" s="114" t="s">
        <v>115</v>
      </c>
      <c r="C13" s="109" t="str">
        <f>VLOOKUP(Table2575525269101343444647484956575859631518171922456667717273748388[[#This Row],[PEG]],Table1016[#All],2,FALSE)</f>
        <v>A current balance of &lt;SAP01_CurrentDue&gt; is due by &lt;SAP01_Duedate&gt;.</v>
      </c>
      <c r="D13" s="142" t="s">
        <v>258</v>
      </c>
      <c r="E13" s="125" t="str">
        <f>VLOOKUP(Table2575525269101343444647484956575859631518171922456667717273748388[[#This Row],[PEG]],Table1016[#All],3,FALSE)</f>
        <v>Prompt</v>
      </c>
    </row>
    <row r="14" spans="1:5" x14ac:dyDescent="0.35">
      <c r="A14" s="118">
        <v>7</v>
      </c>
      <c r="B14" s="114" t="s">
        <v>115</v>
      </c>
      <c r="C14" s="109" t="str">
        <f>VLOOKUP(Table2575525269101343444647484956575859631518171922456667717273748388[[#This Row],[PEG]],Table1016[#All],2,FALSE)</f>
        <v>Would you like to pay this in full today?</v>
      </c>
      <c r="D14" s="142" t="s">
        <v>260</v>
      </c>
      <c r="E14" s="125" t="str">
        <f>VLOOKUP(Table2575525269101343444647484956575859631518171922456667717273748388[[#This Row],[PEG]],Table1016[#All],3,FALSE)</f>
        <v>Prompt</v>
      </c>
    </row>
    <row r="15" spans="1:5" x14ac:dyDescent="0.35">
      <c r="A15" s="118">
        <v>8</v>
      </c>
      <c r="B15" s="114" t="s">
        <v>114</v>
      </c>
      <c r="C15" s="109">
        <v>1</v>
      </c>
      <c r="D15" s="143"/>
      <c r="E15" s="125" t="e">
        <f>VLOOKUP(Table2575525269101343444647484956575859631518171922456667717273748388[[#This Row],[PEG]],Table1016[#All],3,FALSE)</f>
        <v>#N/A</v>
      </c>
    </row>
    <row r="16" spans="1:5" x14ac:dyDescent="0.35">
      <c r="A16" s="118">
        <v>9</v>
      </c>
      <c r="B16" s="114" t="s">
        <v>115</v>
      </c>
      <c r="C16" s="109" t="str">
        <f>VLOOKUP(Table2575525269101343444647484956575859631518171922456667717273748388[[#This Row],[PEG]],Table1016[#All],2,FALSE)</f>
        <v>Ok, are you using Credit, Debit, Checking or Savings?</v>
      </c>
      <c r="D16" s="143" t="s">
        <v>286</v>
      </c>
      <c r="E16" s="125" t="str">
        <f>VLOOKUP(Table2575525269101343444647484956575859631518171922456667717273748388[[#This Row],[PEG]],Table1016[#All],3,FALSE)</f>
        <v>Prompt</v>
      </c>
    </row>
    <row r="17" spans="1:5" x14ac:dyDescent="0.35">
      <c r="A17" s="118">
        <v>10</v>
      </c>
      <c r="B17" s="114" t="s">
        <v>114</v>
      </c>
      <c r="C17" s="109">
        <v>3</v>
      </c>
      <c r="D17" s="143"/>
      <c r="E17" s="125" t="e">
        <f>VLOOKUP(Table2575525269101343444647484956575859631518171922456667717273748388[[#This Row],[PEG]],Table1016[#All],3,FALSE)</f>
        <v>#N/A</v>
      </c>
    </row>
    <row r="18" spans="1:5" x14ac:dyDescent="0.35">
      <c r="A18" s="118">
        <v>11</v>
      </c>
      <c r="B18" s="114" t="s">
        <v>115</v>
      </c>
      <c r="C18" s="109" t="str">
        <f>VLOOKUP(Table2575525269101343444647484956575859631518171922456667717273748388[[#This Row],[PEG]],Table1016[#All],2,FALSE)</f>
        <v>Tell me your 9-digit routing number.</v>
      </c>
      <c r="D18" s="143" t="s">
        <v>289</v>
      </c>
      <c r="E18" s="125" t="str">
        <f>VLOOKUP(Table2575525269101343444647484956575859631518171922456667717273748388[[#This Row],[PEG]],Table1016[#All],3,FALSE)</f>
        <v>Prompt</v>
      </c>
    </row>
    <row r="19" spans="1:5" x14ac:dyDescent="0.35">
      <c r="A19" s="118">
        <v>12</v>
      </c>
      <c r="B19" s="114" t="s">
        <v>114</v>
      </c>
      <c r="C19" s="109" t="s">
        <v>501</v>
      </c>
      <c r="D19" s="143"/>
      <c r="E19" s="125" t="e">
        <f>VLOOKUP(Table2575525269101343444647484956575859631518171922456667717273748388[[#This Row],[PEG]],Table1016[#All],3,FALSE)</f>
        <v>#N/A</v>
      </c>
    </row>
    <row r="20" spans="1:5" x14ac:dyDescent="0.35">
      <c r="A20" s="118">
        <v>13</v>
      </c>
      <c r="B20" s="114" t="s">
        <v>115</v>
      </c>
      <c r="C20" s="109" t="str">
        <f>VLOOKUP(Table2575525269101343444647484956575859631518171922456667717273748388[[#This Row],[PEG]],Table1016[#All],2,FALSE)</f>
        <v>Is &lt;ivrBankKey&gt; the right number?</v>
      </c>
      <c r="D20" s="143" t="s">
        <v>292</v>
      </c>
      <c r="E20" s="125" t="str">
        <f>VLOOKUP(Table2575525269101343444647484956575859631518171922456667717273748388[[#This Row],[PEG]],Table1016[#All],3,FALSE)</f>
        <v>Prompt</v>
      </c>
    </row>
    <row r="21" spans="1:5" x14ac:dyDescent="0.35">
      <c r="A21" s="118">
        <v>14</v>
      </c>
      <c r="B21" s="114" t="s">
        <v>114</v>
      </c>
      <c r="C21" s="109">
        <v>1</v>
      </c>
      <c r="D21" s="143"/>
      <c r="E21" s="125" t="e">
        <f>VLOOKUP(Table2575525269101343444647484956575859631518171922456667717273748388[[#This Row],[PEG]],Table1016[#All],3,FALSE)</f>
        <v>#N/A</v>
      </c>
    </row>
    <row r="22" spans="1:5" x14ac:dyDescent="0.35">
      <c r="A22" s="118">
        <v>15</v>
      </c>
      <c r="B22" s="114" t="s">
        <v>115</v>
      </c>
      <c r="C22" s="109" t="str">
        <f>VLOOKUP(Table2575525269101343444647484956575859631518171922456667717273748388[[#This Row],[PEG]],Table1016[#All],2,FALSE)</f>
        <v>Now what is your checking account number.</v>
      </c>
      <c r="D22" s="143" t="s">
        <v>295</v>
      </c>
      <c r="E22" s="125" t="str">
        <f>VLOOKUP(Table2575525269101343444647484956575859631518171922456667717273748388[[#This Row],[PEG]],Table1016[#All],3,FALSE)</f>
        <v>Prompt</v>
      </c>
    </row>
    <row r="23" spans="1:5" x14ac:dyDescent="0.35">
      <c r="A23" s="118">
        <v>16</v>
      </c>
      <c r="B23" s="114" t="s">
        <v>114</v>
      </c>
      <c r="C23" s="109" t="s">
        <v>412</v>
      </c>
      <c r="D23" s="143"/>
      <c r="E23" s="125" t="e">
        <f>VLOOKUP(Table2575525269101343444647484956575859631518171922456667717273748388[[#This Row],[PEG]],Table1016[#All],3,FALSE)</f>
        <v>#N/A</v>
      </c>
    </row>
    <row r="24" spans="1:5" x14ac:dyDescent="0.35">
      <c r="A24" s="118">
        <v>17</v>
      </c>
      <c r="B24" s="114" t="s">
        <v>115</v>
      </c>
      <c r="C24" s="109" t="str">
        <f>VLOOKUP(Table2575525269101343444647484956575859631518171922456667717273748388[[#This Row],[PEG]],Table1016[#All],2,FALSE)</f>
        <v>Is &lt;ivrBankAcct&gt; the right number?</v>
      </c>
      <c r="D24" s="143" t="s">
        <v>301</v>
      </c>
      <c r="E24" s="125">
        <f>VLOOKUP(Table2575525269101343444647484956575859631518171922456667717273748388[[#This Row],[PEG]],Table1016[#All],3,FALSE)</f>
        <v>0</v>
      </c>
    </row>
    <row r="25" spans="1:5" x14ac:dyDescent="0.35">
      <c r="A25" s="118">
        <v>18</v>
      </c>
      <c r="B25" s="114" t="s">
        <v>114</v>
      </c>
      <c r="C25" s="109">
        <v>1</v>
      </c>
      <c r="D25" s="143"/>
      <c r="E25" s="125" t="e">
        <f>VLOOKUP(Table2575525269101343444647484956575859631518171922456667717273748388[[#This Row],[PEG]],Table1016[#All],3,FALSE)</f>
        <v>#N/A</v>
      </c>
    </row>
    <row r="26" spans="1:5" ht="43.5" x14ac:dyDescent="0.35">
      <c r="A26" s="118">
        <v>19</v>
      </c>
      <c r="B26" s="114" t="s">
        <v>115</v>
      </c>
      <c r="C26" s="109" t="str">
        <f>VLOOKUP(Table2575525269101343444647484956575859631518171922456667717273748388[[#This Row],[PEG]],Table1016[#All],2,FALSE)</f>
        <v>Today &lt;SAP01_SystemDate&gt; I’d like to confirm that you &lt;SAP01_NameFirst&gt; &lt;SAP01_NameLast&gt; are authorizing a payment in the amount of &lt;ivrPmtAmt&gt;
to be processed as an electronic funds transfer, or draft drawn from your account.  Do you agree?</v>
      </c>
      <c r="D26" s="143" t="s">
        <v>304</v>
      </c>
      <c r="E26" s="125" t="str">
        <f>VLOOKUP(Table2575525269101343444647484956575859631518171922456667717273748388[[#This Row],[PEG]],Table1016[#All],3,FALSE)</f>
        <v>Prompt</v>
      </c>
    </row>
    <row r="27" spans="1:5" x14ac:dyDescent="0.35">
      <c r="A27" s="118">
        <v>20</v>
      </c>
      <c r="B27" s="114" t="s">
        <v>114</v>
      </c>
      <c r="C27" s="109">
        <v>1</v>
      </c>
      <c r="D27" s="117"/>
      <c r="E27" s="125" t="e">
        <f>VLOOKUP(Table2575525269101343444647484956575859631518171922456667717273748388[[#This Row],[PEG]],Table1016[#All],3,FALSE)</f>
        <v>#N/A</v>
      </c>
    </row>
    <row r="28" spans="1:5" ht="43.5" x14ac:dyDescent="0.35">
      <c r="A28" s="118">
        <v>21</v>
      </c>
      <c r="B28" s="114" t="s">
        <v>115</v>
      </c>
      <c r="C28" s="109" t="str">
        <f>VLOOKUP(Table2575525269101343444647484956575859631518171922456667717273748388[[#This Row],[PEG]],Table1016[#All],2,FALSE)</f>
        <v>If your payment is returned unpaid, you authorize us or our service provider to collect the payment and your State’s return item fee of &lt;SAP01_NSFAmount&gt; by electronic funds transfer(s) or draft(s) drawn from your account.  Do you agree and authorize the payment?</v>
      </c>
      <c r="D28" s="143" t="s">
        <v>307</v>
      </c>
      <c r="E28" s="125" t="str">
        <f>VLOOKUP(Table2575525269101343444647484956575859631518171922456667717273748388[[#This Row],[PEG]],Table1016[#All],3,FALSE)</f>
        <v>Prompt</v>
      </c>
    </row>
    <row r="29" spans="1:5" x14ac:dyDescent="0.35">
      <c r="A29" s="118">
        <v>22</v>
      </c>
      <c r="B29" s="114" t="s">
        <v>114</v>
      </c>
      <c r="C29" s="109">
        <v>1</v>
      </c>
      <c r="D29" s="117"/>
      <c r="E29" s="125" t="e">
        <f>VLOOKUP(Table2575525269101343444647484956575859631518171922456667717273748388[[#This Row],[PEG]],Table1016[#All],3,FALSE)</f>
        <v>#N/A</v>
      </c>
    </row>
    <row r="30" spans="1:5" x14ac:dyDescent="0.35">
      <c r="A30" s="118">
        <v>23</v>
      </c>
      <c r="B30" s="114" t="s">
        <v>115</v>
      </c>
      <c r="C30" s="109" t="str">
        <f>VLOOKUP(Table2575525269101343444647484956575859631518171922456667717273748388[[#This Row],[PEG]],Table1016[#All],2,FALSE)</f>
        <v>Before I give you the confirmation number, would you like to use this account to setup recurring monthly payments?</v>
      </c>
      <c r="D30" s="143" t="s">
        <v>310</v>
      </c>
      <c r="E30" s="125" t="str">
        <f>VLOOKUP(Table2575525269101343444647484956575859631518171922456667717273748388[[#This Row],[PEG]],Table1016[#All],3,FALSE)</f>
        <v>Prompt</v>
      </c>
    </row>
    <row r="31" spans="1:5" x14ac:dyDescent="0.35">
      <c r="A31" s="118">
        <v>24</v>
      </c>
      <c r="B31" s="114" t="s">
        <v>114</v>
      </c>
      <c r="C31" s="109">
        <v>3</v>
      </c>
      <c r="D31" s="117"/>
      <c r="E31" s="125" t="e">
        <f>VLOOKUP(Table2575525269101343444647484956575859631518171922456667717273748388[[#This Row],[PEG]],Table1016[#All],3,FALSE)</f>
        <v>#N/A</v>
      </c>
    </row>
    <row r="32" spans="1:5" x14ac:dyDescent="0.35">
      <c r="A32" s="118">
        <v>25</v>
      </c>
      <c r="B32" s="114" t="s">
        <v>115</v>
      </c>
      <c r="C32" s="109" t="str">
        <f>VLOOKUP(Table2575525269101343444647484956575859631518171922456667717273748388[[#This Row],[PEG]],Table1016[#All],2,FALSE)</f>
        <v>Sorry, I didn’t understand.</v>
      </c>
      <c r="D32" s="143" t="s">
        <v>367</v>
      </c>
      <c r="E32" s="125" t="str">
        <f>VLOOKUP(Table2575525269101343444647484956575859631518171922456667717273748388[[#This Row],[PEG]],Table1016[#All],3,FALSE)</f>
        <v>Prompt</v>
      </c>
    </row>
    <row r="33" spans="1:5" x14ac:dyDescent="0.35">
      <c r="A33" s="118">
        <v>26</v>
      </c>
      <c r="B33" s="114" t="s">
        <v>115</v>
      </c>
      <c r="C33" s="109" t="str">
        <f>VLOOKUP(Table2575525269101343444647484956575859631518171922456667717273748388[[#This Row],[PEG]],Table1016[#All],2,FALSE)</f>
        <v>Would you like to setup recurring monthly payments? Just say yes or no.</v>
      </c>
      <c r="D33" s="143" t="s">
        <v>311</v>
      </c>
      <c r="E33" s="125" t="str">
        <f>VLOOKUP(Table2575525269101343444647484956575859631518171922456667717273748388[[#This Row],[PEG]],Table1016[#All],3,FALSE)</f>
        <v>Prompt</v>
      </c>
    </row>
    <row r="34" spans="1:5" x14ac:dyDescent="0.35">
      <c r="A34" s="118">
        <v>27</v>
      </c>
      <c r="B34" s="114" t="s">
        <v>114</v>
      </c>
      <c r="C34" s="109">
        <v>3</v>
      </c>
      <c r="D34" s="143"/>
      <c r="E34" s="125" t="e">
        <f>VLOOKUP(Table2575525269101343444647484956575859631518171922456667717273748388[[#This Row],[PEG]],Table1016[#All],3,FALSE)</f>
        <v>#N/A</v>
      </c>
    </row>
    <row r="35" spans="1:5" x14ac:dyDescent="0.35">
      <c r="A35" s="118">
        <v>28</v>
      </c>
      <c r="B35" s="114" t="s">
        <v>115</v>
      </c>
      <c r="C35" s="109" t="str">
        <f>VLOOKUP(Table2575525269101343444647484956575859631518171922456667717273748388[[#This Row],[PEG]],Table1016[#All],2,FALSE)</f>
        <v>Let’s try that one more time.</v>
      </c>
      <c r="D35" s="143" t="s">
        <v>368</v>
      </c>
      <c r="E35" s="125" t="str">
        <f>VLOOKUP(Table2575525269101343444647484956575859631518171922456667717273748388[[#This Row],[PEG]],Table1016[#All],3,FALSE)</f>
        <v>Prompt</v>
      </c>
    </row>
    <row r="36" spans="1:5" x14ac:dyDescent="0.35">
      <c r="A36" s="118">
        <v>29</v>
      </c>
      <c r="B36" s="114" t="s">
        <v>115</v>
      </c>
      <c r="C36" s="109" t="str">
        <f>VLOOKUP(Table2575525269101343444647484956575859631518171922456667717273748388[[#This Row],[PEG]],Table1016[#All],2,FALSE)</f>
        <v>To setup recurring payments, say yes or press 1. Otherwise say no or press 2.</v>
      </c>
      <c r="D36" s="143" t="s">
        <v>312</v>
      </c>
      <c r="E36" s="125" t="str">
        <f>VLOOKUP(Table2575525269101343444647484956575859631518171922456667717273748388[[#This Row],[PEG]],Table1016[#All],3,FALSE)</f>
        <v>Prompt</v>
      </c>
    </row>
    <row r="37" spans="1:5" x14ac:dyDescent="0.35">
      <c r="A37" s="118">
        <v>30</v>
      </c>
      <c r="B37" s="114" t="s">
        <v>114</v>
      </c>
      <c r="C37" s="109">
        <v>3</v>
      </c>
      <c r="D37" s="143"/>
      <c r="E37" s="125" t="e">
        <f>VLOOKUP(Table2575525269101343444647484956575859631518171922456667717273748388[[#This Row],[PEG]],Table1016[#All],3,FALSE)</f>
        <v>#N/A</v>
      </c>
    </row>
    <row r="38" spans="1:5" ht="29" x14ac:dyDescent="0.35">
      <c r="A38" s="118">
        <v>31</v>
      </c>
      <c r="B38" s="114" t="s">
        <v>115</v>
      </c>
      <c r="C38" s="109" t="str">
        <f>VLOOKUP(Table2575525269101343444647484956575859631518171922456667717273748388[[#This Row],[PEG]],Table1016[#All],2,FALSE)</f>
        <v>Today's payment in the amount of &lt;ivrPmtAmt&gt;, has been processed.  Your confirmation number is &lt;ivrConfirmationNum&gt;. Again, that confirmation number is &lt;ivrConfirmationNum&gt;.</v>
      </c>
      <c r="D38" s="143" t="s">
        <v>340</v>
      </c>
      <c r="E38" s="125" t="str">
        <f>VLOOKUP(Table2575525269101343444647484956575859631518171922456667717273748388[[#This Row],[PEG]],Table1016[#All],3,FALSE)</f>
        <v>Prompt</v>
      </c>
    </row>
    <row r="39" spans="1:5" x14ac:dyDescent="0.35">
      <c r="A39" s="118">
        <v>32</v>
      </c>
      <c r="B39" s="114" t="s">
        <v>115</v>
      </c>
      <c r="C39" s="109" t="str">
        <f>VLOOKUP(Table2575525269101343444647484956575859631518171922456667717273748388[[#This Row],[PEG]],Table1016[#All],2,FALSE)</f>
        <v>Would you like me to text the confirmation number?</v>
      </c>
      <c r="D39" s="143" t="s">
        <v>341</v>
      </c>
      <c r="E39" s="125" t="str">
        <f>VLOOKUP(Table2575525269101343444647484956575859631518171922456667717273748388[[#This Row],[PEG]],Table1016[#All],3,FALSE)</f>
        <v>Prompt</v>
      </c>
    </row>
    <row r="40" spans="1:5" x14ac:dyDescent="0.35">
      <c r="A40" s="118">
        <v>33</v>
      </c>
      <c r="B40" s="114" t="s">
        <v>114</v>
      </c>
      <c r="C40" s="109" t="s">
        <v>478</v>
      </c>
      <c r="D40" s="143"/>
      <c r="E40" s="125" t="e">
        <f>VLOOKUP(Table2575525269101343444647484956575859631518171922456667717273748388[[#This Row],[PEG]],Table1016[#All],3,FALSE)</f>
        <v>#N/A</v>
      </c>
    </row>
    <row r="41" spans="1:5" x14ac:dyDescent="0.35">
      <c r="A41" s="118">
        <v>34</v>
      </c>
      <c r="B41" s="114" t="s">
        <v>115</v>
      </c>
      <c r="C41" s="109" t="str">
        <f>VLOOKUP(Table2575525269101343444647484956575859631518171922456667717273748388[[#This Row],[PEG]],Table1016[#All],2,FALSE)</f>
        <v>I didn’t get that.</v>
      </c>
      <c r="D41" s="143" t="s">
        <v>365</v>
      </c>
      <c r="E41" s="125" t="str">
        <f>VLOOKUP(Table2575525269101343444647484956575859631518171922456667717273748388[[#This Row],[PEG]],Table1016[#All],3,FALSE)</f>
        <v>Prompt</v>
      </c>
    </row>
    <row r="42" spans="1:5" s="97" customFormat="1" x14ac:dyDescent="0.35">
      <c r="A42" s="118">
        <v>35</v>
      </c>
      <c r="B42" s="114" t="s">
        <v>115</v>
      </c>
      <c r="C42" s="109" t="str">
        <f>VLOOKUP(Table2575525269101343444647484956575859631518171922456667717273748388[[#This Row],[PEG]],Table1016[#All],2,FALSE)</f>
        <v>Would you like me to text the confirmation number?  Just say yes or no.</v>
      </c>
      <c r="D42" s="143" t="s">
        <v>342</v>
      </c>
      <c r="E42" s="125" t="str">
        <f>VLOOKUP(Table2575525269101343444647484956575859631518171922456667717273748388[[#This Row],[PEG]],Table1016[#All],3,FALSE)</f>
        <v>Prompt</v>
      </c>
    </row>
    <row r="43" spans="1:5" s="97" customFormat="1" x14ac:dyDescent="0.35">
      <c r="A43" s="118">
        <v>36</v>
      </c>
      <c r="B43" s="114" t="s">
        <v>114</v>
      </c>
      <c r="C43" s="109" t="s">
        <v>478</v>
      </c>
      <c r="D43" s="143"/>
      <c r="E43" s="125" t="e">
        <f>VLOOKUP(Table2575525269101343444647484956575859631518171922456667717273748388[[#This Row],[PEG]],Table1016[#All],3,FALSE)</f>
        <v>#N/A</v>
      </c>
    </row>
    <row r="44" spans="1:5" s="97" customFormat="1" x14ac:dyDescent="0.35">
      <c r="A44" s="118">
        <v>37</v>
      </c>
      <c r="B44" s="114" t="s">
        <v>115</v>
      </c>
      <c r="C44" s="109" t="str">
        <f>VLOOKUP(Table2575525269101343444647484956575859631518171922456667717273748388[[#This Row],[PEG]],Table1016[#All],2,FALSE)</f>
        <v>I still didn’t get that.</v>
      </c>
      <c r="D44" s="143" t="s">
        <v>366</v>
      </c>
      <c r="E44" s="125" t="str">
        <f>VLOOKUP(Table2575525269101343444647484956575859631518171922456667717273748388[[#This Row],[PEG]],Table1016[#All],3,FALSE)</f>
        <v>Prompt</v>
      </c>
    </row>
    <row r="45" spans="1:5" s="97" customFormat="1" x14ac:dyDescent="0.35">
      <c r="A45" s="118">
        <v>38</v>
      </c>
      <c r="B45" s="114" t="s">
        <v>115</v>
      </c>
      <c r="C45" s="109" t="str">
        <f>VLOOKUP(Table2575525269101343444647484956575859631518171922456667717273748388[[#This Row],[PEG]],Table1016[#All],2,FALSE)</f>
        <v>To receive your confirmation number by text, say yes or press 1.  Otherwise, say no or press 2.</v>
      </c>
      <c r="D45" s="143" t="s">
        <v>343</v>
      </c>
      <c r="E45" s="125" t="str">
        <f>VLOOKUP(Table2575525269101343444647484956575859631518171922456667717273748388[[#This Row],[PEG]],Table1016[#All],3,FALSE)</f>
        <v>Prompt</v>
      </c>
    </row>
    <row r="46" spans="1:5" s="97" customFormat="1" x14ac:dyDescent="0.35">
      <c r="A46" s="118">
        <v>39</v>
      </c>
      <c r="B46" s="114" t="s">
        <v>114</v>
      </c>
      <c r="C46" s="109" t="s">
        <v>478</v>
      </c>
      <c r="D46" s="143"/>
      <c r="E46" s="125" t="e">
        <f>VLOOKUP(Table2575525269101343444647484956575859631518171922456667717273748388[[#This Row],[PEG]],Table1016[#All],3,FALSE)</f>
        <v>#N/A</v>
      </c>
    </row>
    <row r="47" spans="1:5" s="97" customFormat="1" ht="29" x14ac:dyDescent="0.35">
      <c r="A47" s="118">
        <v>40</v>
      </c>
      <c r="B47" s="114" t="s">
        <v>115</v>
      </c>
      <c r="C47" s="109" t="str">
        <f>VLOOKUP(Table2575525269101343444647484956575859631518171922456667717273748388[[#This Row],[PEG]],Table1016[#All],2,FALSE)</f>
        <v>Thank you for your payment today.  For future transactions, you can access your plan details or manage your account anytime online at members.lacare.com.</v>
      </c>
      <c r="D47" s="143" t="s">
        <v>364</v>
      </c>
      <c r="E47" s="125" t="str">
        <f>VLOOKUP(Table2575525269101343444647484956575859631518171922456667717273748388[[#This Row],[PEG]],Table1016[#All],3,FALSE)</f>
        <v>Prompt</v>
      </c>
    </row>
    <row r="48" spans="1:5" x14ac:dyDescent="0.35">
      <c r="A48" s="118">
        <v>41</v>
      </c>
      <c r="B48" s="114" t="s">
        <v>13</v>
      </c>
      <c r="C48" s="109" t="s">
        <v>13</v>
      </c>
      <c r="D48" s="153"/>
      <c r="E48" s="32"/>
    </row>
    <row r="49" spans="3:4" x14ac:dyDescent="0.35">
      <c r="C49" s="26"/>
      <c r="D49" s="111" t="s">
        <v>0</v>
      </c>
    </row>
    <row r="50" spans="3:4" x14ac:dyDescent="0.35">
      <c r="C50" s="26"/>
    </row>
    <row r="51" spans="3:4" x14ac:dyDescent="0.35">
      <c r="C51" s="26"/>
    </row>
    <row r="52" spans="3:4" x14ac:dyDescent="0.35">
      <c r="C52" s="26"/>
    </row>
    <row r="53" spans="3:4" x14ac:dyDescent="0.35">
      <c r="C53" s="26"/>
    </row>
    <row r="54" spans="3:4" x14ac:dyDescent="0.35">
      <c r="C54" s="26"/>
    </row>
    <row r="55" spans="3:4" x14ac:dyDescent="0.35">
      <c r="C55" s="26"/>
    </row>
    <row r="56" spans="3:4" x14ac:dyDescent="0.35">
      <c r="C56" s="26"/>
    </row>
    <row r="57" spans="3:4" x14ac:dyDescent="0.35">
      <c r="C57" s="26"/>
    </row>
    <row r="58" spans="3:4" x14ac:dyDescent="0.35">
      <c r="C58" s="26"/>
    </row>
    <row r="59" spans="3:4" x14ac:dyDescent="0.35">
      <c r="C59" s="26"/>
    </row>
    <row r="60" spans="3:4" x14ac:dyDescent="0.35">
      <c r="C60" s="26"/>
    </row>
    <row r="61" spans="3:4" x14ac:dyDescent="0.35">
      <c r="C61" s="26"/>
    </row>
    <row r="62" spans="3:4" x14ac:dyDescent="0.35">
      <c r="C62" s="26"/>
    </row>
    <row r="63" spans="3:4" x14ac:dyDescent="0.35">
      <c r="C63" s="26"/>
    </row>
    <row r="64" spans="3:4" x14ac:dyDescent="0.35">
      <c r="C64" s="27"/>
    </row>
    <row r="65" spans="3:3" x14ac:dyDescent="0.35">
      <c r="C65" s="27"/>
    </row>
    <row r="66" spans="3:3" x14ac:dyDescent="0.35">
      <c r="C66" s="27"/>
    </row>
  </sheetData>
  <mergeCells count="1">
    <mergeCell ref="A1:B1"/>
  </mergeCells>
  <conditionalFormatting sqref="C42:C10005">
    <cfRule type="expression" dxfId="4595" priority="39">
      <formula>$B42="Dial"</formula>
    </cfRule>
    <cfRule type="expression" dxfId="4594" priority="41">
      <formula>$B42="HANGUP"</formula>
    </cfRule>
  </conditionalFormatting>
  <conditionalFormatting sqref="B8">
    <cfRule type="containsText" dxfId="4593" priority="13" operator="containsText" text="Hear">
      <formula>NOT(ISERROR(SEARCH("Hear",B8)))</formula>
    </cfRule>
  </conditionalFormatting>
  <conditionalFormatting sqref="B36:B38 B40:B41">
    <cfRule type="containsText" dxfId="4592" priority="16" operator="containsText" text="Hear">
      <formula>NOT(ISERROR(SEARCH("Hear",B36)))</formula>
    </cfRule>
  </conditionalFormatting>
  <conditionalFormatting sqref="B27:B29 B31:B35 B48">
    <cfRule type="containsText" dxfId="4591" priority="22" operator="containsText" text="Hear">
      <formula>NOT(ISERROR(SEARCH("Hear",B27)))</formula>
    </cfRule>
  </conditionalFormatting>
  <conditionalFormatting sqref="E48">
    <cfRule type="containsText" dxfId="4590" priority="20" operator="containsText" text="WEB SERVICE">
      <formula>NOT(ISERROR(SEARCH("WEB SERVICE",E48)))</formula>
    </cfRule>
    <cfRule type="containsText" dxfId="4589" priority="21" operator="containsText" text="DB">
      <formula>NOT(ISERROR(SEARCH("DB",E48)))</formula>
    </cfRule>
  </conditionalFormatting>
  <conditionalFormatting sqref="B30">
    <cfRule type="containsText" dxfId="4588" priority="18" operator="containsText" text="Hear">
      <formula>NOT(ISERROR(SEARCH("Hear",B30)))</formula>
    </cfRule>
  </conditionalFormatting>
  <conditionalFormatting sqref="B9:B18">
    <cfRule type="containsText" dxfId="4587" priority="11" operator="containsText" text="Hear">
      <formula>NOT(ISERROR(SEARCH("Hear",B9)))</formula>
    </cfRule>
  </conditionalFormatting>
  <conditionalFormatting sqref="B19:B26">
    <cfRule type="containsText" dxfId="4586" priority="12" operator="containsText" text="Hear">
      <formula>NOT(ISERROR(SEARCH("Hear",B19)))</formula>
    </cfRule>
  </conditionalFormatting>
  <conditionalFormatting sqref="C10:C41">
    <cfRule type="expression" dxfId="4585" priority="9">
      <formula>$B10="Dial"</formula>
    </cfRule>
    <cfRule type="expression" dxfId="4584" priority="10">
      <formula>$B10="HANGUP"</formula>
    </cfRule>
  </conditionalFormatting>
  <conditionalFormatting sqref="C10:C48">
    <cfRule type="expression" dxfId="4583" priority="8">
      <formula>$B10="Speak"</formula>
    </cfRule>
  </conditionalFormatting>
  <conditionalFormatting sqref="B42:B47">
    <cfRule type="containsText" dxfId="4582" priority="5" operator="containsText" text="Hear">
      <formula>NOT(ISERROR(SEARCH("Hear",B42)))</formula>
    </cfRule>
  </conditionalFormatting>
  <hyperlinks>
    <hyperlink ref="A1" location="'Test Case Overview'!A1" display="Return to Test Case Overview" xr:uid="{7D003D9D-6828-4B8C-A228-069F0330F84B}"/>
  </hyperlinks>
  <pageMargins left="0.7" right="0.7" top="0.75" bottom="0.75" header="0.3" footer="0.3"/>
  <pageSetup orientation="portrait" verticalDpi="0" r:id="rId1"/>
  <tableParts count="1">
    <tablePart r:id="rId2"/>
  </tableParts>
  <extLst>
    <ext xmlns:x14="http://schemas.microsoft.com/office/spreadsheetml/2009/9/main" uri="{78C0D931-6437-407d-A8EE-F0AAD7539E65}">
      <x14:conditionalFormattings>
        <x14:conditionalFormatting xmlns:xm="http://schemas.microsoft.com/office/excel/2006/main">
          <x14:cfRule type="expression" priority="33" id="{EE3A120A-9A6C-4801-A398-D6FA7244DCE5}">
            <xm:f>'TC1'!$B8="HANGUP"</xm:f>
            <x14:dxf>
              <font>
                <b/>
                <i val="0"/>
              </font>
            </x14:dxf>
          </x14:cfRule>
          <x14:cfRule type="expression" priority="42" id="{F47F9A02-B67F-4D54-9496-4307E43F9D37}">
            <xm:f>'TC1'!$B8="Dial"</xm:f>
            <x14:dxf>
              <font>
                <b/>
                <i val="0"/>
                <color rgb="FFFF0000"/>
              </font>
            </x14:dxf>
          </x14:cfRule>
          <xm:sqref>C8</xm:sqref>
        </x14:conditionalFormatting>
        <x14:conditionalFormatting xmlns:xm="http://schemas.microsoft.com/office/excel/2006/main">
          <x14:cfRule type="expression" priority="43" id="{CB896242-DDF1-43C2-BE84-C9921BB7ACEA}">
            <xm:f>'TC1'!$B8="Speak"</xm:f>
            <x14:dxf>
              <font>
                <b/>
                <i val="0"/>
                <color rgb="FFFF0000"/>
              </font>
            </x14:dxf>
          </x14:cfRule>
          <xm:sqref>C8</xm:sqref>
        </x14:conditionalFormatting>
        <x14:conditionalFormatting xmlns:xm="http://schemas.microsoft.com/office/excel/2006/main">
          <x14:cfRule type="containsText" priority="14" operator="containsText" text="Hear" id="{4E2F8765-65F1-48FF-B3F3-85E460E02D0D}">
            <xm:f>NOT(ISERROR(SEARCH("Hear",'TC3'!B34)))</xm:f>
            <x14:dxf>
              <font>
                <color theme="9" tint="-0.24994659260841701"/>
              </font>
              <fill>
                <patternFill>
                  <bgColor theme="9" tint="0.59996337778862885"/>
                </patternFill>
              </fill>
            </x14:dxf>
          </x14:cfRule>
          <xm:sqref>B41:B47</xm:sqref>
        </x14:conditionalFormatting>
        <x14:conditionalFormatting xmlns:xm="http://schemas.microsoft.com/office/excel/2006/main">
          <x14:cfRule type="containsText" priority="1267" operator="containsText" text="DB" id="{3345AAC7-CB3F-4940-8F18-696AADA9915B}">
            <xm:f>NOT(ISERROR(SEARCH("DB",'TC1'!E16)))</xm:f>
            <x14:dxf>
              <font>
                <color rgb="FF006100"/>
              </font>
              <fill>
                <patternFill>
                  <bgColor rgb="FFC6EFCE"/>
                </patternFill>
              </fill>
            </x14:dxf>
          </x14:cfRule>
          <x14:cfRule type="containsText" priority="1268" operator="containsText" text="WEB SERVICE" id="{6ADCF886-54D2-4379-84A9-C97778D2E7AE}">
            <xm:f>NOT(ISERROR(SEARCH("WEB SERVICE",'TC1'!E16)))</xm:f>
            <x14:dxf>
              <font>
                <color rgb="FF9C0006"/>
              </font>
              <fill>
                <patternFill>
                  <bgColor rgb="FFFFC7CE"/>
                </patternFill>
              </fill>
            </x14:dxf>
          </x14:cfRule>
          <xm:sqref>E34:E47</xm:sqref>
        </x14:conditionalFormatting>
        <x14:conditionalFormatting xmlns:xm="http://schemas.microsoft.com/office/excel/2006/main">
          <x14:cfRule type="containsText" priority="1269" operator="containsText" text="DB" id="{3345AAC7-CB3F-4940-8F18-696AADA9915B}">
            <xm:f>NOT(ISERROR(SEARCH("DB",'TC1'!#REF!)))</xm:f>
            <x14:dxf>
              <font>
                <color rgb="FF006100"/>
              </font>
              <fill>
                <patternFill>
                  <bgColor rgb="FFC6EFCE"/>
                </patternFill>
              </fill>
            </x14:dxf>
          </x14:cfRule>
          <x14:cfRule type="containsText" priority="1270" operator="containsText" text="WEB SERVICE" id="{6ADCF886-54D2-4379-84A9-C97778D2E7AE}">
            <xm:f>NOT(ISERROR(SEARCH("WEB SERVICE",'TC1'!#REF!)))</xm:f>
            <x14:dxf>
              <font>
                <color rgb="FF9C0006"/>
              </font>
              <fill>
                <patternFill>
                  <bgColor rgb="FFFFC7CE"/>
                </patternFill>
              </fill>
            </x14:dxf>
          </x14:cfRule>
          <xm:sqref>E17:E33</xm:sqref>
        </x14:conditionalFormatting>
        <x14:conditionalFormatting xmlns:xm="http://schemas.microsoft.com/office/excel/2006/main">
          <x14:cfRule type="expression" priority="4071" id="{EE3A120A-9A6C-4801-A398-D6FA7244DCE5}">
            <xm:f>'TC1'!#REF!="HANGUP"</xm:f>
            <x14:dxf>
              <font>
                <b/>
                <i val="0"/>
              </font>
            </x14:dxf>
          </x14:cfRule>
          <x14:cfRule type="expression" priority="4072" id="{F47F9A02-B67F-4D54-9496-4307E43F9D37}">
            <xm:f>'TC1'!#REF!="Dial"</xm:f>
            <x14:dxf>
              <font>
                <b/>
                <i val="0"/>
                <color rgb="FFFF0000"/>
              </font>
            </x14:dxf>
          </x14:cfRule>
          <xm:sqref>C9</xm:sqref>
        </x14:conditionalFormatting>
        <x14:conditionalFormatting xmlns:xm="http://schemas.microsoft.com/office/excel/2006/main">
          <x14:cfRule type="expression" priority="4077" id="{CB896242-DDF1-43C2-BE84-C9921BB7ACEA}">
            <xm:f>'TC1'!#REF!="Speak"</xm:f>
            <x14:dxf>
              <font>
                <b/>
                <i val="0"/>
                <color rgb="FFFF0000"/>
              </font>
            </x14:dxf>
          </x14:cfRule>
          <xm:sqref>C9</xm:sqref>
        </x14:conditionalFormatting>
        <x14:conditionalFormatting xmlns:xm="http://schemas.microsoft.com/office/excel/2006/main">
          <x14:cfRule type="containsText" priority="4079" operator="containsText" text="DB" id="{3345AAC7-CB3F-4940-8F18-696AADA9915B}">
            <xm:f>NOT(ISERROR(SEARCH("DB",'TC1'!#REF!)))</xm:f>
            <x14:dxf>
              <font>
                <color rgb="FF006100"/>
              </font>
              <fill>
                <patternFill>
                  <bgColor rgb="FFC6EFCE"/>
                </patternFill>
              </fill>
            </x14:dxf>
          </x14:cfRule>
          <x14:cfRule type="containsText" priority="4080" operator="containsText" text="WEB SERVICE" id="{6ADCF886-54D2-4379-84A9-C97778D2E7AE}">
            <xm:f>NOT(ISERROR(SEARCH("WEB SERVICE",'TC1'!#REF!)))</xm:f>
            <x14:dxf>
              <font>
                <color rgb="FF9C0006"/>
              </font>
              <fill>
                <patternFill>
                  <bgColor rgb="FFFFC7CE"/>
                </patternFill>
              </fill>
            </x14:dxf>
          </x14:cfRule>
          <xm:sqref>E9:E11</xm:sqref>
        </x14:conditionalFormatting>
        <x14:conditionalFormatting xmlns:xm="http://schemas.microsoft.com/office/excel/2006/main">
          <x14:cfRule type="containsText" priority="4081" operator="containsText" text="DB" id="{3345AAC7-CB3F-4940-8F18-696AADA9915B}">
            <xm:f>NOT(ISERROR(SEARCH("DB",'TC1'!E9)))</xm:f>
            <x14:dxf>
              <font>
                <color rgb="FF006100"/>
              </font>
              <fill>
                <patternFill>
                  <bgColor rgb="FFC6EFCE"/>
                </patternFill>
              </fill>
            </x14:dxf>
          </x14:cfRule>
          <x14:cfRule type="containsText" priority="4082" operator="containsText" text="WEB SERVICE" id="{6ADCF886-54D2-4379-84A9-C97778D2E7AE}">
            <xm:f>NOT(ISERROR(SEARCH("WEB SERVICE",'TC1'!E9)))</xm:f>
            <x14:dxf>
              <font>
                <color rgb="FF9C0006"/>
              </font>
              <fill>
                <patternFill>
                  <bgColor rgb="FFFFC7CE"/>
                </patternFill>
              </fill>
            </x14:dxf>
          </x14:cfRule>
          <xm:sqref>E12:E15</xm:sqref>
        </x14:conditionalFormatting>
        <x14:conditionalFormatting xmlns:xm="http://schemas.microsoft.com/office/excel/2006/main">
          <x14:cfRule type="containsText" priority="6578" operator="containsText" text="DB" id="{3345AAC7-CB3F-4940-8F18-696AADA9915B}">
            <xm:f>NOT(ISERROR(SEARCH("DB",'TC1'!E15)))</xm:f>
            <x14:dxf>
              <font>
                <color rgb="FF006100"/>
              </font>
              <fill>
                <patternFill>
                  <bgColor rgb="FFC6EFCE"/>
                </patternFill>
              </fill>
            </x14:dxf>
          </x14:cfRule>
          <x14:cfRule type="containsText" priority="6579" operator="containsText" text="WEB SERVICE" id="{6ADCF886-54D2-4379-84A9-C97778D2E7AE}">
            <xm:f>NOT(ISERROR(SEARCH("WEB SERVICE",'TC1'!E15)))</xm:f>
            <x14:dxf>
              <font>
                <color rgb="FF9C0006"/>
              </font>
              <fill>
                <patternFill>
                  <bgColor rgb="FFFFC7CE"/>
                </patternFill>
              </fill>
            </x14:dxf>
          </x14:cfRule>
          <xm:sqref>E16</xm:sqref>
        </x14:conditionalFormatting>
        <x14:conditionalFormatting xmlns:xm="http://schemas.microsoft.com/office/excel/2006/main">
          <x14:cfRule type="containsText" priority="8826" operator="containsText" text="Hear" id="{5F352E47-74D9-400B-963E-33631BE952BF}">
            <xm:f>NOT(ISERROR(SEARCH("Hear",'TC26'!#REF!)))</xm:f>
            <x14:dxf>
              <font>
                <color theme="9" tint="-0.24994659260841701"/>
              </font>
              <fill>
                <patternFill>
                  <bgColor theme="9" tint="0.59996337778862885"/>
                </patternFill>
              </fill>
            </x14:dxf>
          </x14:cfRule>
          <xm:sqref>B39</xm:sqref>
        </x14:conditionalFormatting>
      </x14:conditionalFormattings>
    </ext>
  </extLst>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52"/>
  <dimension ref="A1:E48"/>
  <sheetViews>
    <sheetView zoomScaleNormal="100" workbookViewId="0">
      <selection sqref="A1:B1"/>
    </sheetView>
  </sheetViews>
  <sheetFormatPr defaultRowHeight="14.5" x14ac:dyDescent="0.35"/>
  <cols>
    <col min="1" max="1" width="14.453125" style="97" bestFit="1" customWidth="1"/>
    <col min="2" max="2" width="42.6328125" style="97" customWidth="1"/>
    <col min="3" max="3" width="106.1796875" style="98" customWidth="1"/>
    <col min="4" max="4" width="21.81640625" style="111" bestFit="1" customWidth="1"/>
    <col min="5" max="5" width="20.6328125" style="97" customWidth="1"/>
  </cols>
  <sheetData>
    <row r="1" spans="1:5" ht="18.5" x14ac:dyDescent="0.35">
      <c r="A1" s="192" t="s">
        <v>4</v>
      </c>
      <c r="B1" s="192"/>
      <c r="C1" s="105"/>
    </row>
    <row r="2" spans="1:5" x14ac:dyDescent="0.35">
      <c r="A2" s="106" t="s">
        <v>5</v>
      </c>
      <c r="B2" s="107" t="str">
        <f ca="1">MID(CELL("filename",A1),FIND("]",CELL("filename",A1))+1,LEN(CELL("filename",A1))-FIND("]",CELL("filename",A1)))</f>
        <v>TC50</v>
      </c>
    </row>
    <row r="3" spans="1:5" x14ac:dyDescent="0.35">
      <c r="A3" s="104" t="s">
        <v>19</v>
      </c>
      <c r="B3" s="112">
        <f ca="1">VLOOKUP(B2,Table53[#All],2,FALSE)</f>
        <v>0</v>
      </c>
    </row>
    <row r="4" spans="1:5" ht="29" x14ac:dyDescent="0.35">
      <c r="A4" s="113" t="s">
        <v>20</v>
      </c>
      <c r="B4" s="99" t="str">
        <f ca="1">VLOOKUP(B2,Table53[#All],4,FALSE)</f>
        <v>Recurring, No Declined, Last Pmt, Update Bank - Peg 2000 Confirm NO</v>
      </c>
    </row>
    <row r="5" spans="1:5" x14ac:dyDescent="0.35">
      <c r="A5" s="104" t="s">
        <v>6</v>
      </c>
      <c r="B5" s="93" t="str">
        <f ca="1">VLOOKUP(B2,Table53[#All],3,FALSE)</f>
        <v>Recurring - Confirm Bank Update NO</v>
      </c>
    </row>
    <row r="7" spans="1:5" ht="15.5" x14ac:dyDescent="0.35">
      <c r="A7" s="100" t="s">
        <v>7</v>
      </c>
      <c r="B7" s="101" t="s">
        <v>8</v>
      </c>
      <c r="C7" s="102" t="s">
        <v>9</v>
      </c>
      <c r="D7" s="102" t="s">
        <v>14</v>
      </c>
      <c r="E7" s="103" t="s">
        <v>10</v>
      </c>
    </row>
    <row r="8" spans="1:5" x14ac:dyDescent="0.35">
      <c r="A8" s="118">
        <v>1</v>
      </c>
      <c r="B8" s="114" t="s">
        <v>114</v>
      </c>
      <c r="C8" s="109" t="s">
        <v>125</v>
      </c>
      <c r="D8" s="128"/>
      <c r="E8" s="125" t="s">
        <v>11</v>
      </c>
    </row>
    <row r="9" spans="1:5" x14ac:dyDescent="0.35">
      <c r="A9" s="118">
        <v>2</v>
      </c>
      <c r="B9" s="114" t="s">
        <v>115</v>
      </c>
      <c r="C9" s="109" t="str">
        <f>VLOOKUP(Table25755252691013434446474849565758596315181719224566677172737476777879[[#This Row],[PEG]],Table1016[#All],2,FALSE)</f>
        <v>To get started, tell me your Account Number</v>
      </c>
      <c r="D9" s="141" t="s">
        <v>245</v>
      </c>
      <c r="E9" s="125" t="str">
        <f>VLOOKUP(Table25755252691013434446474849565758596315181719224566677172737476777879[[#This Row],[PEG]],Table1016[#All],3,FALSE)</f>
        <v>Prompt</v>
      </c>
    </row>
    <row r="10" spans="1:5" x14ac:dyDescent="0.35">
      <c r="A10" s="118">
        <v>3</v>
      </c>
      <c r="B10" s="114" t="s">
        <v>114</v>
      </c>
      <c r="C10" s="109" t="s">
        <v>412</v>
      </c>
      <c r="D10" s="128"/>
      <c r="E10" s="125" t="e">
        <f>VLOOKUP(Table25755252691013434446474849565758596315181719224566677172737476777879[[#This Row],[PEG]],Table1016[#All],3,FALSE)</f>
        <v>#N/A</v>
      </c>
    </row>
    <row r="11" spans="1:5" ht="174" x14ac:dyDescent="0.35">
      <c r="A11" s="118">
        <v>4</v>
      </c>
      <c r="B11" s="114" t="s">
        <v>12</v>
      </c>
      <c r="C11" s="109" t="str">
        <f>VLOOKUP(Table25755252691013434446474849565758596315181719224566677172737476777879[[#This Row],[PEG]],Table1016[#All],2,FALSE)</f>
        <v>SAP HANA – SAP01_GetMember
inputs:
idnumber = iIdnumber	T
idtype 	= iIdtype
outputs:
~ Billing Reference
~ Enrollment Details
~ Billing Details
~ Last Payment
~ Recurring Payment Method
~ Stored Payment Method</v>
      </c>
      <c r="D11" s="141" t="s">
        <v>371</v>
      </c>
      <c r="E11" s="125" t="str">
        <f>VLOOKUP(Table25755252691013434446474849565758596315181719224566677172737476777879[[#This Row],[PEG]],Table1016[#All],3,FALSE)</f>
        <v>DB</v>
      </c>
    </row>
    <row r="12" spans="1:5" x14ac:dyDescent="0.35">
      <c r="A12" s="118">
        <v>5</v>
      </c>
      <c r="B12" s="114" t="s">
        <v>115</v>
      </c>
      <c r="C12" s="109" t="str">
        <f>VLOOKUP(Table25755252691013434446474849565758596315181719224566677172737476777879[[#This Row],[PEG]],Table1016[#All],2,FALSE)</f>
        <v>Thanks, I found your account!</v>
      </c>
      <c r="D12" s="141" t="s">
        <v>248</v>
      </c>
      <c r="E12" s="125" t="str">
        <f>VLOOKUP(Table25755252691013434446474849565758596315181719224566677172737476777879[[#This Row],[PEG]],Table1016[#All],3,FALSE)</f>
        <v>Prompt</v>
      </c>
    </row>
    <row r="13" spans="1:5" ht="29" x14ac:dyDescent="0.35">
      <c r="A13" s="118">
        <v>6</v>
      </c>
      <c r="B13" s="114" t="s">
        <v>115</v>
      </c>
      <c r="C13" s="109" t="str">
        <f>VLOOKUP(Table25755252691013434446474849565758596315181719224566677172737476777879[[#This Row],[PEG]],Table1016[#All],2,FALSE)</f>
        <v>You are already setup for recurring payments in the amount of &lt;SAP01_CurrentDue&gt; to be deducted on the last day of each month.</v>
      </c>
      <c r="D13" s="141" t="s">
        <v>266</v>
      </c>
      <c r="E13" s="125" t="str">
        <f>VLOOKUP(Table25755252691013434446474849565758596315181719224566677172737476777879[[#This Row],[PEG]],Table1016[#All],3,FALSE)</f>
        <v>Prompt</v>
      </c>
    </row>
    <row r="14" spans="1:5" x14ac:dyDescent="0.35">
      <c r="A14" s="118">
        <v>7</v>
      </c>
      <c r="B14" s="114" t="s">
        <v>115</v>
      </c>
      <c r="C14" s="109" t="str">
        <f>VLOOKUP(Table25755252691013434446474849565758596315181719224566677172737476777879[[#This Row],[PEG]],Table1016[#All],2,FALSE)</f>
        <v>Your last payment was posted on &lt;SAP01_ivrLastPaymentDate&gt;.</v>
      </c>
      <c r="D14" s="141" t="s">
        <v>271</v>
      </c>
      <c r="E14" s="125" t="str">
        <f>VLOOKUP(Table25755252691013434446474849565758596315181719224566677172737476777879[[#This Row],[PEG]],Table1016[#All],3,FALSE)</f>
        <v>Prompt</v>
      </c>
    </row>
    <row r="15" spans="1:5" x14ac:dyDescent="0.35">
      <c r="A15" s="118">
        <v>8</v>
      </c>
      <c r="B15" s="114" t="s">
        <v>115</v>
      </c>
      <c r="C15" s="109" t="str">
        <f>VLOOKUP(Table25755252691013434446474849565758596315181719224566677172737476777879[[#This Row],[PEG]],Table1016[#All],2,FALSE)</f>
        <v>Do you need to update your payment information?</v>
      </c>
      <c r="D15" s="141" t="s">
        <v>272</v>
      </c>
      <c r="E15" s="125" t="str">
        <f>VLOOKUP(Table25755252691013434446474849565758596315181719224566677172737476777879[[#This Row],[PEG]],Table1016[#All],3,FALSE)</f>
        <v>Prompt</v>
      </c>
    </row>
    <row r="16" spans="1:5" x14ac:dyDescent="0.35">
      <c r="A16" s="118">
        <v>9</v>
      </c>
      <c r="B16" s="114" t="s">
        <v>114</v>
      </c>
      <c r="C16" s="109">
        <v>1</v>
      </c>
      <c r="D16" s="141"/>
      <c r="E16" s="125" t="e">
        <f>VLOOKUP(Table25755252691013434446474849565758596315181719224566677172737476777879[[#This Row],[PEG]],Table1016[#All],3,FALSE)</f>
        <v>#N/A</v>
      </c>
    </row>
    <row r="17" spans="1:5" x14ac:dyDescent="0.35">
      <c r="A17" s="118">
        <v>10</v>
      </c>
      <c r="B17" s="114" t="s">
        <v>115</v>
      </c>
      <c r="C17" s="109" t="str">
        <f>VLOOKUP(Table25755252691013434446474849565758596315181719224566677172737476777879[[#This Row],[PEG]],Table1016[#All],2,FALSE)</f>
        <v>Ok, are you using Credit, Debit, Checking or Savings?</v>
      </c>
      <c r="D17" s="141" t="s">
        <v>286</v>
      </c>
      <c r="E17" s="125" t="str">
        <f>VLOOKUP(Table25755252691013434446474849565758596315181719224566677172737476777879[[#This Row],[PEG]],Table1016[#All],3,FALSE)</f>
        <v>Prompt</v>
      </c>
    </row>
    <row r="18" spans="1:5" x14ac:dyDescent="0.35">
      <c r="A18" s="118">
        <v>11</v>
      </c>
      <c r="B18" s="114" t="s">
        <v>114</v>
      </c>
      <c r="C18" s="109">
        <v>4</v>
      </c>
      <c r="D18" s="141"/>
      <c r="E18" s="125" t="e">
        <f>VLOOKUP(Table25755252691013434446474849565758596315181719224566677172737476777879[[#This Row],[PEG]],Table1016[#All],3,FALSE)</f>
        <v>#N/A</v>
      </c>
    </row>
    <row r="19" spans="1:5" x14ac:dyDescent="0.35">
      <c r="A19" s="118">
        <v>12</v>
      </c>
      <c r="B19" s="114" t="s">
        <v>115</v>
      </c>
      <c r="C19" s="109" t="str">
        <f>VLOOKUP(Table25755252691013434446474849565758596315181719224566677172737476777879[[#This Row],[PEG]],Table1016[#All],2,FALSE)</f>
        <v>Tell me your 9-digit routing number.</v>
      </c>
      <c r="D19" s="141" t="s">
        <v>289</v>
      </c>
      <c r="E19" s="125" t="str">
        <f>VLOOKUP(Table25755252691013434446474849565758596315181719224566677172737476777879[[#This Row],[PEG]],Table1016[#All],3,FALSE)</f>
        <v>Prompt</v>
      </c>
    </row>
    <row r="20" spans="1:5" x14ac:dyDescent="0.35">
      <c r="A20" s="118">
        <v>13</v>
      </c>
      <c r="B20" s="114" t="s">
        <v>114</v>
      </c>
      <c r="C20" s="109" t="s">
        <v>501</v>
      </c>
      <c r="D20" s="141"/>
      <c r="E20" s="125" t="e">
        <f>VLOOKUP(Table25755252691013434446474849565758596315181719224566677172737476777879[[#This Row],[PEG]],Table1016[#All],3,FALSE)</f>
        <v>#N/A</v>
      </c>
    </row>
    <row r="21" spans="1:5" x14ac:dyDescent="0.35">
      <c r="A21" s="118">
        <v>14</v>
      </c>
      <c r="B21" s="114" t="s">
        <v>115</v>
      </c>
      <c r="C21" s="109" t="str">
        <f>VLOOKUP(Table25755252691013434446474849565758596315181719224566677172737476777879[[#This Row],[PEG]],Table1016[#All],2,FALSE)</f>
        <v>Is &lt;ivrBankKey&gt; the right number?</v>
      </c>
      <c r="D21" s="141" t="s">
        <v>292</v>
      </c>
      <c r="E21" s="125" t="str">
        <f>VLOOKUP(Table25755252691013434446474849565758596315181719224566677172737476777879[[#This Row],[PEG]],Table1016[#All],3,FALSE)</f>
        <v>Prompt</v>
      </c>
    </row>
    <row r="22" spans="1:5" x14ac:dyDescent="0.35">
      <c r="A22" s="118">
        <v>15</v>
      </c>
      <c r="B22" s="114" t="s">
        <v>115</v>
      </c>
      <c r="C22" s="109" t="str">
        <f>VLOOKUP(Table25755252691013434446474849565758596315181719224566677172737476777879[[#This Row],[PEG]],Table1016[#All],2,FALSE)</f>
        <v>Now what is your savings account number.</v>
      </c>
      <c r="D22" s="141" t="s">
        <v>296</v>
      </c>
      <c r="E22" s="125" t="str">
        <f>VLOOKUP(Table25755252691013434446474849565758596315181719224566677172737476777879[[#This Row],[PEG]],Table1016[#All],3,FALSE)</f>
        <v>Prompt</v>
      </c>
    </row>
    <row r="23" spans="1:5" x14ac:dyDescent="0.35">
      <c r="A23" s="118">
        <v>16</v>
      </c>
      <c r="B23" s="114" t="s">
        <v>114</v>
      </c>
      <c r="C23" s="109" t="s">
        <v>412</v>
      </c>
      <c r="D23" s="141"/>
      <c r="E23" s="125" t="e">
        <f>VLOOKUP(Table25755252691013434446474849565758596315181719224566677172737476777879[[#This Row],[PEG]],Table1016[#All],3,FALSE)</f>
        <v>#N/A</v>
      </c>
    </row>
    <row r="24" spans="1:5" x14ac:dyDescent="0.35">
      <c r="A24" s="118">
        <v>17</v>
      </c>
      <c r="B24" s="114" t="s">
        <v>115</v>
      </c>
      <c r="C24" s="109" t="str">
        <f>VLOOKUP(Table25755252691013434446474849565758596315181719224566677172737476777879[[#This Row],[PEG]],Table1016[#All],2,FALSE)</f>
        <v>Is &lt;ivrBankAcct&gt; the right number?</v>
      </c>
      <c r="D24" s="141" t="s">
        <v>301</v>
      </c>
      <c r="E24" s="125">
        <f>VLOOKUP(Table25755252691013434446474849565758596315181719224566677172737476777879[[#This Row],[PEG]],Table1016[#All],3,FALSE)</f>
        <v>0</v>
      </c>
    </row>
    <row r="25" spans="1:5" x14ac:dyDescent="0.35">
      <c r="A25" s="118">
        <v>18</v>
      </c>
      <c r="B25" s="114" t="s">
        <v>114</v>
      </c>
      <c r="C25" s="109">
        <v>1</v>
      </c>
      <c r="D25" s="141"/>
      <c r="E25" s="125" t="e">
        <f>VLOOKUP(Table25755252691013434446474849565758596315181719224566677172737476777879[[#This Row],[PEG]],Table1016[#All],3,FALSE)</f>
        <v>#N/A</v>
      </c>
    </row>
    <row r="26" spans="1:5" x14ac:dyDescent="0.35">
      <c r="A26" s="118">
        <v>19</v>
      </c>
      <c r="B26" s="114" t="s">
        <v>115</v>
      </c>
      <c r="C26" s="109" t="str">
        <f>VLOOKUP(Table25755252691013434446474849565758596315181719224566677172737476777879[[#This Row],[PEG]],Table1016[#All],2,FALSE)</f>
        <v>To confirm, you want to update your payment method using the account ending in &lt;last 4 digits of ivrBankAcct&gt; Is that right?</v>
      </c>
      <c r="D26" s="141" t="s">
        <v>313</v>
      </c>
      <c r="E26" s="125" t="str">
        <f>VLOOKUP(Table25755252691013434446474849565758596315181719224566677172737476777879[[#This Row],[PEG]],Table1016[#All],3,FALSE)</f>
        <v>Prompt</v>
      </c>
    </row>
    <row r="27" spans="1:5" x14ac:dyDescent="0.35">
      <c r="A27" s="118">
        <v>20</v>
      </c>
      <c r="B27" s="114" t="s">
        <v>114</v>
      </c>
      <c r="C27" s="109">
        <v>2</v>
      </c>
      <c r="D27" s="141"/>
      <c r="E27" s="125" t="e">
        <f>VLOOKUP(Table25755252691013434446474849565758596315181719224566677172737476777879[[#This Row],[PEG]],Table1016[#All],3,FALSE)</f>
        <v>#N/A</v>
      </c>
    </row>
    <row r="28" spans="1:5" x14ac:dyDescent="0.35">
      <c r="A28" s="118">
        <v>21</v>
      </c>
      <c r="B28" s="114" t="s">
        <v>115</v>
      </c>
      <c r="C28" s="109" t="str">
        <f>VLOOKUP(Table25755252691013434446474849565758596315181719224566677172737476777879[[#This Row],[PEG]],Table1016[#All],2,FALSE)</f>
        <v>Ok, your payment information will not be updated.</v>
      </c>
      <c r="D28" s="141" t="s">
        <v>317</v>
      </c>
      <c r="E28" s="125" t="str">
        <f>VLOOKUP(Table25755252691013434446474849565758596315181719224566677172737476777879[[#This Row],[PEG]],Table1016[#All],3,FALSE)</f>
        <v>Prompt</v>
      </c>
    </row>
    <row r="29" spans="1:5" ht="29" x14ac:dyDescent="0.35">
      <c r="A29" s="118">
        <v>22</v>
      </c>
      <c r="B29" s="114" t="s">
        <v>115</v>
      </c>
      <c r="C29" s="109" t="str">
        <f>VLOOKUP(Table25755252691013434446474849565758596315181719224566677172737476777879[[#This Row],[PEG]],Table1016[#All],2,FALSE)</f>
        <v>For future transactions you can also access your plan details, or manage your account online anytime at members.lacare.com.  Thank you for calling.</v>
      </c>
      <c r="D29" s="141" t="s">
        <v>362</v>
      </c>
      <c r="E29" s="125" t="str">
        <f>VLOOKUP(Table25755252691013434446474849565758596315181719224566677172737476777879[[#This Row],[PEG]],Table1016[#All],3,FALSE)</f>
        <v>Prompt</v>
      </c>
    </row>
    <row r="30" spans="1:5" x14ac:dyDescent="0.35">
      <c r="A30" s="118">
        <v>23</v>
      </c>
      <c r="B30" s="114" t="s">
        <v>13</v>
      </c>
      <c r="C30" s="109" t="s">
        <v>13</v>
      </c>
      <c r="D30" s="141"/>
      <c r="E30" s="125" t="e">
        <f>VLOOKUP(Table25755252691013434446474849565758596315181719224566677172737476777879[[#This Row],[PEG]],Table1016[#All],3,FALSE)</f>
        <v>#N/A</v>
      </c>
    </row>
    <row r="31" spans="1:5" x14ac:dyDescent="0.35">
      <c r="C31" s="26"/>
      <c r="D31" s="111" t="s">
        <v>0</v>
      </c>
    </row>
    <row r="32" spans="1:5" x14ac:dyDescent="0.35">
      <c r="C32" s="26"/>
    </row>
    <row r="33" spans="3:3" x14ac:dyDescent="0.35">
      <c r="C33" s="26"/>
    </row>
    <row r="34" spans="3:3" x14ac:dyDescent="0.35">
      <c r="C34" s="26"/>
    </row>
    <row r="35" spans="3:3" x14ac:dyDescent="0.35">
      <c r="C35" s="26"/>
    </row>
    <row r="36" spans="3:3" x14ac:dyDescent="0.35">
      <c r="C36" s="26"/>
    </row>
    <row r="37" spans="3:3" x14ac:dyDescent="0.35">
      <c r="C37" s="26"/>
    </row>
    <row r="38" spans="3:3" x14ac:dyDescent="0.35">
      <c r="C38" s="26"/>
    </row>
    <row r="39" spans="3:3" x14ac:dyDescent="0.35">
      <c r="C39" s="26"/>
    </row>
    <row r="40" spans="3:3" x14ac:dyDescent="0.35">
      <c r="C40" s="26"/>
    </row>
    <row r="41" spans="3:3" x14ac:dyDescent="0.35">
      <c r="C41" s="26"/>
    </row>
    <row r="42" spans="3:3" x14ac:dyDescent="0.35">
      <c r="C42" s="26"/>
    </row>
    <row r="43" spans="3:3" x14ac:dyDescent="0.35">
      <c r="C43" s="26"/>
    </row>
    <row r="44" spans="3:3" x14ac:dyDescent="0.35">
      <c r="C44" s="26"/>
    </row>
    <row r="45" spans="3:3" x14ac:dyDescent="0.35">
      <c r="C45" s="26"/>
    </row>
    <row r="46" spans="3:3" x14ac:dyDescent="0.35">
      <c r="C46" s="27"/>
    </row>
    <row r="47" spans="3:3" x14ac:dyDescent="0.35">
      <c r="C47" s="27"/>
    </row>
    <row r="48" spans="3:3" x14ac:dyDescent="0.35">
      <c r="C48" s="27"/>
    </row>
  </sheetData>
  <mergeCells count="1">
    <mergeCell ref="A1:B1"/>
  </mergeCells>
  <conditionalFormatting sqref="C10:C9987">
    <cfRule type="expression" dxfId="4563" priority="16">
      <formula>$B10="Dial"</formula>
    </cfRule>
    <cfRule type="expression" dxfId="4562" priority="18">
      <formula>$B10="HANGUP"</formula>
    </cfRule>
  </conditionalFormatting>
  <conditionalFormatting sqref="B8:B18">
    <cfRule type="containsText" dxfId="4561" priority="4" operator="containsText" text="Hear">
      <formula>NOT(ISERROR(SEARCH("Hear",B8)))</formula>
    </cfRule>
  </conditionalFormatting>
  <conditionalFormatting sqref="B19:B29">
    <cfRule type="containsText" dxfId="4560" priority="13" operator="containsText" text="Hear">
      <formula>NOT(ISERROR(SEARCH("Hear",B19)))</formula>
    </cfRule>
  </conditionalFormatting>
  <conditionalFormatting sqref="C10:C30">
    <cfRule type="expression" dxfId="4559" priority="12">
      <formula>$B10="Speak"</formula>
    </cfRule>
  </conditionalFormatting>
  <conditionalFormatting sqref="B30">
    <cfRule type="containsText" dxfId="4558" priority="9" operator="containsText" text="Hear">
      <formula>NOT(ISERROR(SEARCH("Hear",B30)))</formula>
    </cfRule>
  </conditionalFormatting>
  <hyperlinks>
    <hyperlink ref="A1" location="'Test Case Overview'!A1" display="Return to Test Case Overview" xr:uid="{8380BBAF-B4AC-49CA-8CB0-79845A6C1890}"/>
  </hyperlinks>
  <pageMargins left="0.7" right="0.7" top="0.75" bottom="0.75" header="0.3" footer="0.3"/>
  <pageSetup orientation="portrait" verticalDpi="0" r:id="rId1"/>
  <tableParts count="1">
    <tablePart r:id="rId2"/>
  </tableParts>
  <extLst>
    <ext xmlns:x14="http://schemas.microsoft.com/office/spreadsheetml/2009/9/main" uri="{78C0D931-6437-407d-A8EE-F0AAD7539E65}">
      <x14:conditionalFormattings>
        <x14:conditionalFormatting xmlns:xm="http://schemas.microsoft.com/office/excel/2006/main">
          <x14:cfRule type="expression" priority="26" id="{83D1142B-8EC3-4A85-B80D-0F87EEDD1D34}">
            <xm:f>'TC1'!$B8="HANGUP"</xm:f>
            <x14:dxf>
              <font>
                <b/>
                <i val="0"/>
              </font>
            </x14:dxf>
          </x14:cfRule>
          <x14:cfRule type="expression" priority="34" id="{6F599313-0B7B-4641-8415-3BDCB52D6BEA}">
            <xm:f>'TC1'!$B8="Dial"</xm:f>
            <x14:dxf>
              <font>
                <b/>
                <i val="0"/>
                <color rgb="FFFF0000"/>
              </font>
            </x14:dxf>
          </x14:cfRule>
          <xm:sqref>C8</xm:sqref>
        </x14:conditionalFormatting>
        <x14:conditionalFormatting xmlns:xm="http://schemas.microsoft.com/office/excel/2006/main">
          <x14:cfRule type="expression" priority="35" id="{F703B4B6-DF90-4C2F-A1D9-5512261F2B49}">
            <xm:f>'TC1'!$B8="Speak"</xm:f>
            <x14:dxf>
              <font>
                <b/>
                <i val="0"/>
                <color rgb="FFFF0000"/>
              </font>
            </x14:dxf>
          </x14:cfRule>
          <xm:sqref>C8</xm:sqref>
        </x14:conditionalFormatting>
        <x14:conditionalFormatting xmlns:xm="http://schemas.microsoft.com/office/excel/2006/main">
          <x14:cfRule type="containsText" priority="1280" operator="containsText" text="DB" id="{8CC2B6DE-8A88-4D85-840D-55ED3DAD6F3B}">
            <xm:f>NOT(ISERROR(SEARCH("DB",'TC1'!#REF!)))</xm:f>
            <x14:dxf>
              <font>
                <color rgb="FF006100"/>
              </font>
              <fill>
                <patternFill>
                  <bgColor rgb="FFC6EFCE"/>
                </patternFill>
              </fill>
            </x14:dxf>
          </x14:cfRule>
          <x14:cfRule type="containsText" priority="1281" operator="containsText" text="WEB SERVICE" id="{2FC7E834-A9FA-4AA1-B581-66B2E4A9A4AE}">
            <xm:f>NOT(ISERROR(SEARCH("WEB SERVICE",'TC1'!#REF!)))</xm:f>
            <x14:dxf>
              <font>
                <color rgb="FF9C0006"/>
              </font>
              <fill>
                <patternFill>
                  <bgColor rgb="FFFFC7CE"/>
                </patternFill>
              </fill>
            </x14:dxf>
          </x14:cfRule>
          <xm:sqref>E17:E30</xm:sqref>
        </x14:conditionalFormatting>
        <x14:conditionalFormatting xmlns:xm="http://schemas.microsoft.com/office/excel/2006/main">
          <x14:cfRule type="expression" priority="4080" id="{83D1142B-8EC3-4A85-B80D-0F87EEDD1D34}">
            <xm:f>'TC1'!#REF!="HANGUP"</xm:f>
            <x14:dxf>
              <font>
                <b/>
                <i val="0"/>
              </font>
            </x14:dxf>
          </x14:cfRule>
          <x14:cfRule type="expression" priority="4081" id="{6F599313-0B7B-4641-8415-3BDCB52D6BEA}">
            <xm:f>'TC1'!#REF!="Dial"</xm:f>
            <x14:dxf>
              <font>
                <b/>
                <i val="0"/>
                <color rgb="FFFF0000"/>
              </font>
            </x14:dxf>
          </x14:cfRule>
          <xm:sqref>C9</xm:sqref>
        </x14:conditionalFormatting>
        <x14:conditionalFormatting xmlns:xm="http://schemas.microsoft.com/office/excel/2006/main">
          <x14:cfRule type="expression" priority="4086" id="{F703B4B6-DF90-4C2F-A1D9-5512261F2B49}">
            <xm:f>'TC1'!#REF!="Speak"</xm:f>
            <x14:dxf>
              <font>
                <b/>
                <i val="0"/>
                <color rgb="FFFF0000"/>
              </font>
            </x14:dxf>
          </x14:cfRule>
          <xm:sqref>C9</xm:sqref>
        </x14:conditionalFormatting>
        <x14:conditionalFormatting xmlns:xm="http://schemas.microsoft.com/office/excel/2006/main">
          <x14:cfRule type="containsText" priority="4088" operator="containsText" text="DB" id="{8CC2B6DE-8A88-4D85-840D-55ED3DAD6F3B}">
            <xm:f>NOT(ISERROR(SEARCH("DB",'TC1'!#REF!)))</xm:f>
            <x14:dxf>
              <font>
                <color rgb="FF006100"/>
              </font>
              <fill>
                <patternFill>
                  <bgColor rgb="FFC6EFCE"/>
                </patternFill>
              </fill>
            </x14:dxf>
          </x14:cfRule>
          <x14:cfRule type="containsText" priority="4089" operator="containsText" text="WEB SERVICE" id="{2FC7E834-A9FA-4AA1-B581-66B2E4A9A4AE}">
            <xm:f>NOT(ISERROR(SEARCH("WEB SERVICE",'TC1'!#REF!)))</xm:f>
            <x14:dxf>
              <font>
                <color rgb="FF9C0006"/>
              </font>
              <fill>
                <patternFill>
                  <bgColor rgb="FFFFC7CE"/>
                </patternFill>
              </fill>
            </x14:dxf>
          </x14:cfRule>
          <xm:sqref>E9:E11</xm:sqref>
        </x14:conditionalFormatting>
        <x14:conditionalFormatting xmlns:xm="http://schemas.microsoft.com/office/excel/2006/main">
          <x14:cfRule type="containsText" priority="4090" operator="containsText" text="DB" id="{8CC2B6DE-8A88-4D85-840D-55ED3DAD6F3B}">
            <xm:f>NOT(ISERROR(SEARCH("DB",'TC1'!E9)))</xm:f>
            <x14:dxf>
              <font>
                <color rgb="FF006100"/>
              </font>
              <fill>
                <patternFill>
                  <bgColor rgb="FFC6EFCE"/>
                </patternFill>
              </fill>
            </x14:dxf>
          </x14:cfRule>
          <x14:cfRule type="containsText" priority="4091" operator="containsText" text="WEB SERVICE" id="{2FC7E834-A9FA-4AA1-B581-66B2E4A9A4AE}">
            <xm:f>NOT(ISERROR(SEARCH("WEB SERVICE",'TC1'!E9)))</xm:f>
            <x14:dxf>
              <font>
                <color rgb="FF9C0006"/>
              </font>
              <fill>
                <patternFill>
                  <bgColor rgb="FFFFC7CE"/>
                </patternFill>
              </fill>
            </x14:dxf>
          </x14:cfRule>
          <xm:sqref>E12:E15</xm:sqref>
        </x14:conditionalFormatting>
        <x14:conditionalFormatting xmlns:xm="http://schemas.microsoft.com/office/excel/2006/main">
          <x14:cfRule type="containsText" priority="6584" operator="containsText" text="DB" id="{8CC2B6DE-8A88-4D85-840D-55ED3DAD6F3B}">
            <xm:f>NOT(ISERROR(SEARCH("DB",'TC1'!E15)))</xm:f>
            <x14:dxf>
              <font>
                <color rgb="FF006100"/>
              </font>
              <fill>
                <patternFill>
                  <bgColor rgb="FFC6EFCE"/>
                </patternFill>
              </fill>
            </x14:dxf>
          </x14:cfRule>
          <x14:cfRule type="containsText" priority="6585" operator="containsText" text="WEB SERVICE" id="{2FC7E834-A9FA-4AA1-B581-66B2E4A9A4AE}">
            <xm:f>NOT(ISERROR(SEARCH("WEB SERVICE",'TC1'!E15)))</xm:f>
            <x14:dxf>
              <font>
                <color rgb="FF9C0006"/>
              </font>
              <fill>
                <patternFill>
                  <bgColor rgb="FFFFC7CE"/>
                </patternFill>
              </fill>
            </x14:dxf>
          </x14:cfRule>
          <xm:sqref>E16</xm:sqref>
        </x14:conditionalFormatting>
      </x14:conditionalFormattings>
    </ext>
  </extLst>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53"/>
  <dimension ref="A1:E55"/>
  <sheetViews>
    <sheetView zoomScaleNormal="100" workbookViewId="0">
      <selection activeCell="C10" sqref="C10"/>
    </sheetView>
  </sheetViews>
  <sheetFormatPr defaultRowHeight="14.5" x14ac:dyDescent="0.35"/>
  <cols>
    <col min="1" max="1" width="14.453125" style="97" bestFit="1" customWidth="1"/>
    <col min="2" max="2" width="42.6328125" style="97" customWidth="1"/>
    <col min="3" max="3" width="106.1796875" style="98" customWidth="1"/>
    <col min="4" max="4" width="21.81640625" style="111" bestFit="1" customWidth="1"/>
    <col min="5" max="5" width="20.6328125" style="97" customWidth="1"/>
  </cols>
  <sheetData>
    <row r="1" spans="1:5" ht="18.5" x14ac:dyDescent="0.35">
      <c r="A1" s="192" t="s">
        <v>4</v>
      </c>
      <c r="B1" s="192"/>
      <c r="C1" s="105"/>
    </row>
    <row r="2" spans="1:5" x14ac:dyDescent="0.35">
      <c r="A2" s="106" t="s">
        <v>5</v>
      </c>
      <c r="B2" s="107" t="str">
        <f ca="1">MID(CELL("filename",A1),FIND("]",CELL("filename",A1))+1,LEN(CELL("filename",A1))-FIND("]",CELL("filename",A1)))</f>
        <v>TC51</v>
      </c>
    </row>
    <row r="3" spans="1:5" x14ac:dyDescent="0.35">
      <c r="A3" s="104" t="s">
        <v>19</v>
      </c>
      <c r="B3" s="112">
        <f ca="1">VLOOKUP(B2,Table53[#All],2,FALSE)</f>
        <v>0</v>
      </c>
    </row>
    <row r="4" spans="1:5" ht="29" x14ac:dyDescent="0.35">
      <c r="A4" s="113" t="s">
        <v>20</v>
      </c>
      <c r="B4" s="99" t="str">
        <f ca="1">VLOOKUP(B2,Table53[#All],4,FALSE)</f>
        <v>No Recurring, Current Due, No Stored Mthd</v>
      </c>
    </row>
    <row r="5" spans="1:5" x14ac:dyDescent="0.35">
      <c r="A5" s="104" t="s">
        <v>6</v>
      </c>
      <c r="B5" s="93" t="str">
        <f ca="1">VLOOKUP(B2,Table53[#All],3,FALSE)</f>
        <v>Get Card - Verify Card Nbr No Match x3
       Exp Date No Input x3</v>
      </c>
    </row>
    <row r="7" spans="1:5" ht="15.5" x14ac:dyDescent="0.35">
      <c r="A7" s="100" t="s">
        <v>7</v>
      </c>
      <c r="B7" s="101" t="s">
        <v>8</v>
      </c>
      <c r="C7" s="102" t="s">
        <v>9</v>
      </c>
      <c r="D7" s="102" t="s">
        <v>14</v>
      </c>
      <c r="E7" s="103" t="s">
        <v>10</v>
      </c>
    </row>
    <row r="8" spans="1:5" x14ac:dyDescent="0.35">
      <c r="A8" s="118">
        <v>1</v>
      </c>
      <c r="B8" s="114" t="s">
        <v>114</v>
      </c>
      <c r="C8" s="109" t="s">
        <v>125</v>
      </c>
      <c r="D8" s="128"/>
      <c r="E8" s="125" t="s">
        <v>11</v>
      </c>
    </row>
    <row r="9" spans="1:5" x14ac:dyDescent="0.35">
      <c r="A9" s="118">
        <v>2</v>
      </c>
      <c r="B9" s="114" t="s">
        <v>115</v>
      </c>
      <c r="C9" s="109" t="str">
        <f>VLOOKUP(Table2575525269101343444647484956575859631518171922456667717273747677787993[[#This Row],[PEG]],Table1016[#All],2,FALSE)</f>
        <v>To get started, tell me your Account Number</v>
      </c>
      <c r="D9" s="141" t="s">
        <v>245</v>
      </c>
      <c r="E9" s="125" t="str">
        <f>VLOOKUP(Table2575525269101343444647484956575859631518171922456667717273747677787993[[#This Row],[PEG]],Table1016[#All],3,FALSE)</f>
        <v>Prompt</v>
      </c>
    </row>
    <row r="10" spans="1:5" x14ac:dyDescent="0.35">
      <c r="A10" s="118">
        <v>3</v>
      </c>
      <c r="B10" s="114" t="s">
        <v>114</v>
      </c>
      <c r="C10" s="109" t="s">
        <v>412</v>
      </c>
      <c r="D10" s="141"/>
      <c r="E10" s="125" t="e">
        <f>VLOOKUP(Table2575525269101343444647484956575859631518171922456667717273747677787993[[#This Row],[PEG]],Table1016[#All],3,FALSE)</f>
        <v>#N/A</v>
      </c>
    </row>
    <row r="11" spans="1:5" ht="174" x14ac:dyDescent="0.35">
      <c r="A11" s="118">
        <v>4</v>
      </c>
      <c r="B11" s="114" t="s">
        <v>12</v>
      </c>
      <c r="C11" s="109" t="str">
        <f>VLOOKUP(Table2575525269101343444647484956575859631518171922456667717273747677787993[[#This Row],[PEG]],Table1016[#All],2,FALSE)</f>
        <v>SAP HANA – SAP01_GetMember
inputs:
idnumber = iIdnumber	T
idtype 	= iIdtype
outputs:
~ Billing Reference
~ Enrollment Details
~ Billing Details
~ Last Payment
~ Recurring Payment Method
~ Stored Payment Method</v>
      </c>
      <c r="D11" s="141" t="s">
        <v>371</v>
      </c>
      <c r="E11" s="125" t="str">
        <f>VLOOKUP(Table2575525269101343444647484956575859631518171922456667717273747677787993[[#This Row],[PEG]],Table1016[#All],3,FALSE)</f>
        <v>DB</v>
      </c>
    </row>
    <row r="12" spans="1:5" x14ac:dyDescent="0.35">
      <c r="A12" s="118">
        <v>5</v>
      </c>
      <c r="B12" s="114" t="s">
        <v>115</v>
      </c>
      <c r="C12" s="109" t="str">
        <f>VLOOKUP(Table2575525269101343444647484956575859631518171922456667717273747677787993[[#This Row],[PEG]],Table1016[#All],2,FALSE)</f>
        <v>Thanks, I found your account!</v>
      </c>
      <c r="D12" s="141" t="s">
        <v>248</v>
      </c>
      <c r="E12" s="125" t="str">
        <f>VLOOKUP(Table2575525269101343444647484956575859631518171922456667717273747677787993[[#This Row],[PEG]],Table1016[#All],3,FALSE)</f>
        <v>Prompt</v>
      </c>
    </row>
    <row r="13" spans="1:5" x14ac:dyDescent="0.35">
      <c r="A13" s="118">
        <v>6</v>
      </c>
      <c r="B13" s="114" t="s">
        <v>115</v>
      </c>
      <c r="C13" s="109" t="str">
        <f>VLOOKUP(Table2575525269101343444647484956575859631518171922456667717273747677787993[[#This Row],[PEG]],Table1016[#All],2,FALSE)</f>
        <v>A current balance of &lt;SAP01_CurrentDue&gt; is due by &lt;SAP01_Duedate&gt;.</v>
      </c>
      <c r="D13" s="141" t="s">
        <v>258</v>
      </c>
      <c r="E13" s="125" t="str">
        <f>VLOOKUP(Table2575525269101343444647484956575859631518171922456667717273747677787993[[#This Row],[PEG]],Table1016[#All],3,FALSE)</f>
        <v>Prompt</v>
      </c>
    </row>
    <row r="14" spans="1:5" x14ac:dyDescent="0.35">
      <c r="A14" s="118">
        <v>7</v>
      </c>
      <c r="B14" s="114" t="s">
        <v>115</v>
      </c>
      <c r="C14" s="109" t="str">
        <f>VLOOKUP(Table2575525269101343444647484956575859631518171922456667717273747677787993[[#This Row],[PEG]],Table1016[#All],2,FALSE)</f>
        <v>Would you like to pay this in full today?</v>
      </c>
      <c r="D14" s="141" t="s">
        <v>260</v>
      </c>
      <c r="E14" s="125" t="str">
        <f>VLOOKUP(Table2575525269101343444647484956575859631518171922456667717273747677787993[[#This Row],[PEG]],Table1016[#All],3,FALSE)</f>
        <v>Prompt</v>
      </c>
    </row>
    <row r="15" spans="1:5" x14ac:dyDescent="0.35">
      <c r="A15" s="118">
        <v>8</v>
      </c>
      <c r="B15" s="114" t="s">
        <v>114</v>
      </c>
      <c r="C15" s="109">
        <v>1</v>
      </c>
      <c r="D15" s="164"/>
      <c r="E15" s="125" t="e">
        <f>VLOOKUP(Table2575525269101343444647484956575859631518171922456667717273747677787993[[#This Row],[PEG]],Table1016[#All],3,FALSE)</f>
        <v>#N/A</v>
      </c>
    </row>
    <row r="16" spans="1:5" x14ac:dyDescent="0.35">
      <c r="A16" s="118">
        <v>9</v>
      </c>
      <c r="B16" s="114" t="s">
        <v>115</v>
      </c>
      <c r="C16" s="109" t="str">
        <f>VLOOKUP(Table2575525269101343444647484956575859631518171922456667717273747677787993[[#This Row],[PEG]],Table1016[#All],2,FALSE)</f>
        <v>Ok, are you using Credit, Debit, Checking or Savings?</v>
      </c>
      <c r="D16" s="164" t="s">
        <v>286</v>
      </c>
      <c r="E16" s="125" t="str">
        <f>VLOOKUP(Table2575525269101343444647484956575859631518171922456667717273747677787993[[#This Row],[PEG]],Table1016[#All],3,FALSE)</f>
        <v>Prompt</v>
      </c>
    </row>
    <row r="17" spans="1:5" x14ac:dyDescent="0.35">
      <c r="A17" s="118">
        <v>10</v>
      </c>
      <c r="B17" s="114" t="s">
        <v>114</v>
      </c>
      <c r="C17" s="109">
        <v>2</v>
      </c>
      <c r="D17" s="117"/>
      <c r="E17" s="125" t="e">
        <f>VLOOKUP(Table2575525269101343444647484956575859631518171922456667717273747677787993[[#This Row],[PEG]],Table1016[#All],3,FALSE)</f>
        <v>#N/A</v>
      </c>
    </row>
    <row r="18" spans="1:5" x14ac:dyDescent="0.35">
      <c r="A18" s="118">
        <v>11</v>
      </c>
      <c r="B18" s="114" t="s">
        <v>115</v>
      </c>
      <c r="C18" s="109" t="str">
        <f>VLOOKUP(Table2575525269101343444647484956575859631518171922456667717273747677787993[[#This Row],[PEG]],Table1016[#All],2,FALSE)</f>
        <v>Tell me the card number you wish to use.</v>
      </c>
      <c r="D18" s="117" t="s">
        <v>318</v>
      </c>
      <c r="E18" s="125" t="str">
        <f>VLOOKUP(Table2575525269101343444647484956575859631518171922456667717273747677787993[[#This Row],[PEG]],Table1016[#All],3,FALSE)</f>
        <v>Prompt</v>
      </c>
    </row>
    <row r="19" spans="1:5" x14ac:dyDescent="0.35">
      <c r="A19" s="118">
        <v>12</v>
      </c>
      <c r="B19" s="114" t="s">
        <v>114</v>
      </c>
      <c r="C19" s="109" t="s">
        <v>557</v>
      </c>
      <c r="D19" s="117"/>
      <c r="E19" s="125" t="e">
        <f>VLOOKUP(Table2575525269101343444647484956575859631518171922456667717273747677787993[[#This Row],[PEG]],Table1016[#All],3,FALSE)</f>
        <v>#N/A</v>
      </c>
    </row>
    <row r="20" spans="1:5" x14ac:dyDescent="0.35">
      <c r="A20" s="118">
        <v>13</v>
      </c>
      <c r="B20" s="114" t="s">
        <v>115</v>
      </c>
      <c r="C20" s="109" t="str">
        <f>VLOOKUP(Table2575525269101343444647484956575859631518171922456667717273747677787993[[#This Row],[PEG]],Table1016[#All],2,FALSE)</f>
        <v>Is &lt;ivrCardNbr&gt; the right number?</v>
      </c>
      <c r="D20" s="117" t="s">
        <v>320</v>
      </c>
      <c r="E20" s="125">
        <f>VLOOKUP(Table2575525269101343444647484956575859631518171922456667717273747677787993[[#This Row],[PEG]],Table1016[#All],3,FALSE)</f>
        <v>0</v>
      </c>
    </row>
    <row r="21" spans="1:5" x14ac:dyDescent="0.35">
      <c r="A21" s="118">
        <v>14</v>
      </c>
      <c r="B21" s="114" t="s">
        <v>114</v>
      </c>
      <c r="C21" s="109">
        <v>3</v>
      </c>
      <c r="D21" s="117"/>
      <c r="E21" s="125" t="e">
        <f>VLOOKUP(Table2575525269101343444647484956575859631518171922456667717273747677787993[[#This Row],[PEG]],Table1016[#All],3,FALSE)</f>
        <v>#N/A</v>
      </c>
    </row>
    <row r="22" spans="1:5" x14ac:dyDescent="0.35">
      <c r="A22" s="118">
        <v>15</v>
      </c>
      <c r="B22" s="114" t="s">
        <v>115</v>
      </c>
      <c r="C22" s="109" t="str">
        <f>VLOOKUP(Table2575525269101343444647484956575859631518171922456667717273747677787993[[#This Row],[PEG]],Table1016[#All],2,FALSE)</f>
        <v>Sorry, I didn’t understand.</v>
      </c>
      <c r="D22" s="117" t="s">
        <v>367</v>
      </c>
      <c r="E22" s="125" t="str">
        <f>VLOOKUP(Table2575525269101343444647484956575859631518171922456667717273747677787993[[#This Row],[PEG]],Table1016[#All],3,FALSE)</f>
        <v>Prompt</v>
      </c>
    </row>
    <row r="23" spans="1:5" x14ac:dyDescent="0.35">
      <c r="A23" s="118">
        <v>16</v>
      </c>
      <c r="B23" s="114" t="s">
        <v>115</v>
      </c>
      <c r="C23" s="109" t="str">
        <f>VLOOKUP(Table2575525269101343444647484956575859631518171922456667717273747677787993[[#This Row],[PEG]],Table1016[#All],2,FALSE)</f>
        <v>Is that the right card number?  Just say yes or no.</v>
      </c>
      <c r="D23" s="117" t="s">
        <v>321</v>
      </c>
      <c r="E23" s="125" t="str">
        <f>VLOOKUP(Table2575525269101343444647484956575859631518171922456667717273747677787993[[#This Row],[PEG]],Table1016[#All],3,FALSE)</f>
        <v>Prompt</v>
      </c>
    </row>
    <row r="24" spans="1:5" x14ac:dyDescent="0.35">
      <c r="A24" s="118">
        <v>17</v>
      </c>
      <c r="B24" s="114" t="s">
        <v>114</v>
      </c>
      <c r="C24" s="109">
        <v>3</v>
      </c>
      <c r="D24" s="117"/>
      <c r="E24" s="125" t="e">
        <f>VLOOKUP(Table2575525269101343444647484956575859631518171922456667717273747677787993[[#This Row],[PEG]],Table1016[#All],3,FALSE)</f>
        <v>#N/A</v>
      </c>
    </row>
    <row r="25" spans="1:5" x14ac:dyDescent="0.35">
      <c r="A25" s="118">
        <v>18</v>
      </c>
      <c r="B25" s="114" t="s">
        <v>115</v>
      </c>
      <c r="C25" s="109" t="str">
        <f>VLOOKUP(Table2575525269101343444647484956575859631518171922456667717273747677787993[[#This Row],[PEG]],Table1016[#All],2,FALSE)</f>
        <v>Let’s try that one more time.</v>
      </c>
      <c r="D25" s="117" t="s">
        <v>368</v>
      </c>
      <c r="E25" s="125" t="str">
        <f>VLOOKUP(Table2575525269101343444647484956575859631518171922456667717273747677787993[[#This Row],[PEG]],Table1016[#All],3,FALSE)</f>
        <v>Prompt</v>
      </c>
    </row>
    <row r="26" spans="1:5" x14ac:dyDescent="0.35">
      <c r="A26" s="118">
        <v>19</v>
      </c>
      <c r="B26" s="114" t="s">
        <v>115</v>
      </c>
      <c r="C26" s="109" t="str">
        <f>VLOOKUP(Table2575525269101343444647484956575859631518171922456667717273747677787993[[#This Row],[PEG]],Table1016[#All],2,FALSE)</f>
        <v>If the card number is correct, say yes or press 1.  If not correct, say no or press2.</v>
      </c>
      <c r="D26" s="117" t="s">
        <v>322</v>
      </c>
      <c r="E26" s="125" t="str">
        <f>VLOOKUP(Table2575525269101343444647484956575859631518171922456667717273747677787993[[#This Row],[PEG]],Table1016[#All],3,FALSE)</f>
        <v>Prompt</v>
      </c>
    </row>
    <row r="27" spans="1:5" x14ac:dyDescent="0.35">
      <c r="A27" s="118">
        <v>20</v>
      </c>
      <c r="B27" s="114" t="s">
        <v>114</v>
      </c>
      <c r="C27" s="109">
        <v>1</v>
      </c>
      <c r="D27" s="117"/>
      <c r="E27" s="125" t="e">
        <f>VLOOKUP(Table2575525269101343444647484956575859631518171922456667717273747677787993[[#This Row],[PEG]],Table1016[#All],3,FALSE)</f>
        <v>#N/A</v>
      </c>
    </row>
    <row r="28" spans="1:5" ht="29" x14ac:dyDescent="0.35">
      <c r="A28" s="118">
        <v>21</v>
      </c>
      <c r="B28" s="114" t="s">
        <v>115</v>
      </c>
      <c r="C28" s="109" t="str">
        <f>VLOOKUP(Table2575525269101343444647484956575859631518171922456667717273747677787993[[#This Row],[PEG]],Table1016[#All],2,FALSE)</f>
        <v>Now, what is the expiration date?  Just say it like this, March &lt;Current Year +3&gt; 
Now go ahead.</v>
      </c>
      <c r="D28" s="117" t="s">
        <v>323</v>
      </c>
      <c r="E28" s="125" t="str">
        <f>VLOOKUP(Table2575525269101343444647484956575859631518171922456667717273747677787993[[#This Row],[PEG]],Table1016[#All],3,FALSE)</f>
        <v>Prompt</v>
      </c>
    </row>
    <row r="29" spans="1:5" s="97" customFormat="1" x14ac:dyDescent="0.35">
      <c r="A29" s="118">
        <v>22</v>
      </c>
      <c r="B29" s="114" t="s">
        <v>114</v>
      </c>
      <c r="C29" s="109" t="s">
        <v>478</v>
      </c>
      <c r="D29" s="117"/>
      <c r="E29" s="125"/>
    </row>
    <row r="30" spans="1:5" s="97" customFormat="1" x14ac:dyDescent="0.35">
      <c r="A30" s="118">
        <v>23</v>
      </c>
      <c r="B30" s="114" t="s">
        <v>115</v>
      </c>
      <c r="C30" s="109" t="str">
        <f>VLOOKUP(Table2575525269101343444647484956575859631518171922456667717273747677787993[[#This Row],[PEG]],Table1016[#All],2,FALSE)</f>
        <v>I didn’t get that.</v>
      </c>
      <c r="D30" s="117" t="s">
        <v>365</v>
      </c>
      <c r="E30" s="125"/>
    </row>
    <row r="31" spans="1:5" s="97" customFormat="1" ht="29" x14ac:dyDescent="0.35">
      <c r="A31" s="118">
        <v>24</v>
      </c>
      <c r="B31" s="114" t="s">
        <v>115</v>
      </c>
      <c r="C31" s="109" t="str">
        <f>VLOOKUP(Table2575525269101343444647484956575859631518171922456667717273747677787993[[#This Row],[PEG]],Table1016[#All],2,FALSE)</f>
        <v>Just tell me the expiration date.  Say it like this, March &lt;Current Year +3&gt; 
Now go ahead.</v>
      </c>
      <c r="D31" s="117" t="s">
        <v>324</v>
      </c>
      <c r="E31" s="125"/>
    </row>
    <row r="32" spans="1:5" s="97" customFormat="1" x14ac:dyDescent="0.35">
      <c r="A32" s="118">
        <v>25</v>
      </c>
      <c r="B32" s="114" t="s">
        <v>114</v>
      </c>
      <c r="C32" s="109" t="s">
        <v>478</v>
      </c>
      <c r="D32" s="117"/>
      <c r="E32" s="125"/>
    </row>
    <row r="33" spans="1:5" s="97" customFormat="1" x14ac:dyDescent="0.35">
      <c r="A33" s="118">
        <v>26</v>
      </c>
      <c r="B33" s="114" t="s">
        <v>115</v>
      </c>
      <c r="C33" s="109" t="str">
        <f>VLOOKUP(Table2575525269101343444647484956575859631518171922456667717273747677787993[[#This Row],[PEG]],Table1016[#All],2,FALSE)</f>
        <v>I still didn’t get that.</v>
      </c>
      <c r="D33" s="117" t="s">
        <v>366</v>
      </c>
      <c r="E33" s="125"/>
    </row>
    <row r="34" spans="1:5" s="97" customFormat="1" ht="29" x14ac:dyDescent="0.35">
      <c r="A34" s="118">
        <v>27</v>
      </c>
      <c r="B34" s="114" t="s">
        <v>115</v>
      </c>
      <c r="C34" s="109" t="str">
        <f>VLOOKUP(Table2575525269101343444647484956575859631518171922456667717273747677787993[[#This Row],[PEG]],Table1016[#All],2,FALSE)</f>
        <v>Just tell me the expiration date.  Say it like this, March &lt;Current Year +3&gt; 
Now go ahead.</v>
      </c>
      <c r="D34" s="117" t="s">
        <v>324</v>
      </c>
      <c r="E34" s="125"/>
    </row>
    <row r="35" spans="1:5" s="97" customFormat="1" x14ac:dyDescent="0.35">
      <c r="A35" s="118">
        <v>28</v>
      </c>
      <c r="B35" s="114" t="s">
        <v>114</v>
      </c>
      <c r="C35" s="109" t="s">
        <v>478</v>
      </c>
      <c r="D35" s="117"/>
      <c r="E35" s="125"/>
    </row>
    <row r="36" spans="1:5" s="97" customFormat="1" ht="29" x14ac:dyDescent="0.35">
      <c r="A36" s="118">
        <v>29</v>
      </c>
      <c r="B36" s="114" t="s">
        <v>115</v>
      </c>
      <c r="C36" s="109" t="str">
        <f>VLOOKUP(Table2575525269101343444647484956575859631518171922456667717273747677787993[[#This Row],[PEG]],Table1016[#All],2,FALSE)</f>
        <v>It seems you are having trouble. For future transactions you can also access your plan details, or manage your account online anytime at members.lacare.com. One moment while I get someone to help. Make sure to have your invoice available.</v>
      </c>
      <c r="D36" s="117" t="s">
        <v>361</v>
      </c>
      <c r="E36" s="125"/>
    </row>
    <row r="37" spans="1:5" x14ac:dyDescent="0.35">
      <c r="A37" s="118">
        <v>30</v>
      </c>
      <c r="B37" s="114" t="s">
        <v>13</v>
      </c>
      <c r="C37" s="109" t="s">
        <v>13</v>
      </c>
      <c r="D37" s="117"/>
      <c r="E37" s="125" t="e">
        <f>VLOOKUP(Table2575525269101343444647484956575859631518171922456667717273747677787993[[#This Row],[PEG]],Table1016[#All],3,FALSE)</f>
        <v>#N/A</v>
      </c>
    </row>
    <row r="38" spans="1:5" x14ac:dyDescent="0.35">
      <c r="C38" s="26"/>
      <c r="D38" s="111" t="s">
        <v>0</v>
      </c>
    </row>
    <row r="39" spans="1:5" x14ac:dyDescent="0.35">
      <c r="C39" s="26"/>
    </row>
    <row r="40" spans="1:5" x14ac:dyDescent="0.35">
      <c r="C40" s="26"/>
    </row>
    <row r="41" spans="1:5" x14ac:dyDescent="0.35">
      <c r="C41" s="26"/>
    </row>
    <row r="42" spans="1:5" x14ac:dyDescent="0.35">
      <c r="C42" s="26"/>
    </row>
    <row r="43" spans="1:5" x14ac:dyDescent="0.35">
      <c r="C43" s="26"/>
    </row>
    <row r="44" spans="1:5" x14ac:dyDescent="0.35">
      <c r="C44" s="26"/>
    </row>
    <row r="45" spans="1:5" x14ac:dyDescent="0.35">
      <c r="C45" s="26"/>
    </row>
    <row r="46" spans="1:5" x14ac:dyDescent="0.35">
      <c r="C46" s="26"/>
    </row>
    <row r="47" spans="1:5" x14ac:dyDescent="0.35">
      <c r="C47" s="26"/>
    </row>
    <row r="48" spans="1:5" x14ac:dyDescent="0.35">
      <c r="C48" s="26"/>
    </row>
    <row r="49" spans="3:3" x14ac:dyDescent="0.35">
      <c r="C49" s="26"/>
    </row>
    <row r="50" spans="3:3" x14ac:dyDescent="0.35">
      <c r="C50" s="26"/>
    </row>
    <row r="51" spans="3:3" x14ac:dyDescent="0.35">
      <c r="C51" s="26"/>
    </row>
    <row r="52" spans="3:3" x14ac:dyDescent="0.35">
      <c r="C52" s="26"/>
    </row>
    <row r="53" spans="3:3" x14ac:dyDescent="0.35">
      <c r="C53" s="27"/>
    </row>
    <row r="54" spans="3:3" x14ac:dyDescent="0.35">
      <c r="C54" s="27"/>
    </row>
    <row r="55" spans="3:3" x14ac:dyDescent="0.35">
      <c r="C55" s="27"/>
    </row>
  </sheetData>
  <mergeCells count="1">
    <mergeCell ref="A1:B1"/>
  </mergeCells>
  <conditionalFormatting sqref="C11:C28 C37:C9994">
    <cfRule type="expression" dxfId="4543" priority="45">
      <formula>$B11="Dial"</formula>
    </cfRule>
    <cfRule type="expression" dxfId="4542" priority="47">
      <formula>$B11="HANGUP"</formula>
    </cfRule>
  </conditionalFormatting>
  <conditionalFormatting sqref="B8 B13:B18">
    <cfRule type="containsText" dxfId="4541" priority="17" operator="containsText" text="Hear">
      <formula>NOT(ISERROR(SEARCH("Hear",B8)))</formula>
    </cfRule>
  </conditionalFormatting>
  <conditionalFormatting sqref="B19:B28 B37">
    <cfRule type="containsText" dxfId="4540" priority="23" operator="containsText" text="Hear">
      <formula>NOT(ISERROR(SEARCH("Hear",B19)))</formula>
    </cfRule>
  </conditionalFormatting>
  <conditionalFormatting sqref="B9:B12">
    <cfRule type="containsText" dxfId="4539" priority="16" operator="containsText" text="Hear">
      <formula>NOT(ISERROR(SEARCH("Hear",B9)))</formula>
    </cfRule>
  </conditionalFormatting>
  <conditionalFormatting sqref="C10">
    <cfRule type="expression" dxfId="4538" priority="14">
      <formula>$B10="Dial"</formula>
    </cfRule>
    <cfRule type="expression" dxfId="4537" priority="15">
      <formula>$B10="HANGUP"</formula>
    </cfRule>
  </conditionalFormatting>
  <conditionalFormatting sqref="C10:C28 C37">
    <cfRule type="expression" dxfId="4536" priority="13">
      <formula>$B10="Speak"</formula>
    </cfRule>
  </conditionalFormatting>
  <conditionalFormatting sqref="C29">
    <cfRule type="expression" dxfId="4535" priority="6">
      <formula>$B29="Dial"</formula>
    </cfRule>
    <cfRule type="expression" dxfId="4534" priority="7">
      <formula>$B29="HANGUP"</formula>
    </cfRule>
  </conditionalFormatting>
  <conditionalFormatting sqref="B29:B36">
    <cfRule type="containsText" dxfId="4533" priority="5" operator="containsText" text="Hear">
      <formula>NOT(ISERROR(SEARCH("Hear",B29)))</formula>
    </cfRule>
  </conditionalFormatting>
  <conditionalFormatting sqref="C29">
    <cfRule type="expression" dxfId="4532" priority="4">
      <formula>$B29="Speak"</formula>
    </cfRule>
  </conditionalFormatting>
  <conditionalFormatting sqref="C30:C36">
    <cfRule type="expression" dxfId="4531" priority="2">
      <formula>$B30="Dial"</formula>
    </cfRule>
    <cfRule type="expression" dxfId="4530" priority="3">
      <formula>$B30="HANGUP"</formula>
    </cfRule>
  </conditionalFormatting>
  <conditionalFormatting sqref="C30:C36">
    <cfRule type="expression" dxfId="4529" priority="1">
      <formula>$B30="Speak"</formula>
    </cfRule>
  </conditionalFormatting>
  <hyperlinks>
    <hyperlink ref="A1" location="'Test Case Overview'!A1" display="Return to Test Case Overview" xr:uid="{B9676CA0-2F9F-4A5E-90CE-21BC48522BFE}"/>
  </hyperlinks>
  <pageMargins left="0.7" right="0.7" top="0.75" bottom="0.75" header="0.3" footer="0.3"/>
  <pageSetup orientation="portrait" verticalDpi="0" r:id="rId1"/>
  <tableParts count="1">
    <tablePart r:id="rId2"/>
  </tableParts>
  <extLst>
    <ext xmlns:x14="http://schemas.microsoft.com/office/spreadsheetml/2009/9/main" uri="{78C0D931-6437-407d-A8EE-F0AAD7539E65}">
      <x14:conditionalFormattings>
        <x14:conditionalFormatting xmlns:xm="http://schemas.microsoft.com/office/excel/2006/main">
          <x14:cfRule type="expression" priority="27" id="{733968F6-84A4-4289-9D36-231FBBF9C1F8}">
            <xm:f>'TC1'!$B8="HANGUP"</xm:f>
            <x14:dxf>
              <font>
                <b/>
                <i val="0"/>
              </font>
            </x14:dxf>
          </x14:cfRule>
          <x14:cfRule type="expression" priority="28" id="{1F76EB0C-9E61-4D7B-8942-2A81EE6459E5}">
            <xm:f>'TC1'!$B8="Dial"</xm:f>
            <x14:dxf>
              <font>
                <b/>
                <i val="0"/>
                <color rgb="FFFF0000"/>
              </font>
            </x14:dxf>
          </x14:cfRule>
          <xm:sqref>C8</xm:sqref>
        </x14:conditionalFormatting>
        <x14:conditionalFormatting xmlns:xm="http://schemas.microsoft.com/office/excel/2006/main">
          <x14:cfRule type="expression" priority="29" id="{BB24A312-BCA6-4FC0-8F62-6D5122301E42}">
            <xm:f>'TC1'!$B8="Speak"</xm:f>
            <x14:dxf>
              <font>
                <b/>
                <i val="0"/>
                <color rgb="FFFF0000"/>
              </font>
            </x14:dxf>
          </x14:cfRule>
          <xm:sqref>C8</xm:sqref>
        </x14:conditionalFormatting>
        <x14:conditionalFormatting xmlns:xm="http://schemas.microsoft.com/office/excel/2006/main">
          <x14:cfRule type="containsText" priority="1313" operator="containsText" text="DB" id="{4BBB50E1-F41D-4690-A7BD-B4C8089CA26D}">
            <xm:f>NOT(ISERROR(SEARCH("DB",'TC1'!#REF!)))</xm:f>
            <x14:dxf>
              <font>
                <color rgb="FF006100"/>
              </font>
              <fill>
                <patternFill>
                  <bgColor rgb="FFC6EFCE"/>
                </patternFill>
              </fill>
            </x14:dxf>
          </x14:cfRule>
          <x14:cfRule type="containsText" priority="1314" operator="containsText" text="WEB SERVICE" id="{87259611-B4E0-416D-A845-F908BEDB2621}">
            <xm:f>NOT(ISERROR(SEARCH("WEB SERVICE",'TC1'!#REF!)))</xm:f>
            <x14:dxf>
              <font>
                <color rgb="FF9C0006"/>
              </font>
              <fill>
                <patternFill>
                  <bgColor rgb="FFFFC7CE"/>
                </patternFill>
              </fill>
            </x14:dxf>
          </x14:cfRule>
          <xm:sqref>E17:E28 E37</xm:sqref>
        </x14:conditionalFormatting>
        <x14:conditionalFormatting xmlns:xm="http://schemas.microsoft.com/office/excel/2006/main">
          <x14:cfRule type="expression" priority="4111" id="{733968F6-84A4-4289-9D36-231FBBF9C1F8}">
            <xm:f>'TC1'!#REF!="HANGUP"</xm:f>
            <x14:dxf>
              <font>
                <b/>
                <i val="0"/>
              </font>
            </x14:dxf>
          </x14:cfRule>
          <x14:cfRule type="expression" priority="4112" id="{1F76EB0C-9E61-4D7B-8942-2A81EE6459E5}">
            <xm:f>'TC1'!#REF!="Dial"</xm:f>
            <x14:dxf>
              <font>
                <b/>
                <i val="0"/>
                <color rgb="FFFF0000"/>
              </font>
            </x14:dxf>
          </x14:cfRule>
          <xm:sqref>C9</xm:sqref>
        </x14:conditionalFormatting>
        <x14:conditionalFormatting xmlns:xm="http://schemas.microsoft.com/office/excel/2006/main">
          <x14:cfRule type="expression" priority="4117" id="{BB24A312-BCA6-4FC0-8F62-6D5122301E42}">
            <xm:f>'TC1'!#REF!="Speak"</xm:f>
            <x14:dxf>
              <font>
                <b/>
                <i val="0"/>
                <color rgb="FFFF0000"/>
              </font>
            </x14:dxf>
          </x14:cfRule>
          <xm:sqref>C9</xm:sqref>
        </x14:conditionalFormatting>
        <x14:conditionalFormatting xmlns:xm="http://schemas.microsoft.com/office/excel/2006/main">
          <x14:cfRule type="containsText" priority="4119" operator="containsText" text="DB" id="{4BBB50E1-F41D-4690-A7BD-B4C8089CA26D}">
            <xm:f>NOT(ISERROR(SEARCH("DB",'TC1'!#REF!)))</xm:f>
            <x14:dxf>
              <font>
                <color rgb="FF006100"/>
              </font>
              <fill>
                <patternFill>
                  <bgColor rgb="FFC6EFCE"/>
                </patternFill>
              </fill>
            </x14:dxf>
          </x14:cfRule>
          <x14:cfRule type="containsText" priority="4120" operator="containsText" text="WEB SERVICE" id="{87259611-B4E0-416D-A845-F908BEDB2621}">
            <xm:f>NOT(ISERROR(SEARCH("WEB SERVICE",'TC1'!#REF!)))</xm:f>
            <x14:dxf>
              <font>
                <color rgb="FF9C0006"/>
              </font>
              <fill>
                <patternFill>
                  <bgColor rgb="FFFFC7CE"/>
                </patternFill>
              </fill>
            </x14:dxf>
          </x14:cfRule>
          <xm:sqref>E9:E11</xm:sqref>
        </x14:conditionalFormatting>
        <x14:conditionalFormatting xmlns:xm="http://schemas.microsoft.com/office/excel/2006/main">
          <x14:cfRule type="containsText" priority="4121" operator="containsText" text="DB" id="{4BBB50E1-F41D-4690-A7BD-B4C8089CA26D}">
            <xm:f>NOT(ISERROR(SEARCH("DB",'TC1'!E9)))</xm:f>
            <x14:dxf>
              <font>
                <color rgb="FF006100"/>
              </font>
              <fill>
                <patternFill>
                  <bgColor rgb="FFC6EFCE"/>
                </patternFill>
              </fill>
            </x14:dxf>
          </x14:cfRule>
          <x14:cfRule type="containsText" priority="4122" operator="containsText" text="WEB SERVICE" id="{87259611-B4E0-416D-A845-F908BEDB2621}">
            <xm:f>NOT(ISERROR(SEARCH("WEB SERVICE",'TC1'!E9)))</xm:f>
            <x14:dxf>
              <font>
                <color rgb="FF9C0006"/>
              </font>
              <fill>
                <patternFill>
                  <bgColor rgb="FFFFC7CE"/>
                </patternFill>
              </fill>
            </x14:dxf>
          </x14:cfRule>
          <xm:sqref>E12:E15</xm:sqref>
        </x14:conditionalFormatting>
        <x14:conditionalFormatting xmlns:xm="http://schemas.microsoft.com/office/excel/2006/main">
          <x14:cfRule type="containsText" priority="6612" operator="containsText" text="DB" id="{4BBB50E1-F41D-4690-A7BD-B4C8089CA26D}">
            <xm:f>NOT(ISERROR(SEARCH("DB",'TC1'!E15)))</xm:f>
            <x14:dxf>
              <font>
                <color rgb="FF006100"/>
              </font>
              <fill>
                <patternFill>
                  <bgColor rgb="FFC6EFCE"/>
                </patternFill>
              </fill>
            </x14:dxf>
          </x14:cfRule>
          <x14:cfRule type="containsText" priority="6613" operator="containsText" text="WEB SERVICE" id="{87259611-B4E0-416D-A845-F908BEDB2621}">
            <xm:f>NOT(ISERROR(SEARCH("WEB SERVICE",'TC1'!E15)))</xm:f>
            <x14:dxf>
              <font>
                <color rgb="FF9C0006"/>
              </font>
              <fill>
                <patternFill>
                  <bgColor rgb="FFFFC7CE"/>
                </patternFill>
              </fill>
            </x14:dxf>
          </x14:cfRule>
          <xm:sqref>E16</xm:sqref>
        </x14:conditionalFormatting>
        <x14:conditionalFormatting xmlns:xm="http://schemas.microsoft.com/office/excel/2006/main">
          <x14:cfRule type="containsText" priority="8" operator="containsText" text="DB" id="{D907A48A-F0CA-46AD-8045-B56C9061B048}">
            <xm:f>NOT(ISERROR(SEARCH("DB",'TC1'!#REF!)))</xm:f>
            <x14:dxf>
              <font>
                <color rgb="FF006100"/>
              </font>
              <fill>
                <patternFill>
                  <bgColor rgb="FFC6EFCE"/>
                </patternFill>
              </fill>
            </x14:dxf>
          </x14:cfRule>
          <x14:cfRule type="containsText" priority="9" operator="containsText" text="WEB SERVICE" id="{075A62F7-7EC9-4E8C-9B33-D35A5C7F202C}">
            <xm:f>NOT(ISERROR(SEARCH("WEB SERVICE",'TC1'!#REF!)))</xm:f>
            <x14:dxf>
              <font>
                <color rgb="FF9C0006"/>
              </font>
              <fill>
                <patternFill>
                  <bgColor rgb="FFFFC7CE"/>
                </patternFill>
              </fill>
            </x14:dxf>
          </x14:cfRule>
          <xm:sqref>E29:E36</xm:sqref>
        </x14:conditionalFormatting>
      </x14:conditionalFormattings>
    </ext>
  </extLst>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4"/>
  <dimension ref="A1:E45"/>
  <sheetViews>
    <sheetView zoomScaleNormal="100" workbookViewId="0">
      <selection activeCell="C10" sqref="C10"/>
    </sheetView>
  </sheetViews>
  <sheetFormatPr defaultRowHeight="14.5" x14ac:dyDescent="0.35"/>
  <cols>
    <col min="1" max="1" width="14.453125" style="97" bestFit="1" customWidth="1"/>
    <col min="2" max="2" width="42.6328125" style="97" customWidth="1"/>
    <col min="3" max="3" width="106.1796875" style="98" customWidth="1"/>
    <col min="4" max="4" width="21.81640625" style="111" bestFit="1" customWidth="1"/>
    <col min="5" max="5" width="20.6328125" style="97" customWidth="1"/>
  </cols>
  <sheetData>
    <row r="1" spans="1:5" ht="18.5" x14ac:dyDescent="0.35">
      <c r="A1" s="192" t="s">
        <v>4</v>
      </c>
      <c r="B1" s="192"/>
      <c r="C1" s="105"/>
    </row>
    <row r="2" spans="1:5" x14ac:dyDescent="0.35">
      <c r="A2" s="106" t="s">
        <v>5</v>
      </c>
      <c r="B2" s="107" t="str">
        <f ca="1">MID(CELL("filename",A1),FIND("]",CELL("filename",A1))+1,LEN(CELL("filename",A1))-FIND("]",CELL("filename",A1)))</f>
        <v>TC52</v>
      </c>
    </row>
    <row r="3" spans="1:5" x14ac:dyDescent="0.35">
      <c r="A3" s="104" t="s">
        <v>19</v>
      </c>
      <c r="B3" s="112">
        <f ca="1">VLOOKUP(B2,Table53[#All],2,FALSE)</f>
        <v>0</v>
      </c>
    </row>
    <row r="4" spans="1:5" ht="29" x14ac:dyDescent="0.35">
      <c r="A4" s="113" t="s">
        <v>20</v>
      </c>
      <c r="B4" s="99" t="str">
        <f ca="1">VLOOKUP(B2,Table53[#All],4,FALSE)</f>
        <v>No recurring, Current Due, No Stored Mthd</v>
      </c>
    </row>
    <row r="5" spans="1:5" x14ac:dyDescent="0.35">
      <c r="A5" s="104" t="s">
        <v>6</v>
      </c>
      <c r="B5" s="93" t="str">
        <f ca="1">VLOOKUP(B2,Table53[#All],3,FALSE)</f>
        <v>Get Card - Confirm Pmt - No</v>
      </c>
    </row>
    <row r="7" spans="1:5" ht="15.5" x14ac:dyDescent="0.35">
      <c r="A7" s="100" t="s">
        <v>7</v>
      </c>
      <c r="B7" s="101" t="s">
        <v>8</v>
      </c>
      <c r="C7" s="102" t="s">
        <v>9</v>
      </c>
      <c r="D7" s="102" t="s">
        <v>14</v>
      </c>
      <c r="E7" s="103" t="s">
        <v>10</v>
      </c>
    </row>
    <row r="8" spans="1:5" x14ac:dyDescent="0.35">
      <c r="A8" s="118">
        <v>1</v>
      </c>
      <c r="B8" s="114" t="s">
        <v>114</v>
      </c>
      <c r="C8" s="109" t="s">
        <v>125</v>
      </c>
      <c r="D8" s="128"/>
      <c r="E8" s="125" t="s">
        <v>11</v>
      </c>
    </row>
    <row r="9" spans="1:5" x14ac:dyDescent="0.35">
      <c r="A9" s="118">
        <v>2</v>
      </c>
      <c r="B9" s="114" t="s">
        <v>115</v>
      </c>
      <c r="C9" s="109" t="str">
        <f>VLOOKUP(Table257552526910134344464748495657585963151817192245666771727374767778799394[[#This Row],[PEG]],Table1016[#All],2,FALSE)</f>
        <v>To get started, tell me your Account Number</v>
      </c>
      <c r="D9" s="141" t="s">
        <v>245</v>
      </c>
      <c r="E9" s="125" t="str">
        <f>VLOOKUP(Table257552526910134344464748495657585963151817192245666771727374767778799394[[#This Row],[PEG]],Table1016[#All],3,FALSE)</f>
        <v>Prompt</v>
      </c>
    </row>
    <row r="10" spans="1:5" x14ac:dyDescent="0.35">
      <c r="A10" s="118">
        <v>3</v>
      </c>
      <c r="B10" s="114" t="s">
        <v>114</v>
      </c>
      <c r="C10" s="109" t="s">
        <v>412</v>
      </c>
      <c r="D10" s="141"/>
      <c r="E10" s="125" t="e">
        <f>VLOOKUP(Table257552526910134344464748495657585963151817192245666771727374767778799394[[#This Row],[PEG]],Table1016[#All],3,FALSE)</f>
        <v>#N/A</v>
      </c>
    </row>
    <row r="11" spans="1:5" ht="174" x14ac:dyDescent="0.35">
      <c r="A11" s="118">
        <v>4</v>
      </c>
      <c r="B11" s="114" t="s">
        <v>12</v>
      </c>
      <c r="C11" s="109" t="str">
        <f>VLOOKUP(Table257552526910134344464748495657585963151817192245666771727374767778799394[[#This Row],[PEG]],Table1016[#All],2,FALSE)</f>
        <v>SAP HANA – SAP01_GetMember
inputs:
idnumber = iIdnumber	T
idtype 	= iIdtype
outputs:
~ Billing Reference
~ Enrollment Details
~ Billing Details
~ Last Payment
~ Recurring Payment Method
~ Stored Payment Method</v>
      </c>
      <c r="D11" s="141" t="s">
        <v>371</v>
      </c>
      <c r="E11" s="125" t="str">
        <f>VLOOKUP(Table257552526910134344464748495657585963151817192245666771727374767778799394[[#This Row],[PEG]],Table1016[#All],3,FALSE)</f>
        <v>DB</v>
      </c>
    </row>
    <row r="12" spans="1:5" x14ac:dyDescent="0.35">
      <c r="A12" s="118">
        <v>5</v>
      </c>
      <c r="B12" s="114" t="s">
        <v>115</v>
      </c>
      <c r="C12" s="109" t="str">
        <f>VLOOKUP(Table257552526910134344464748495657585963151817192245666771727374767778799394[[#This Row],[PEG]],Table1016[#All],2,FALSE)</f>
        <v>Thanks, I found your account!</v>
      </c>
      <c r="D12" s="141" t="s">
        <v>248</v>
      </c>
      <c r="E12" s="125" t="str">
        <f>VLOOKUP(Table257552526910134344464748495657585963151817192245666771727374767778799394[[#This Row],[PEG]],Table1016[#All],3,FALSE)</f>
        <v>Prompt</v>
      </c>
    </row>
    <row r="13" spans="1:5" x14ac:dyDescent="0.35">
      <c r="A13" s="118">
        <v>6</v>
      </c>
      <c r="B13" s="114" t="s">
        <v>115</v>
      </c>
      <c r="C13" s="109" t="str">
        <f>VLOOKUP(Table257552526910134344464748495657585963151817192245666771727374767778799394[[#This Row],[PEG]],Table1016[#All],2,FALSE)</f>
        <v>A current balance of &lt;SAP01_CurrentDue&gt; is due by &lt;SAP01_Duedate&gt;.</v>
      </c>
      <c r="D13" s="141" t="s">
        <v>258</v>
      </c>
      <c r="E13" s="125" t="str">
        <f>VLOOKUP(Table257552526910134344464748495657585963151817192245666771727374767778799394[[#This Row],[PEG]],Table1016[#All],3,FALSE)</f>
        <v>Prompt</v>
      </c>
    </row>
    <row r="14" spans="1:5" x14ac:dyDescent="0.35">
      <c r="A14" s="118">
        <v>7</v>
      </c>
      <c r="B14" s="114" t="s">
        <v>115</v>
      </c>
      <c r="C14" s="109" t="str">
        <f>VLOOKUP(Table257552526910134344464748495657585963151817192245666771727374767778799394[[#This Row],[PEG]],Table1016[#All],2,FALSE)</f>
        <v>Would you like to pay this in full today?</v>
      </c>
      <c r="D14" s="141" t="s">
        <v>260</v>
      </c>
      <c r="E14" s="125" t="str">
        <f>VLOOKUP(Table257552526910134344464748495657585963151817192245666771727374767778799394[[#This Row],[PEG]],Table1016[#All],3,FALSE)</f>
        <v>Prompt</v>
      </c>
    </row>
    <row r="15" spans="1:5" x14ac:dyDescent="0.35">
      <c r="A15" s="118">
        <v>8</v>
      </c>
      <c r="B15" s="114" t="s">
        <v>114</v>
      </c>
      <c r="C15" s="109">
        <v>1</v>
      </c>
      <c r="D15" s="164"/>
      <c r="E15" s="125" t="e">
        <f>VLOOKUP(Table257552526910134344464748495657585963151817192245666771727374767778799394[[#This Row],[PEG]],Table1016[#All],3,FALSE)</f>
        <v>#N/A</v>
      </c>
    </row>
    <row r="16" spans="1:5" x14ac:dyDescent="0.35">
      <c r="A16" s="118">
        <v>9</v>
      </c>
      <c r="B16" s="114" t="s">
        <v>115</v>
      </c>
      <c r="C16" s="109" t="str">
        <f>VLOOKUP(Table257552526910134344464748495657585963151817192245666771727374767778799394[[#This Row],[PEG]],Table1016[#All],2,FALSE)</f>
        <v>Ok, are you using Credit, Debit, Checking or Savings?</v>
      </c>
      <c r="D16" s="164" t="s">
        <v>286</v>
      </c>
      <c r="E16" s="125" t="str">
        <f>VLOOKUP(Table257552526910134344464748495657585963151817192245666771727374767778799394[[#This Row],[PEG]],Table1016[#All],3,FALSE)</f>
        <v>Prompt</v>
      </c>
    </row>
    <row r="17" spans="1:5" x14ac:dyDescent="0.35">
      <c r="A17" s="118">
        <v>10</v>
      </c>
      <c r="B17" s="114" t="s">
        <v>114</v>
      </c>
      <c r="C17" s="109">
        <v>1</v>
      </c>
      <c r="D17" s="165"/>
      <c r="E17" s="125" t="e">
        <f>VLOOKUP(Table257552526910134344464748495657585963151817192245666771727374767778799394[[#This Row],[PEG]],Table1016[#All],3,FALSE)</f>
        <v>#N/A</v>
      </c>
    </row>
    <row r="18" spans="1:5" x14ac:dyDescent="0.35">
      <c r="A18" s="118">
        <v>11</v>
      </c>
      <c r="B18" s="114" t="s">
        <v>115</v>
      </c>
      <c r="C18" s="109" t="str">
        <f>VLOOKUP(Table257552526910134344464748495657585963151817192245666771727374767778799394[[#This Row],[PEG]],Table1016[#All],2,FALSE)</f>
        <v>Tell me the card number you wish to use.</v>
      </c>
      <c r="D18" s="165" t="s">
        <v>318</v>
      </c>
      <c r="E18" s="125" t="str">
        <f>VLOOKUP(Table257552526910134344464748495657585963151817192245666771727374767778799394[[#This Row],[PEG]],Table1016[#All],3,FALSE)</f>
        <v>Prompt</v>
      </c>
    </row>
    <row r="19" spans="1:5" x14ac:dyDescent="0.35">
      <c r="A19" s="118">
        <v>12</v>
      </c>
      <c r="B19" s="114" t="s">
        <v>114</v>
      </c>
      <c r="C19" s="109" t="s">
        <v>557</v>
      </c>
      <c r="D19" s="165"/>
      <c r="E19" s="125" t="e">
        <f>VLOOKUP(Table257552526910134344464748495657585963151817192245666771727374767778799394[[#This Row],[PEG]],Table1016[#All],3,FALSE)</f>
        <v>#N/A</v>
      </c>
    </row>
    <row r="20" spans="1:5" x14ac:dyDescent="0.35">
      <c r="A20" s="118">
        <v>13</v>
      </c>
      <c r="B20" s="114" t="s">
        <v>115</v>
      </c>
      <c r="C20" s="109" t="str">
        <f>VLOOKUP(Table257552526910134344464748495657585963151817192245666771727374767778799394[[#This Row],[PEG]],Table1016[#All],2,FALSE)</f>
        <v>Is &lt;ivrCardNbr&gt; the right number?</v>
      </c>
      <c r="D20" s="165" t="s">
        <v>320</v>
      </c>
      <c r="E20" s="125">
        <f>VLOOKUP(Table257552526910134344464748495657585963151817192245666771727374767778799394[[#This Row],[PEG]],Table1016[#All],3,FALSE)</f>
        <v>0</v>
      </c>
    </row>
    <row r="21" spans="1:5" x14ac:dyDescent="0.35">
      <c r="A21" s="118">
        <v>14</v>
      </c>
      <c r="B21" s="114" t="s">
        <v>114</v>
      </c>
      <c r="C21" s="109">
        <v>1</v>
      </c>
      <c r="D21" s="165"/>
      <c r="E21" s="125" t="e">
        <f>VLOOKUP(Table257552526910134344464748495657585963151817192245666771727374767778799394[[#This Row],[PEG]],Table1016[#All],3,FALSE)</f>
        <v>#N/A</v>
      </c>
    </row>
    <row r="22" spans="1:5" ht="29" x14ac:dyDescent="0.35">
      <c r="A22" s="118">
        <v>15</v>
      </c>
      <c r="B22" s="114" t="s">
        <v>115</v>
      </c>
      <c r="C22" s="109" t="str">
        <f>VLOOKUP(Table257552526910134344464748495657585963151817192245666771727374767778799394[[#This Row],[PEG]],Table1016[#All],2,FALSE)</f>
        <v>Now, what is the expiration date?  Just say it like this, March &lt;Current Year +3&gt; 
Now go ahead.</v>
      </c>
      <c r="D22" s="165" t="s">
        <v>323</v>
      </c>
      <c r="E22" s="125" t="str">
        <f>VLOOKUP(Table257552526910134344464748495657585963151817192245666771727374767778799394[[#This Row],[PEG]],Table1016[#All],3,FALSE)</f>
        <v>Prompt</v>
      </c>
    </row>
    <row r="23" spans="1:5" x14ac:dyDescent="0.35">
      <c r="A23" s="118">
        <v>16</v>
      </c>
      <c r="B23" s="114" t="s">
        <v>114</v>
      </c>
      <c r="C23" s="109" t="s">
        <v>399</v>
      </c>
      <c r="D23" s="165"/>
      <c r="E23" s="125" t="e">
        <f>VLOOKUP(Table257552526910134344464748495657585963151817192245666771727374767778799394[[#This Row],[PEG]],Table1016[#All],3,FALSE)</f>
        <v>#N/A</v>
      </c>
    </row>
    <row r="24" spans="1:5" ht="29" x14ac:dyDescent="0.35">
      <c r="A24" s="118">
        <v>17</v>
      </c>
      <c r="B24" s="114" t="s">
        <v>115</v>
      </c>
      <c r="C24" s="109" t="str">
        <f>VLOOKUP(Table257552526910134344464748495657585963151817192245666771727374767778799394[[#This Row],[PEG]],Table1016[#All],2,FALSE)</f>
        <v>To confirm, you want to pay &lt;ivrPmtAmt&gt; with a card ending in &lt;last 4 digits of ivrCardNbr&gt;.
Is that right?</v>
      </c>
      <c r="D24" s="165" t="s">
        <v>326</v>
      </c>
      <c r="E24" s="125" t="str">
        <f>VLOOKUP(Table257552526910134344464748495657585963151817192245666771727374767778799394[[#This Row],[PEG]],Table1016[#All],3,FALSE)</f>
        <v>Prompt</v>
      </c>
    </row>
    <row r="25" spans="1:5" x14ac:dyDescent="0.35">
      <c r="A25" s="118">
        <v>18</v>
      </c>
      <c r="B25" s="114" t="s">
        <v>114</v>
      </c>
      <c r="C25" s="109">
        <v>2</v>
      </c>
      <c r="D25" s="165"/>
      <c r="E25" s="125" t="e">
        <f>VLOOKUP(Table257552526910134344464748495657585963151817192245666771727374767778799394[[#This Row],[PEG]],Table1016[#All],3,FALSE)</f>
        <v>#N/A</v>
      </c>
    </row>
    <row r="26" spans="1:5" ht="29" x14ac:dyDescent="0.35">
      <c r="A26" s="118">
        <v>19</v>
      </c>
      <c r="B26" s="114" t="s">
        <v>115</v>
      </c>
      <c r="C26" s="109" t="str">
        <f>VLOOKUP(Table257552526910134344464748495657585963151817192245666771727374767778799394[[#This Row],[PEG]],Table1016[#All],2,FALSE)</f>
        <v>It seems you are having trouble. For future transactions you can also access your plan details, or manage your account online anytime at members.lacare.com. One moment while I get someone to help. Make sure to have your invoice available.</v>
      </c>
      <c r="D26" s="165" t="s">
        <v>361</v>
      </c>
      <c r="E26" s="125" t="str">
        <f>VLOOKUP(Table257552526910134344464748495657585963151817192245666771727374767778799394[[#This Row],[PEG]],Table1016[#All],3,FALSE)</f>
        <v>Prompt</v>
      </c>
    </row>
    <row r="27" spans="1:5" x14ac:dyDescent="0.35">
      <c r="A27" s="118">
        <v>20</v>
      </c>
      <c r="B27" s="114" t="s">
        <v>13</v>
      </c>
      <c r="C27" s="109" t="s">
        <v>13</v>
      </c>
      <c r="D27" s="117"/>
      <c r="E27" s="125" t="e">
        <f>VLOOKUP(Table257552526910134344464748495657585963151817192245666771727374767778799394[[#This Row],[PEG]],Table1016[#All],3,FALSE)</f>
        <v>#N/A</v>
      </c>
    </row>
    <row r="28" spans="1:5" x14ac:dyDescent="0.35">
      <c r="C28" s="26"/>
      <c r="D28" s="111" t="s">
        <v>0</v>
      </c>
    </row>
    <row r="29" spans="1:5" x14ac:dyDescent="0.35">
      <c r="C29" s="26"/>
    </row>
    <row r="30" spans="1:5" x14ac:dyDescent="0.35">
      <c r="C30" s="26"/>
    </row>
    <row r="31" spans="1:5" x14ac:dyDescent="0.35">
      <c r="C31" s="26"/>
    </row>
    <row r="32" spans="1:5" x14ac:dyDescent="0.35">
      <c r="C32" s="26"/>
    </row>
    <row r="33" spans="3:3" x14ac:dyDescent="0.35">
      <c r="C33" s="26"/>
    </row>
    <row r="34" spans="3:3" x14ac:dyDescent="0.35">
      <c r="C34" s="26"/>
    </row>
    <row r="35" spans="3:3" x14ac:dyDescent="0.35">
      <c r="C35" s="26"/>
    </row>
    <row r="36" spans="3:3" x14ac:dyDescent="0.35">
      <c r="C36" s="26"/>
    </row>
    <row r="37" spans="3:3" x14ac:dyDescent="0.35">
      <c r="C37" s="26"/>
    </row>
    <row r="38" spans="3:3" x14ac:dyDescent="0.35">
      <c r="C38" s="26"/>
    </row>
    <row r="39" spans="3:3" x14ac:dyDescent="0.35">
      <c r="C39" s="26"/>
    </row>
    <row r="40" spans="3:3" x14ac:dyDescent="0.35">
      <c r="C40" s="26"/>
    </row>
    <row r="41" spans="3:3" x14ac:dyDescent="0.35">
      <c r="C41" s="26"/>
    </row>
    <row r="42" spans="3:3" x14ac:dyDescent="0.35">
      <c r="C42" s="26"/>
    </row>
    <row r="43" spans="3:3" x14ac:dyDescent="0.35">
      <c r="C43" s="27"/>
    </row>
    <row r="44" spans="3:3" x14ac:dyDescent="0.35">
      <c r="C44" s="27"/>
    </row>
    <row r="45" spans="3:3" x14ac:dyDescent="0.35">
      <c r="C45" s="27"/>
    </row>
  </sheetData>
  <mergeCells count="1">
    <mergeCell ref="A1:B1"/>
  </mergeCells>
  <conditionalFormatting sqref="C28:C9984">
    <cfRule type="expression" dxfId="4512" priority="32">
      <formula>$B28="Dial"</formula>
    </cfRule>
    <cfRule type="expression" dxfId="4511" priority="34">
      <formula>$B28="HANGUP"</formula>
    </cfRule>
  </conditionalFormatting>
  <conditionalFormatting sqref="B8:B18">
    <cfRule type="containsText" dxfId="4510" priority="4" operator="containsText" text="Hear">
      <formula>NOT(ISERROR(SEARCH("Hear",B8)))</formula>
    </cfRule>
  </conditionalFormatting>
  <conditionalFormatting sqref="B19:B27">
    <cfRule type="containsText" dxfId="4509" priority="10" operator="containsText" text="Hear">
      <formula>NOT(ISERROR(SEARCH("Hear",B19)))</formula>
    </cfRule>
  </conditionalFormatting>
  <conditionalFormatting sqref="C10:C27">
    <cfRule type="expression" dxfId="4508" priority="2">
      <formula>$B10="Dial"</formula>
    </cfRule>
    <cfRule type="expression" dxfId="4507" priority="3">
      <formula>$B10="HANGUP"</formula>
    </cfRule>
  </conditionalFormatting>
  <conditionalFormatting sqref="C10:C27">
    <cfRule type="expression" dxfId="4506" priority="1">
      <formula>$B10="Speak"</formula>
    </cfRule>
  </conditionalFormatting>
  <hyperlinks>
    <hyperlink ref="A1" location="'Test Case Overview'!A1" display="Return to Test Case Overview" xr:uid="{DD19E639-ADB1-44D6-B589-4559FED8BA21}"/>
  </hyperlinks>
  <pageMargins left="0.7" right="0.7" top="0.75" bottom="0.75" header="0.3" footer="0.3"/>
  <pageSetup orientation="portrait" verticalDpi="0" r:id="rId1"/>
  <tableParts count="1">
    <tablePart r:id="rId2"/>
  </tableParts>
  <extLst>
    <ext xmlns:x14="http://schemas.microsoft.com/office/spreadsheetml/2009/9/main" uri="{78C0D931-6437-407d-A8EE-F0AAD7539E65}">
      <x14:conditionalFormattings>
        <x14:conditionalFormatting xmlns:xm="http://schemas.microsoft.com/office/excel/2006/main">
          <x14:cfRule type="expression" priority="14" id="{DBF9E176-E7E8-458E-8A4A-DA34BF6E1E79}">
            <xm:f>'TC1'!$B8="HANGUP"</xm:f>
            <x14:dxf>
              <font>
                <b/>
                <i val="0"/>
              </font>
            </x14:dxf>
          </x14:cfRule>
          <x14:cfRule type="expression" priority="15" id="{7F8576E2-67C3-48F9-A6D6-0DB61316984E}">
            <xm:f>'TC1'!$B8="Dial"</xm:f>
            <x14:dxf>
              <font>
                <b/>
                <i val="0"/>
                <color rgb="FFFF0000"/>
              </font>
            </x14:dxf>
          </x14:cfRule>
          <xm:sqref>C8</xm:sqref>
        </x14:conditionalFormatting>
        <x14:conditionalFormatting xmlns:xm="http://schemas.microsoft.com/office/excel/2006/main">
          <x14:cfRule type="expression" priority="16" id="{D8DE7EF0-CD8F-43FB-8906-F2A7FE9077F4}">
            <xm:f>'TC1'!$B8="Speak"</xm:f>
            <x14:dxf>
              <font>
                <b/>
                <i val="0"/>
                <color rgb="FFFF0000"/>
              </font>
            </x14:dxf>
          </x14:cfRule>
          <xm:sqref>C8</xm:sqref>
        </x14:conditionalFormatting>
        <x14:conditionalFormatting xmlns:xm="http://schemas.microsoft.com/office/excel/2006/main">
          <x14:cfRule type="containsText" priority="1320" operator="containsText" text="DB" id="{F543D23E-7D58-4D96-963C-999E0794B7FF}">
            <xm:f>NOT(ISERROR(SEARCH("DB",'TC1'!#REF!)))</xm:f>
            <x14:dxf>
              <font>
                <color rgb="FF006100"/>
              </font>
              <fill>
                <patternFill>
                  <bgColor rgb="FFC6EFCE"/>
                </patternFill>
              </fill>
            </x14:dxf>
          </x14:cfRule>
          <x14:cfRule type="containsText" priority="1321" operator="containsText" text="WEB SERVICE" id="{E37C9EC8-FD75-427B-9609-66CA68E997FD}">
            <xm:f>NOT(ISERROR(SEARCH("WEB SERVICE",'TC1'!#REF!)))</xm:f>
            <x14:dxf>
              <font>
                <color rgb="FF9C0006"/>
              </font>
              <fill>
                <patternFill>
                  <bgColor rgb="FFFFC7CE"/>
                </patternFill>
              </fill>
            </x14:dxf>
          </x14:cfRule>
          <xm:sqref>E17:E27</xm:sqref>
        </x14:conditionalFormatting>
        <x14:conditionalFormatting xmlns:xm="http://schemas.microsoft.com/office/excel/2006/main">
          <x14:cfRule type="expression" priority="4116" id="{DBF9E176-E7E8-458E-8A4A-DA34BF6E1E79}">
            <xm:f>'TC1'!#REF!="HANGUP"</xm:f>
            <x14:dxf>
              <font>
                <b/>
                <i val="0"/>
              </font>
            </x14:dxf>
          </x14:cfRule>
          <x14:cfRule type="expression" priority="4117" id="{7F8576E2-67C3-48F9-A6D6-0DB61316984E}">
            <xm:f>'TC1'!#REF!="Dial"</xm:f>
            <x14:dxf>
              <font>
                <b/>
                <i val="0"/>
                <color rgb="FFFF0000"/>
              </font>
            </x14:dxf>
          </x14:cfRule>
          <xm:sqref>C9</xm:sqref>
        </x14:conditionalFormatting>
        <x14:conditionalFormatting xmlns:xm="http://schemas.microsoft.com/office/excel/2006/main">
          <x14:cfRule type="expression" priority="4122" id="{D8DE7EF0-CD8F-43FB-8906-F2A7FE9077F4}">
            <xm:f>'TC1'!#REF!="Speak"</xm:f>
            <x14:dxf>
              <font>
                <b/>
                <i val="0"/>
                <color rgb="FFFF0000"/>
              </font>
            </x14:dxf>
          </x14:cfRule>
          <xm:sqref>C9</xm:sqref>
        </x14:conditionalFormatting>
        <x14:conditionalFormatting xmlns:xm="http://schemas.microsoft.com/office/excel/2006/main">
          <x14:cfRule type="containsText" priority="4124" operator="containsText" text="DB" id="{F543D23E-7D58-4D96-963C-999E0794B7FF}">
            <xm:f>NOT(ISERROR(SEARCH("DB",'TC1'!#REF!)))</xm:f>
            <x14:dxf>
              <font>
                <color rgb="FF006100"/>
              </font>
              <fill>
                <patternFill>
                  <bgColor rgb="FFC6EFCE"/>
                </patternFill>
              </fill>
            </x14:dxf>
          </x14:cfRule>
          <x14:cfRule type="containsText" priority="4125" operator="containsText" text="WEB SERVICE" id="{E37C9EC8-FD75-427B-9609-66CA68E997FD}">
            <xm:f>NOT(ISERROR(SEARCH("WEB SERVICE",'TC1'!#REF!)))</xm:f>
            <x14:dxf>
              <font>
                <color rgb="FF9C0006"/>
              </font>
              <fill>
                <patternFill>
                  <bgColor rgb="FFFFC7CE"/>
                </patternFill>
              </fill>
            </x14:dxf>
          </x14:cfRule>
          <xm:sqref>E9:E11</xm:sqref>
        </x14:conditionalFormatting>
        <x14:conditionalFormatting xmlns:xm="http://schemas.microsoft.com/office/excel/2006/main">
          <x14:cfRule type="containsText" priority="4126" operator="containsText" text="DB" id="{F543D23E-7D58-4D96-963C-999E0794B7FF}">
            <xm:f>NOT(ISERROR(SEARCH("DB",'TC1'!E9)))</xm:f>
            <x14:dxf>
              <font>
                <color rgb="FF006100"/>
              </font>
              <fill>
                <patternFill>
                  <bgColor rgb="FFC6EFCE"/>
                </patternFill>
              </fill>
            </x14:dxf>
          </x14:cfRule>
          <x14:cfRule type="containsText" priority="4127" operator="containsText" text="WEB SERVICE" id="{E37C9EC8-FD75-427B-9609-66CA68E997FD}">
            <xm:f>NOT(ISERROR(SEARCH("WEB SERVICE",'TC1'!E9)))</xm:f>
            <x14:dxf>
              <font>
                <color rgb="FF9C0006"/>
              </font>
              <fill>
                <patternFill>
                  <bgColor rgb="FFFFC7CE"/>
                </patternFill>
              </fill>
            </x14:dxf>
          </x14:cfRule>
          <xm:sqref>E12:E15</xm:sqref>
        </x14:conditionalFormatting>
        <x14:conditionalFormatting xmlns:xm="http://schemas.microsoft.com/office/excel/2006/main">
          <x14:cfRule type="containsText" priority="6614" operator="containsText" text="DB" id="{F543D23E-7D58-4D96-963C-999E0794B7FF}">
            <xm:f>NOT(ISERROR(SEARCH("DB",'TC1'!E15)))</xm:f>
            <x14:dxf>
              <font>
                <color rgb="FF006100"/>
              </font>
              <fill>
                <patternFill>
                  <bgColor rgb="FFC6EFCE"/>
                </patternFill>
              </fill>
            </x14:dxf>
          </x14:cfRule>
          <x14:cfRule type="containsText" priority="6615" operator="containsText" text="WEB SERVICE" id="{E37C9EC8-FD75-427B-9609-66CA68E997FD}">
            <xm:f>NOT(ISERROR(SEARCH("WEB SERVICE",'TC1'!E15)))</xm:f>
            <x14:dxf>
              <font>
                <color rgb="FF9C0006"/>
              </font>
              <fill>
                <patternFill>
                  <bgColor rgb="FFFFC7CE"/>
                </patternFill>
              </fill>
            </x14:dxf>
          </x14:cfRule>
          <xm:sqref>E16</xm:sqref>
        </x14:conditionalFormatting>
      </x14:conditionalFormattings>
    </ext>
  </extLst>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5"/>
  <dimension ref="A1:E61"/>
  <sheetViews>
    <sheetView topLeftCell="A31" zoomScaleNormal="100" workbookViewId="0">
      <selection activeCell="D32" sqref="D32"/>
    </sheetView>
  </sheetViews>
  <sheetFormatPr defaultRowHeight="14.5" x14ac:dyDescent="0.35"/>
  <cols>
    <col min="1" max="1" width="14.453125" style="97" bestFit="1" customWidth="1"/>
    <col min="2" max="2" width="42.6328125" style="97" customWidth="1"/>
    <col min="3" max="3" width="106.1796875" style="98" customWidth="1"/>
    <col min="4" max="4" width="21.81640625" style="111" bestFit="1" customWidth="1"/>
    <col min="5" max="5" width="20.6328125" style="97" customWidth="1"/>
  </cols>
  <sheetData>
    <row r="1" spans="1:5" ht="18.5" x14ac:dyDescent="0.35">
      <c r="A1" s="192" t="s">
        <v>4</v>
      </c>
      <c r="B1" s="192"/>
      <c r="C1" s="105"/>
    </row>
    <row r="2" spans="1:5" x14ac:dyDescent="0.35">
      <c r="A2" s="106" t="s">
        <v>5</v>
      </c>
      <c r="B2" s="107" t="str">
        <f ca="1">MID(CELL("filename",A1),FIND("]",CELL("filename",A1))+1,LEN(CELL("filename",A1))-FIND("]",CELL("filename",A1)))</f>
        <v>TC53</v>
      </c>
    </row>
    <row r="3" spans="1:5" x14ac:dyDescent="0.35">
      <c r="A3" s="104" t="s">
        <v>19</v>
      </c>
      <c r="B3" s="112">
        <f ca="1">VLOOKUP(B2,Table53[#All],2,FALSE)</f>
        <v>0</v>
      </c>
    </row>
    <row r="4" spans="1:5" ht="29" x14ac:dyDescent="0.35">
      <c r="A4" s="113" t="s">
        <v>20</v>
      </c>
      <c r="B4" s="99" t="str">
        <f ca="1">VLOOKUP(B2,Table53[#All],4,FALSE)</f>
        <v>No Recurring, Current Due, No Stored Mthd, Enter Card</v>
      </c>
    </row>
    <row r="5" spans="1:5" x14ac:dyDescent="0.35">
      <c r="A5" s="104" t="s">
        <v>6</v>
      </c>
      <c r="B5" s="93" t="str">
        <f ca="1">VLOOKUP(B2,Table53[#All],3,FALSE)</f>
        <v>Confirm2- Ask Phone Nbr - No Input x3</v>
      </c>
    </row>
    <row r="7" spans="1:5" ht="15.5" x14ac:dyDescent="0.35">
      <c r="A7" s="100" t="s">
        <v>7</v>
      </c>
      <c r="B7" s="101" t="s">
        <v>8</v>
      </c>
      <c r="C7" s="102" t="s">
        <v>9</v>
      </c>
      <c r="D7" s="102" t="s">
        <v>14</v>
      </c>
      <c r="E7" s="103" t="s">
        <v>10</v>
      </c>
    </row>
    <row r="8" spans="1:5" x14ac:dyDescent="0.35">
      <c r="A8" s="118">
        <v>1</v>
      </c>
      <c r="B8" s="114" t="s">
        <v>114</v>
      </c>
      <c r="C8" s="109" t="s">
        <v>125</v>
      </c>
      <c r="D8" s="152"/>
      <c r="E8" s="125" t="s">
        <v>11</v>
      </c>
    </row>
    <row r="9" spans="1:5" x14ac:dyDescent="0.35">
      <c r="A9" s="118">
        <v>2</v>
      </c>
      <c r="B9" s="114" t="s">
        <v>115</v>
      </c>
      <c r="C9" s="109" t="str">
        <f>VLOOKUP(Table25755252691013434446474849565758596315181719224566677172737476777879939495[[#This Row],[PEG]],Table1016[#All],2,FALSE)</f>
        <v>To get started, tell me your Account Number</v>
      </c>
      <c r="D9" s="141" t="s">
        <v>245</v>
      </c>
      <c r="E9" s="125" t="str">
        <f>VLOOKUP(Table25755252691013434446474849565758596315181719224566677172737476777879939495[[#This Row],[PEG]],Table1016[#All],3,FALSE)</f>
        <v>Prompt</v>
      </c>
    </row>
    <row r="10" spans="1:5" x14ac:dyDescent="0.35">
      <c r="A10" s="118">
        <v>3</v>
      </c>
      <c r="B10" s="114" t="s">
        <v>114</v>
      </c>
      <c r="C10" s="109" t="s">
        <v>412</v>
      </c>
      <c r="D10" s="141"/>
      <c r="E10" s="125" t="e">
        <f>VLOOKUP(Table25755252691013434446474849565758596315181719224566677172737476777879939495[[#This Row],[PEG]],Table1016[#All],3,FALSE)</f>
        <v>#N/A</v>
      </c>
    </row>
    <row r="11" spans="1:5" ht="174" x14ac:dyDescent="0.35">
      <c r="A11" s="118">
        <v>4</v>
      </c>
      <c r="B11" s="114" t="s">
        <v>12</v>
      </c>
      <c r="C11" s="109" t="str">
        <f>VLOOKUP(Table25755252691013434446474849565758596315181719224566677172737476777879939495[[#This Row],[PEG]],Table1016[#All],2,FALSE)</f>
        <v>SAP HANA – SAP01_GetMember
inputs:
idnumber = iIdnumber	T
idtype 	= iIdtype
outputs:
~ Billing Reference
~ Enrollment Details
~ Billing Details
~ Last Payment
~ Recurring Payment Method
~ Stored Payment Method</v>
      </c>
      <c r="D11" s="141" t="s">
        <v>371</v>
      </c>
      <c r="E11" s="125" t="str">
        <f>VLOOKUP(Table25755252691013434446474849565758596315181719224566677172737476777879939495[[#This Row],[PEG]],Table1016[#All],3,FALSE)</f>
        <v>DB</v>
      </c>
    </row>
    <row r="12" spans="1:5" x14ac:dyDescent="0.35">
      <c r="A12" s="118">
        <v>5</v>
      </c>
      <c r="B12" s="114" t="s">
        <v>115</v>
      </c>
      <c r="C12" s="109" t="str">
        <f>VLOOKUP(Table25755252691013434446474849565758596315181719224566677172737476777879939495[[#This Row],[PEG]],Table1016[#All],2,FALSE)</f>
        <v>Thanks, I found your account!</v>
      </c>
      <c r="D12" s="141" t="s">
        <v>248</v>
      </c>
      <c r="E12" s="125" t="str">
        <f>VLOOKUP(Table25755252691013434446474849565758596315181719224566677172737476777879939495[[#This Row],[PEG]],Table1016[#All],3,FALSE)</f>
        <v>Prompt</v>
      </c>
    </row>
    <row r="13" spans="1:5" x14ac:dyDescent="0.35">
      <c r="A13" s="118">
        <v>6</v>
      </c>
      <c r="B13" s="114" t="s">
        <v>115</v>
      </c>
      <c r="C13" s="109" t="str">
        <f>VLOOKUP(Table25755252691013434446474849565758596315181719224566677172737476777879939495[[#This Row],[PEG]],Table1016[#All],2,FALSE)</f>
        <v>A current balance of &lt;SAP01_CurrentDue&gt; is due by &lt;SAP01_Duedate&gt;.</v>
      </c>
      <c r="D13" s="141" t="s">
        <v>258</v>
      </c>
      <c r="E13" s="125" t="str">
        <f>VLOOKUP(Table25755252691013434446474849565758596315181719224566677172737476777879939495[[#This Row],[PEG]],Table1016[#All],3,FALSE)</f>
        <v>Prompt</v>
      </c>
    </row>
    <row r="14" spans="1:5" x14ac:dyDescent="0.35">
      <c r="A14" s="118">
        <v>7</v>
      </c>
      <c r="B14" s="114" t="s">
        <v>115</v>
      </c>
      <c r="C14" s="109" t="str">
        <f>VLOOKUP(Table25755252691013434446474849565758596315181719224566677172737476777879939495[[#This Row],[PEG]],Table1016[#All],2,FALSE)</f>
        <v>Would you like to pay this in full today?</v>
      </c>
      <c r="D14" s="141" t="s">
        <v>260</v>
      </c>
      <c r="E14" s="125" t="str">
        <f>VLOOKUP(Table25755252691013434446474849565758596315181719224566677172737476777879939495[[#This Row],[PEG]],Table1016[#All],3,FALSE)</f>
        <v>Prompt</v>
      </c>
    </row>
    <row r="15" spans="1:5" x14ac:dyDescent="0.35">
      <c r="A15" s="118">
        <v>8</v>
      </c>
      <c r="B15" s="114" t="s">
        <v>114</v>
      </c>
      <c r="C15" s="109">
        <v>1</v>
      </c>
      <c r="D15" s="164"/>
      <c r="E15" s="125" t="e">
        <f>VLOOKUP(Table25755252691013434446474849565758596315181719224566677172737476777879939495[[#This Row],[PEG]],Table1016[#All],3,FALSE)</f>
        <v>#N/A</v>
      </c>
    </row>
    <row r="16" spans="1:5" x14ac:dyDescent="0.35">
      <c r="A16" s="118">
        <v>9</v>
      </c>
      <c r="B16" s="114" t="s">
        <v>115</v>
      </c>
      <c r="C16" s="109" t="str">
        <f>VLOOKUP(Table25755252691013434446474849565758596315181719224566677172737476777879939495[[#This Row],[PEG]],Table1016[#All],2,FALSE)</f>
        <v>Ok, are you using Credit, Debit, Checking or Savings?</v>
      </c>
      <c r="D16" s="164" t="s">
        <v>286</v>
      </c>
      <c r="E16" s="125" t="str">
        <f>VLOOKUP(Table25755252691013434446474849565758596315181719224566677172737476777879939495[[#This Row],[PEG]],Table1016[#All],3,FALSE)</f>
        <v>Prompt</v>
      </c>
    </row>
    <row r="17" spans="1:5" x14ac:dyDescent="0.35">
      <c r="A17" s="118">
        <v>10</v>
      </c>
      <c r="B17" s="114" t="s">
        <v>114</v>
      </c>
      <c r="C17" s="109">
        <v>2</v>
      </c>
      <c r="D17" s="165"/>
      <c r="E17" s="125" t="e">
        <f>VLOOKUP(Table25755252691013434446474849565758596315181719224566677172737476777879939495[[#This Row],[PEG]],Table1016[#All],3,FALSE)</f>
        <v>#N/A</v>
      </c>
    </row>
    <row r="18" spans="1:5" x14ac:dyDescent="0.35">
      <c r="A18" s="118">
        <v>11</v>
      </c>
      <c r="B18" s="114" t="s">
        <v>115</v>
      </c>
      <c r="C18" s="109" t="str">
        <f>VLOOKUP(Table25755252691013434446474849565758596315181719224566677172737476777879939495[[#This Row],[PEG]],Table1016[#All],2,FALSE)</f>
        <v>Tell me the card number you wish to use.</v>
      </c>
      <c r="D18" s="165" t="s">
        <v>318</v>
      </c>
      <c r="E18" s="125" t="str">
        <f>VLOOKUP(Table25755252691013434446474849565758596315181719224566677172737476777879939495[[#This Row],[PEG]],Table1016[#All],3,FALSE)</f>
        <v>Prompt</v>
      </c>
    </row>
    <row r="19" spans="1:5" x14ac:dyDescent="0.35">
      <c r="A19" s="118">
        <v>12</v>
      </c>
      <c r="B19" s="114" t="s">
        <v>114</v>
      </c>
      <c r="C19" s="109" t="s">
        <v>557</v>
      </c>
      <c r="D19" s="165"/>
      <c r="E19" s="125" t="e">
        <f>VLOOKUP(Table25755252691013434446474849565758596315181719224566677172737476777879939495[[#This Row],[PEG]],Table1016[#All],3,FALSE)</f>
        <v>#N/A</v>
      </c>
    </row>
    <row r="20" spans="1:5" x14ac:dyDescent="0.35">
      <c r="A20" s="118">
        <v>13</v>
      </c>
      <c r="B20" s="114" t="s">
        <v>115</v>
      </c>
      <c r="C20" s="109" t="str">
        <f>VLOOKUP(Table25755252691013434446474849565758596315181719224566677172737476777879939495[[#This Row],[PEG]],Table1016[#All],2,FALSE)</f>
        <v>Is &lt;ivrCardNbr&gt; the right number?</v>
      </c>
      <c r="D20" s="165" t="s">
        <v>320</v>
      </c>
      <c r="E20" s="125">
        <f>VLOOKUP(Table25755252691013434446474849565758596315181719224566677172737476777879939495[[#This Row],[PEG]],Table1016[#All],3,FALSE)</f>
        <v>0</v>
      </c>
    </row>
    <row r="21" spans="1:5" x14ac:dyDescent="0.35">
      <c r="A21" s="118">
        <v>14</v>
      </c>
      <c r="B21" s="114" t="s">
        <v>114</v>
      </c>
      <c r="C21" s="109">
        <v>1</v>
      </c>
      <c r="D21" s="165"/>
      <c r="E21" s="125" t="e">
        <f>VLOOKUP(Table25755252691013434446474849565758596315181719224566677172737476777879939495[[#This Row],[PEG]],Table1016[#All],3,FALSE)</f>
        <v>#N/A</v>
      </c>
    </row>
    <row r="22" spans="1:5" ht="29" x14ac:dyDescent="0.35">
      <c r="A22" s="118">
        <v>15</v>
      </c>
      <c r="B22" s="114" t="s">
        <v>115</v>
      </c>
      <c r="C22" s="109" t="str">
        <f>VLOOKUP(Table25755252691013434446474849565758596315181719224566677172737476777879939495[[#This Row],[PEG]],Table1016[#All],2,FALSE)</f>
        <v>Now, what is the expiration date?  Just say it like this, March &lt;Current Year +3&gt; 
Now go ahead.</v>
      </c>
      <c r="D22" s="165" t="s">
        <v>323</v>
      </c>
      <c r="E22" s="125" t="str">
        <f>VLOOKUP(Table25755252691013434446474849565758596315181719224566677172737476777879939495[[#This Row],[PEG]],Table1016[#All],3,FALSE)</f>
        <v>Prompt</v>
      </c>
    </row>
    <row r="23" spans="1:5" x14ac:dyDescent="0.35">
      <c r="A23" s="118">
        <v>16</v>
      </c>
      <c r="B23" s="114" t="s">
        <v>114</v>
      </c>
      <c r="C23" s="109" t="s">
        <v>399</v>
      </c>
      <c r="D23" s="165"/>
      <c r="E23" s="125" t="e">
        <f>VLOOKUP(Table25755252691013434446474849565758596315181719224566677172737476777879939495[[#This Row],[PEG]],Table1016[#All],3,FALSE)</f>
        <v>#N/A</v>
      </c>
    </row>
    <row r="24" spans="1:5" ht="29" x14ac:dyDescent="0.35">
      <c r="A24" s="118">
        <v>17</v>
      </c>
      <c r="B24" s="114" t="s">
        <v>115</v>
      </c>
      <c r="C24" s="109" t="str">
        <f>VLOOKUP(Table25755252691013434446474849565758596315181719224566677172737476777879939495[[#This Row],[PEG]],Table1016[#All],2,FALSE)</f>
        <v>To confirm, you want to pay &lt;ivrPmtAmt&gt; with a card ending in &lt;last 4 digits of ivrCardNbr&gt;.
Is that right?</v>
      </c>
      <c r="D24" s="165" t="s">
        <v>326</v>
      </c>
      <c r="E24" s="125" t="str">
        <f>VLOOKUP(Table25755252691013434446474849565758596315181719224566677172737476777879939495[[#This Row],[PEG]],Table1016[#All],3,FALSE)</f>
        <v>Prompt</v>
      </c>
    </row>
    <row r="25" spans="1:5" x14ac:dyDescent="0.35">
      <c r="A25" s="118">
        <v>18</v>
      </c>
      <c r="B25" s="114" t="s">
        <v>114</v>
      </c>
      <c r="C25" s="109">
        <v>1</v>
      </c>
      <c r="D25" s="165"/>
      <c r="E25" s="125" t="e">
        <f>VLOOKUP(Table25755252691013434446474849565758596315181719224566677172737476777879939495[[#This Row],[PEG]],Table1016[#All],3,FALSE)</f>
        <v>#N/A</v>
      </c>
    </row>
    <row r="26" spans="1:5" x14ac:dyDescent="0.35">
      <c r="A26" s="118">
        <v>19</v>
      </c>
      <c r="B26" s="114" t="s">
        <v>115</v>
      </c>
      <c r="C26" s="109" t="str">
        <f>VLOOKUP(Table25755252691013434446474849565758596315181719224566677172737476777879939495[[#This Row],[PEG]],Table1016[#All],2,FALSE)</f>
        <v>Before I give you the confirmation number, would you like to use this account to setup recurring monthly payments?</v>
      </c>
      <c r="D26" s="165" t="s">
        <v>329</v>
      </c>
      <c r="E26" s="125" t="str">
        <f>VLOOKUP(Table25755252691013434446474849565758596315181719224566677172737476777879939495[[#This Row],[PEG]],Table1016[#All],3,FALSE)</f>
        <v>Prompt</v>
      </c>
    </row>
    <row r="27" spans="1:5" x14ac:dyDescent="0.35">
      <c r="A27" s="118">
        <v>20</v>
      </c>
      <c r="B27" s="114" t="s">
        <v>114</v>
      </c>
      <c r="C27" s="109">
        <v>1</v>
      </c>
      <c r="D27" s="165"/>
      <c r="E27" s="125" t="e">
        <f>VLOOKUP(Table25755252691013434446474849565758596315181719224566677172737476777879939495[[#This Row],[PEG]],Table1016[#All],3,FALSE)</f>
        <v>#N/A</v>
      </c>
    </row>
    <row r="28" spans="1:5" ht="333.5" x14ac:dyDescent="0.35">
      <c r="A28" s="118">
        <v>21</v>
      </c>
      <c r="B28" s="114" t="s">
        <v>12</v>
      </c>
      <c r="C28" s="109" t="str">
        <f>VLOOKUP(Table25755252691013434446474849565758596315181719224566677172737476777879939495[[#This Row],[PEG]],Table1016[#All],2,FALSE)</f>
        <v xml:space="preserve">CyberSource – CYB02_AuthCard
Input a card_tokenId or a card_number.
inputs:
clientReference_code = IVR.sessionid+"-" +paymentCount
card_tokenId = ivrStoredCardTokenId	
card_number = ivrCardNbr
card_expirationMonth	= ivrCardExpMM		
card_expirationYear = ivrCardExpYYYY			
totalAmount = ivrPmtAmt		
first_name =
last_name =
actionTokenizeFlag = true		
outputs:
CYB02_submitTimeUtc	
CYB02_id	
CYB02_status	
CYB02_approvalCode					
CYB02_responseCode	
CYB02_errorReason
CYB02_errorMesssage
CYB02_cardTokenId	</v>
      </c>
      <c r="D28" s="165" t="s">
        <v>382</v>
      </c>
      <c r="E28" s="125" t="str">
        <f>VLOOKUP(Table25755252691013434446474849565758596315181719224566677172737476777879939495[[#This Row],[PEG]],Table1016[#All],3,FALSE)</f>
        <v>DB</v>
      </c>
    </row>
    <row r="29" spans="1:5" ht="232" x14ac:dyDescent="0.35">
      <c r="A29" s="118">
        <v>22</v>
      </c>
      <c r="B29" s="114" t="s">
        <v>12</v>
      </c>
      <c r="C29" s="109" t="str">
        <f>VLOOKUP(Table25755252691013434446474849565758596315181719224566677172737476777879939495[[#This Row],[PEG]],Table1016[#All],2,FALSE)</f>
        <v>SAP HANA - SAP03_CardPaymentNotification
inputs:
Businesspartner   = SAP01_Partner
Insobject                 = SAP01_Insobject
subscriberID	    = CYB02_cardTokenId
Type		    = ivrCardType	             
Name                        = ivrFirstName + ' ' + ivrLastName				
Expiration	    = ivrExpiration 
Recurring	    = ivrRecurring  
Stored		    = ivrPmtMethodStored  
Last4Digits	    = ivrLast4Digits 
Paymentamount  = ivrPmtAmt 
ReferenceNumber= CYB02_approvalCode
outputs:
SAP03_ConfirmationNum  Payment Confirmation Number</v>
      </c>
      <c r="D29" s="165" t="s">
        <v>374</v>
      </c>
      <c r="E29" s="125" t="str">
        <f>VLOOKUP(Table25755252691013434446474849565758596315181719224566677172737476777879939495[[#This Row],[PEG]],Table1016[#All],3,FALSE)</f>
        <v>DB</v>
      </c>
    </row>
    <row r="30" spans="1:5" ht="29" x14ac:dyDescent="0.35">
      <c r="A30" s="118">
        <v>23</v>
      </c>
      <c r="B30" s="114" t="s">
        <v>115</v>
      </c>
      <c r="C30" s="109" t="str">
        <f>VLOOKUP(Table25755252691013434446474849565758596315181719224566677172737476777879939495[[#This Row],[PEG]],Table1016[#All],2,FALSE)</f>
        <v>Recurring payments in the amount of &lt;SAP01_CurrentDue&gt;, will be deducted on the last day of each month starting in &lt;the month following the SAP01_Duedate&gt;.</v>
      </c>
      <c r="D30" s="165" t="s">
        <v>339</v>
      </c>
      <c r="E30" s="125" t="str">
        <f>VLOOKUP(Table25755252691013434446474849565758596315181719224566677172737476777879939495[[#This Row],[PEG]],Table1016[#All],3,FALSE)</f>
        <v>Prompt</v>
      </c>
    </row>
    <row r="31" spans="1:5" s="97" customFormat="1" ht="29" x14ac:dyDescent="0.35">
      <c r="A31" s="118">
        <v>24</v>
      </c>
      <c r="B31" s="114" t="s">
        <v>115</v>
      </c>
      <c r="C31" s="109" t="str">
        <f>VLOOKUP(Table25755252691013434446474849565758596315181719224566677172737476777879939495[[#This Row],[PEG]],Table1016[#All],2,FALSE)</f>
        <v>Today's payment in the amount of &lt;ivrPmtAmt&gt;, has been processed.  Your confirmation number is &lt;ivrConfirmationNum&gt;. Again, that confirmation number is &lt;ivrConfirmationNum&gt;.</v>
      </c>
      <c r="D31" s="165" t="s">
        <v>340</v>
      </c>
      <c r="E31" s="125"/>
    </row>
    <row r="32" spans="1:5" s="97" customFormat="1" x14ac:dyDescent="0.35">
      <c r="A32" s="118">
        <v>25</v>
      </c>
      <c r="B32" s="114" t="s">
        <v>115</v>
      </c>
      <c r="C32" s="109" t="str">
        <f>VLOOKUP(Table25755252691013434446474849565758596315181719224566677172737476777879939495[[#This Row],[PEG]],Table1016[#All],2,FALSE)</f>
        <v>Would you like me to text the confirmation number?</v>
      </c>
      <c r="D32" s="165" t="s">
        <v>341</v>
      </c>
      <c r="E32" s="125"/>
    </row>
    <row r="33" spans="1:5" s="97" customFormat="1" x14ac:dyDescent="0.35">
      <c r="A33" s="118">
        <v>26</v>
      </c>
      <c r="B33" s="114" t="s">
        <v>114</v>
      </c>
      <c r="C33" s="109">
        <v>1</v>
      </c>
      <c r="D33" s="165"/>
      <c r="E33" s="125"/>
    </row>
    <row r="34" spans="1:5" s="97" customFormat="1" x14ac:dyDescent="0.35">
      <c r="A34" s="118">
        <v>27</v>
      </c>
      <c r="B34" s="114" t="s">
        <v>115</v>
      </c>
      <c r="C34" s="109" t="str">
        <f>VLOOKUP(Table25755252691013434446474849565758596315181719224566677172737476777879939495[[#This Row],[PEG]],Table1016[#All],2,FALSE)</f>
        <v>Tell me the phone number you would like to use.</v>
      </c>
      <c r="D34" s="165" t="s">
        <v>350</v>
      </c>
      <c r="E34" s="125"/>
    </row>
    <row r="35" spans="1:5" s="97" customFormat="1" x14ac:dyDescent="0.35">
      <c r="A35" s="118">
        <v>28</v>
      </c>
      <c r="B35" s="114" t="s">
        <v>114</v>
      </c>
      <c r="C35" s="109" t="s">
        <v>478</v>
      </c>
      <c r="D35" s="165"/>
      <c r="E35" s="125"/>
    </row>
    <row r="36" spans="1:5" s="97" customFormat="1" x14ac:dyDescent="0.35">
      <c r="A36" s="118">
        <v>29</v>
      </c>
      <c r="B36" s="114" t="s">
        <v>115</v>
      </c>
      <c r="C36" s="109" t="str">
        <f>VLOOKUP(Table25755252691013434446474849565758596315181719224566677172737476777879939495[[#This Row],[PEG]],Table1016[#All],2,FALSE)</f>
        <v>I didn’t get that.</v>
      </c>
      <c r="D36" s="165" t="s">
        <v>365</v>
      </c>
      <c r="E36" s="125"/>
    </row>
    <row r="37" spans="1:5" x14ac:dyDescent="0.35">
      <c r="A37" s="118">
        <v>30</v>
      </c>
      <c r="B37" s="114" t="s">
        <v>115</v>
      </c>
      <c r="C37" s="109" t="str">
        <f>VLOOKUP(Table25755252691013434446474849565758596315181719224566677172737476777879939495[[#This Row],[PEG]],Table1016[#All],2,FALSE)</f>
        <v>Just say the phone number you would like to use.</v>
      </c>
      <c r="D37" s="165" t="s">
        <v>351</v>
      </c>
      <c r="E37" s="125" t="str">
        <f>VLOOKUP(Table25755252691013434446474849565758596315181719224566677172737476777879939495[[#This Row],[PEG]],Table1016[#All],3,FALSE)</f>
        <v>Prompt</v>
      </c>
    </row>
    <row r="38" spans="1:5" s="97" customFormat="1" x14ac:dyDescent="0.35">
      <c r="A38" s="118">
        <v>31</v>
      </c>
      <c r="B38" s="114" t="s">
        <v>114</v>
      </c>
      <c r="C38" s="109" t="s">
        <v>478</v>
      </c>
      <c r="D38" s="165"/>
      <c r="E38" s="125"/>
    </row>
    <row r="39" spans="1:5" s="97" customFormat="1" x14ac:dyDescent="0.35">
      <c r="A39" s="118">
        <v>32</v>
      </c>
      <c r="B39" s="114" t="s">
        <v>115</v>
      </c>
      <c r="C39" s="109" t="str">
        <f>VLOOKUP(Table25755252691013434446474849565758596315181719224566677172737476777879939495[[#This Row],[PEG]],Table1016[#All],2,FALSE)</f>
        <v>I still didn’t get that.</v>
      </c>
      <c r="D39" s="165" t="s">
        <v>366</v>
      </c>
      <c r="E39" s="125"/>
    </row>
    <row r="40" spans="1:5" s="97" customFormat="1" x14ac:dyDescent="0.35">
      <c r="A40" s="118">
        <v>33</v>
      </c>
      <c r="B40" s="114" t="s">
        <v>115</v>
      </c>
      <c r="C40" s="109" t="str">
        <f>VLOOKUP(Table25755252691013434446474849565758596315181719224566677172737476777879939495[[#This Row],[PEG]],Table1016[#All],2,FALSE)</f>
        <v>You can say or enter the phone number using your touchtone keypad.</v>
      </c>
      <c r="D40" s="165" t="s">
        <v>352</v>
      </c>
      <c r="E40" s="125"/>
    </row>
    <row r="41" spans="1:5" s="97" customFormat="1" x14ac:dyDescent="0.35">
      <c r="A41" s="118">
        <v>34</v>
      </c>
      <c r="B41" s="114" t="s">
        <v>114</v>
      </c>
      <c r="C41" s="109" t="s">
        <v>478</v>
      </c>
      <c r="D41" s="165"/>
      <c r="E41" s="125"/>
    </row>
    <row r="42" spans="1:5" s="97" customFormat="1" ht="29" x14ac:dyDescent="0.35">
      <c r="A42" s="118">
        <v>35</v>
      </c>
      <c r="B42" s="114" t="s">
        <v>115</v>
      </c>
      <c r="C42" s="109" t="str">
        <f>VLOOKUP(Table25755252691013434446474849565758596315181719224566677172737476777879939495[[#This Row],[PEG]],Table1016[#All],2,FALSE)</f>
        <v>Thank you for your payment today.  For future transactions, you can access your plan details or manage your account anytime online at members.lacare.com.</v>
      </c>
      <c r="D42" s="165" t="s">
        <v>364</v>
      </c>
      <c r="E42" s="125"/>
    </row>
    <row r="43" spans="1:5" s="97" customFormat="1" x14ac:dyDescent="0.35">
      <c r="A43" s="118">
        <v>36</v>
      </c>
      <c r="B43" s="114" t="s">
        <v>13</v>
      </c>
      <c r="C43" s="109" t="s">
        <v>13</v>
      </c>
      <c r="D43" s="165"/>
      <c r="E43" s="125"/>
    </row>
    <row r="44" spans="1:5" x14ac:dyDescent="0.35">
      <c r="C44" s="26"/>
      <c r="D44" s="111" t="s">
        <v>0</v>
      </c>
    </row>
    <row r="45" spans="1:5" x14ac:dyDescent="0.35">
      <c r="C45" s="26"/>
    </row>
    <row r="46" spans="1:5" x14ac:dyDescent="0.35">
      <c r="C46" s="26"/>
    </row>
    <row r="47" spans="1:5" x14ac:dyDescent="0.35">
      <c r="C47" s="26"/>
    </row>
    <row r="48" spans="1:5" x14ac:dyDescent="0.35">
      <c r="C48" s="26"/>
    </row>
    <row r="49" spans="3:3" x14ac:dyDescent="0.35">
      <c r="C49" s="26"/>
    </row>
    <row r="50" spans="3:3" x14ac:dyDescent="0.35">
      <c r="C50" s="26"/>
    </row>
    <row r="51" spans="3:3" x14ac:dyDescent="0.35">
      <c r="C51" s="26"/>
    </row>
    <row r="52" spans="3:3" ht="15.5" customHeight="1" x14ac:dyDescent="0.35">
      <c r="C52" s="26"/>
    </row>
    <row r="53" spans="3:3" x14ac:dyDescent="0.35">
      <c r="C53" s="26"/>
    </row>
    <row r="54" spans="3:3" x14ac:dyDescent="0.35">
      <c r="C54" s="26"/>
    </row>
    <row r="55" spans="3:3" x14ac:dyDescent="0.35">
      <c r="C55" s="26"/>
    </row>
    <row r="56" spans="3:3" x14ac:dyDescent="0.35">
      <c r="C56" s="26"/>
    </row>
    <row r="57" spans="3:3" x14ac:dyDescent="0.35">
      <c r="C57" s="26"/>
    </row>
    <row r="58" spans="3:3" x14ac:dyDescent="0.35">
      <c r="C58" s="26"/>
    </row>
    <row r="59" spans="3:3" x14ac:dyDescent="0.35">
      <c r="C59" s="27"/>
    </row>
    <row r="60" spans="3:3" x14ac:dyDescent="0.35">
      <c r="C60" s="27"/>
    </row>
    <row r="61" spans="3:3" x14ac:dyDescent="0.35">
      <c r="C61" s="27"/>
    </row>
  </sheetData>
  <mergeCells count="1">
    <mergeCell ref="A1:B1"/>
  </mergeCells>
  <conditionalFormatting sqref="C10:C42 C44:C10000">
    <cfRule type="expression" dxfId="4491" priority="36">
      <formula>$B10="Dial"</formula>
    </cfRule>
    <cfRule type="expression" dxfId="4490" priority="38">
      <formula>$B10="HANGUP"</formula>
    </cfRule>
  </conditionalFormatting>
  <conditionalFormatting sqref="B8:B18">
    <cfRule type="containsText" dxfId="4489" priority="8" operator="containsText" text="Hear">
      <formula>NOT(ISERROR(SEARCH("Hear",B8)))</formula>
    </cfRule>
  </conditionalFormatting>
  <conditionalFormatting sqref="B19:B29 B37:B42">
    <cfRule type="containsText" dxfId="4488" priority="14" operator="containsText" text="Hear">
      <formula>NOT(ISERROR(SEARCH("Hear",B19)))</formula>
    </cfRule>
  </conditionalFormatting>
  <conditionalFormatting sqref="B30:B36">
    <cfRule type="containsText" dxfId="4487" priority="11" operator="containsText" text="Hear">
      <formula>NOT(ISERROR(SEARCH("Hear",B30)))</formula>
    </cfRule>
  </conditionalFormatting>
  <conditionalFormatting sqref="C10:C42">
    <cfRule type="expression" dxfId="4486" priority="5">
      <formula>$B10="Speak"</formula>
    </cfRule>
  </conditionalFormatting>
  <conditionalFormatting sqref="C43">
    <cfRule type="expression" dxfId="4485" priority="3">
      <formula>$B43="Dial"</formula>
    </cfRule>
    <cfRule type="expression" dxfId="4484" priority="4">
      <formula>$B43="HANGUP"</formula>
    </cfRule>
  </conditionalFormatting>
  <conditionalFormatting sqref="B43">
    <cfRule type="containsText" dxfId="4483" priority="2" operator="containsText" text="Hear">
      <formula>NOT(ISERROR(SEARCH("Hear",B43)))</formula>
    </cfRule>
  </conditionalFormatting>
  <conditionalFormatting sqref="C43">
    <cfRule type="expression" dxfId="4482" priority="1">
      <formula>$B43="Speak"</formula>
    </cfRule>
  </conditionalFormatting>
  <hyperlinks>
    <hyperlink ref="A1" location="'Test Case Overview'!A1" display="Return to Test Case Overview" xr:uid="{EDFB0407-2AA4-4A99-996A-42FC71151D16}"/>
  </hyperlinks>
  <pageMargins left="0.7" right="0.7" top="0.75" bottom="0.75" header="0.3" footer="0.3"/>
  <pageSetup orientation="portrait" verticalDpi="0" r:id="rId1"/>
  <tableParts count="1">
    <tablePart r:id="rId2"/>
  </tableParts>
  <extLst>
    <ext xmlns:x14="http://schemas.microsoft.com/office/spreadsheetml/2009/9/main" uri="{78C0D931-6437-407d-A8EE-F0AAD7539E65}">
      <x14:conditionalFormattings>
        <x14:conditionalFormatting xmlns:xm="http://schemas.microsoft.com/office/excel/2006/main">
          <x14:cfRule type="expression" priority="18" id="{482B8DAA-6F2B-4C11-AA7A-DD4150AD9CF2}">
            <xm:f>'TC1'!$B8="HANGUP"</xm:f>
            <x14:dxf>
              <font>
                <b/>
                <i val="0"/>
              </font>
            </x14:dxf>
          </x14:cfRule>
          <x14:cfRule type="expression" priority="19" id="{8FDEFE94-6A5E-4DD2-AA5F-2039DBB0B13E}">
            <xm:f>'TC1'!$B8="Dial"</xm:f>
            <x14:dxf>
              <font>
                <b/>
                <i val="0"/>
                <color rgb="FFFF0000"/>
              </font>
            </x14:dxf>
          </x14:cfRule>
          <xm:sqref>C8</xm:sqref>
        </x14:conditionalFormatting>
        <x14:conditionalFormatting xmlns:xm="http://schemas.microsoft.com/office/excel/2006/main">
          <x14:cfRule type="expression" priority="20" id="{BE22B5AB-67DE-4517-BB2E-FE96F48878F0}">
            <xm:f>'TC1'!$B8="Speak"</xm:f>
            <x14:dxf>
              <font>
                <b/>
                <i val="0"/>
                <color rgb="FFFF0000"/>
              </font>
            </x14:dxf>
          </x14:cfRule>
          <xm:sqref>C8</xm:sqref>
        </x14:conditionalFormatting>
        <x14:conditionalFormatting xmlns:xm="http://schemas.microsoft.com/office/excel/2006/main">
          <x14:cfRule type="containsText" priority="1344" operator="containsText" text="DB" id="{C2460CAC-E2AD-49E7-A1DC-A81C188282F1}">
            <xm:f>NOT(ISERROR(SEARCH("DB",'TC1'!#REF!)))</xm:f>
            <x14:dxf>
              <font>
                <color rgb="FF006100"/>
              </font>
              <fill>
                <patternFill>
                  <bgColor rgb="FFC6EFCE"/>
                </patternFill>
              </fill>
            </x14:dxf>
          </x14:cfRule>
          <x14:cfRule type="containsText" priority="1345" operator="containsText" text="WEB SERVICE" id="{3E296E4B-23D9-41C0-B273-300BF2412D8E}">
            <xm:f>NOT(ISERROR(SEARCH("WEB SERVICE",'TC1'!#REF!)))</xm:f>
            <x14:dxf>
              <font>
                <color rgb="FF9C0006"/>
              </font>
              <fill>
                <patternFill>
                  <bgColor rgb="FFFFC7CE"/>
                </patternFill>
              </fill>
            </x14:dxf>
          </x14:cfRule>
          <xm:sqref>E17:E43</xm:sqref>
        </x14:conditionalFormatting>
        <x14:conditionalFormatting xmlns:xm="http://schemas.microsoft.com/office/excel/2006/main">
          <x14:cfRule type="expression" priority="4138" id="{482B8DAA-6F2B-4C11-AA7A-DD4150AD9CF2}">
            <xm:f>'TC1'!#REF!="HANGUP"</xm:f>
            <x14:dxf>
              <font>
                <b/>
                <i val="0"/>
              </font>
            </x14:dxf>
          </x14:cfRule>
          <x14:cfRule type="expression" priority="4139" id="{8FDEFE94-6A5E-4DD2-AA5F-2039DBB0B13E}">
            <xm:f>'TC1'!#REF!="Dial"</xm:f>
            <x14:dxf>
              <font>
                <b/>
                <i val="0"/>
                <color rgb="FFFF0000"/>
              </font>
            </x14:dxf>
          </x14:cfRule>
          <xm:sqref>C9</xm:sqref>
        </x14:conditionalFormatting>
        <x14:conditionalFormatting xmlns:xm="http://schemas.microsoft.com/office/excel/2006/main">
          <x14:cfRule type="expression" priority="4144" id="{BE22B5AB-67DE-4517-BB2E-FE96F48878F0}">
            <xm:f>'TC1'!#REF!="Speak"</xm:f>
            <x14:dxf>
              <font>
                <b/>
                <i val="0"/>
                <color rgb="FFFF0000"/>
              </font>
            </x14:dxf>
          </x14:cfRule>
          <xm:sqref>C9</xm:sqref>
        </x14:conditionalFormatting>
        <x14:conditionalFormatting xmlns:xm="http://schemas.microsoft.com/office/excel/2006/main">
          <x14:cfRule type="containsText" priority="4146" operator="containsText" text="DB" id="{C2460CAC-E2AD-49E7-A1DC-A81C188282F1}">
            <xm:f>NOT(ISERROR(SEARCH("DB",'TC1'!#REF!)))</xm:f>
            <x14:dxf>
              <font>
                <color rgb="FF006100"/>
              </font>
              <fill>
                <patternFill>
                  <bgColor rgb="FFC6EFCE"/>
                </patternFill>
              </fill>
            </x14:dxf>
          </x14:cfRule>
          <x14:cfRule type="containsText" priority="4147" operator="containsText" text="WEB SERVICE" id="{3E296E4B-23D9-41C0-B273-300BF2412D8E}">
            <xm:f>NOT(ISERROR(SEARCH("WEB SERVICE",'TC1'!#REF!)))</xm:f>
            <x14:dxf>
              <font>
                <color rgb="FF9C0006"/>
              </font>
              <fill>
                <patternFill>
                  <bgColor rgb="FFFFC7CE"/>
                </patternFill>
              </fill>
            </x14:dxf>
          </x14:cfRule>
          <xm:sqref>E9:E11</xm:sqref>
        </x14:conditionalFormatting>
        <x14:conditionalFormatting xmlns:xm="http://schemas.microsoft.com/office/excel/2006/main">
          <x14:cfRule type="containsText" priority="4148" operator="containsText" text="DB" id="{C2460CAC-E2AD-49E7-A1DC-A81C188282F1}">
            <xm:f>NOT(ISERROR(SEARCH("DB",'TC1'!E9)))</xm:f>
            <x14:dxf>
              <font>
                <color rgb="FF006100"/>
              </font>
              <fill>
                <patternFill>
                  <bgColor rgb="FFC6EFCE"/>
                </patternFill>
              </fill>
            </x14:dxf>
          </x14:cfRule>
          <x14:cfRule type="containsText" priority="4149" operator="containsText" text="WEB SERVICE" id="{3E296E4B-23D9-41C0-B273-300BF2412D8E}">
            <xm:f>NOT(ISERROR(SEARCH("WEB SERVICE",'TC1'!E9)))</xm:f>
            <x14:dxf>
              <font>
                <color rgb="FF9C0006"/>
              </font>
              <fill>
                <patternFill>
                  <bgColor rgb="FFFFC7CE"/>
                </patternFill>
              </fill>
            </x14:dxf>
          </x14:cfRule>
          <xm:sqref>E12:E15</xm:sqref>
        </x14:conditionalFormatting>
        <x14:conditionalFormatting xmlns:xm="http://schemas.microsoft.com/office/excel/2006/main">
          <x14:cfRule type="containsText" priority="6633" operator="containsText" text="DB" id="{C2460CAC-E2AD-49E7-A1DC-A81C188282F1}">
            <xm:f>NOT(ISERROR(SEARCH("DB",'TC1'!E15)))</xm:f>
            <x14:dxf>
              <font>
                <color rgb="FF006100"/>
              </font>
              <fill>
                <patternFill>
                  <bgColor rgb="FFC6EFCE"/>
                </patternFill>
              </fill>
            </x14:dxf>
          </x14:cfRule>
          <x14:cfRule type="containsText" priority="6634" operator="containsText" text="WEB SERVICE" id="{3E296E4B-23D9-41C0-B273-300BF2412D8E}">
            <xm:f>NOT(ISERROR(SEARCH("WEB SERVICE",'TC1'!E15)))</xm:f>
            <x14:dxf>
              <font>
                <color rgb="FF9C0006"/>
              </font>
              <fill>
                <patternFill>
                  <bgColor rgb="FFFFC7CE"/>
                </patternFill>
              </fill>
            </x14:dxf>
          </x14:cfRule>
          <xm:sqref>E16</xm:sqref>
        </x14:conditionalFormatting>
      </x14:conditionalFormattings>
    </ext>
  </extLst>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6"/>
  <dimension ref="A1:E56"/>
  <sheetViews>
    <sheetView zoomScaleNormal="100" workbookViewId="0">
      <selection activeCell="C10" sqref="C10"/>
    </sheetView>
  </sheetViews>
  <sheetFormatPr defaultRowHeight="14.5" x14ac:dyDescent="0.35"/>
  <cols>
    <col min="1" max="1" width="14.453125" style="97" bestFit="1" customWidth="1"/>
    <col min="2" max="2" width="42.6328125" style="97" customWidth="1"/>
    <col min="3" max="3" width="106.1796875" style="98" customWidth="1"/>
    <col min="4" max="4" width="21.81640625" style="111" bestFit="1" customWidth="1"/>
    <col min="5" max="5" width="20.6328125" style="97" customWidth="1"/>
  </cols>
  <sheetData>
    <row r="1" spans="1:5" ht="18.5" x14ac:dyDescent="0.35">
      <c r="A1" s="192" t="s">
        <v>4</v>
      </c>
      <c r="B1" s="192"/>
      <c r="C1" s="105"/>
    </row>
    <row r="2" spans="1:5" x14ac:dyDescent="0.35">
      <c r="A2" s="106" t="s">
        <v>5</v>
      </c>
      <c r="B2" s="107" t="str">
        <f ca="1">MID(CELL("filename",A1),FIND("]",CELL("filename",A1))+1,LEN(CELL("filename",A1))-FIND("]",CELL("filename",A1)))</f>
        <v>TC54</v>
      </c>
    </row>
    <row r="3" spans="1:5" x14ac:dyDescent="0.35">
      <c r="A3" s="104" t="s">
        <v>19</v>
      </c>
      <c r="B3" s="112">
        <f ca="1">VLOOKUP(B2,Table53[#All],2,FALSE)</f>
        <v>0</v>
      </c>
    </row>
    <row r="4" spans="1:5" ht="29" x14ac:dyDescent="0.35">
      <c r="A4" s="113" t="s">
        <v>20</v>
      </c>
      <c r="B4" s="99" t="str">
        <f ca="1">VLOOKUP(B2,Table53[#All],4,FALSE)</f>
        <v>No Recurring, Current Due, No Stored Mthd, Enter Card</v>
      </c>
    </row>
    <row r="5" spans="1:5" x14ac:dyDescent="0.35">
      <c r="A5" s="104" t="s">
        <v>6</v>
      </c>
      <c r="B5" s="93" t="str">
        <f ca="1">VLOOKUP(B2,Table53[#All],3,FALSE)</f>
        <v>Get Card - Pmt Decline No Match x3</v>
      </c>
    </row>
    <row r="7" spans="1:5" ht="15.5" x14ac:dyDescent="0.35">
      <c r="A7" s="100" t="s">
        <v>7</v>
      </c>
      <c r="B7" s="101" t="s">
        <v>8</v>
      </c>
      <c r="C7" s="102" t="s">
        <v>9</v>
      </c>
      <c r="D7" s="102" t="s">
        <v>14</v>
      </c>
      <c r="E7" s="103" t="s">
        <v>10</v>
      </c>
    </row>
    <row r="8" spans="1:5" x14ac:dyDescent="0.35">
      <c r="A8" s="118">
        <v>1</v>
      </c>
      <c r="B8" s="114" t="s">
        <v>114</v>
      </c>
      <c r="C8" s="109" t="s">
        <v>125</v>
      </c>
      <c r="D8" s="152"/>
      <c r="E8" s="125" t="s">
        <v>11</v>
      </c>
    </row>
    <row r="9" spans="1:5" x14ac:dyDescent="0.35">
      <c r="A9" s="118">
        <v>2</v>
      </c>
      <c r="B9" s="114" t="s">
        <v>115</v>
      </c>
      <c r="C9" s="109" t="str">
        <f>VLOOKUP(Table2575525269101343444647484956575859631518171922456667717273747677787993949596[[#This Row],[PEG]],Table1016[#All],2,FALSE)</f>
        <v>To get started, tell me your Account Number</v>
      </c>
      <c r="D9" s="141" t="s">
        <v>245</v>
      </c>
      <c r="E9" s="125" t="str">
        <f>VLOOKUP(Table2575525269101343444647484956575859631518171922456667717273747677787993949596[[#This Row],[PEG]],Table1016[#All],3,FALSE)</f>
        <v>Prompt</v>
      </c>
    </row>
    <row r="10" spans="1:5" x14ac:dyDescent="0.35">
      <c r="A10" s="118">
        <v>3</v>
      </c>
      <c r="B10" s="114" t="s">
        <v>114</v>
      </c>
      <c r="C10" s="109" t="s">
        <v>412</v>
      </c>
      <c r="D10" s="141"/>
      <c r="E10" s="125" t="e">
        <f>VLOOKUP(Table2575525269101343444647484956575859631518171922456667717273747677787993949596[[#This Row],[PEG]],Table1016[#All],3,FALSE)</f>
        <v>#N/A</v>
      </c>
    </row>
    <row r="11" spans="1:5" ht="174" x14ac:dyDescent="0.35">
      <c r="A11" s="118">
        <v>4</v>
      </c>
      <c r="B11" s="114" t="s">
        <v>12</v>
      </c>
      <c r="C11" s="109" t="str">
        <f>VLOOKUP(Table2575525269101343444647484956575859631518171922456667717273747677787993949596[[#This Row],[PEG]],Table1016[#All],2,FALSE)</f>
        <v>SAP HANA – SAP01_GetMember
inputs:
idnumber = iIdnumber	T
idtype 	= iIdtype
outputs:
~ Billing Reference
~ Enrollment Details
~ Billing Details
~ Last Payment
~ Recurring Payment Method
~ Stored Payment Method</v>
      </c>
      <c r="D11" s="141" t="s">
        <v>371</v>
      </c>
      <c r="E11" s="125" t="str">
        <f>VLOOKUP(Table2575525269101343444647484956575859631518171922456667717273747677787993949596[[#This Row],[PEG]],Table1016[#All],3,FALSE)</f>
        <v>DB</v>
      </c>
    </row>
    <row r="12" spans="1:5" x14ac:dyDescent="0.35">
      <c r="A12" s="118">
        <v>5</v>
      </c>
      <c r="B12" s="114" t="s">
        <v>115</v>
      </c>
      <c r="C12" s="109" t="str">
        <f>VLOOKUP(Table2575525269101343444647484956575859631518171922456667717273747677787993949596[[#This Row],[PEG]],Table1016[#All],2,FALSE)</f>
        <v>Thanks, I found your account!</v>
      </c>
      <c r="D12" s="141" t="s">
        <v>248</v>
      </c>
      <c r="E12" s="125" t="str">
        <f>VLOOKUP(Table2575525269101343444647484956575859631518171922456667717273747677787993949596[[#This Row],[PEG]],Table1016[#All],3,FALSE)</f>
        <v>Prompt</v>
      </c>
    </row>
    <row r="13" spans="1:5" x14ac:dyDescent="0.35">
      <c r="A13" s="118">
        <v>6</v>
      </c>
      <c r="B13" s="114" t="s">
        <v>115</v>
      </c>
      <c r="C13" s="109" t="str">
        <f>VLOOKUP(Table2575525269101343444647484956575859631518171922456667717273747677787993949596[[#This Row],[PEG]],Table1016[#All],2,FALSE)</f>
        <v>A current balance of &lt;SAP01_CurrentDue&gt; is due by &lt;SAP01_Duedate&gt;.</v>
      </c>
      <c r="D13" s="141" t="s">
        <v>258</v>
      </c>
      <c r="E13" s="125" t="str">
        <f>VLOOKUP(Table2575525269101343444647484956575859631518171922456667717273747677787993949596[[#This Row],[PEG]],Table1016[#All],3,FALSE)</f>
        <v>Prompt</v>
      </c>
    </row>
    <row r="14" spans="1:5" x14ac:dyDescent="0.35">
      <c r="A14" s="118">
        <v>7</v>
      </c>
      <c r="B14" s="114" t="s">
        <v>115</v>
      </c>
      <c r="C14" s="109" t="str">
        <f>VLOOKUP(Table2575525269101343444647484956575859631518171922456667717273747677787993949596[[#This Row],[PEG]],Table1016[#All],2,FALSE)</f>
        <v>Would you like to pay this in full today?</v>
      </c>
      <c r="D14" s="141" t="s">
        <v>260</v>
      </c>
      <c r="E14" s="125" t="str">
        <f>VLOOKUP(Table2575525269101343444647484956575859631518171922456667717273747677787993949596[[#This Row],[PEG]],Table1016[#All],3,FALSE)</f>
        <v>Prompt</v>
      </c>
    </row>
    <row r="15" spans="1:5" x14ac:dyDescent="0.35">
      <c r="A15" s="118">
        <v>8</v>
      </c>
      <c r="B15" s="114" t="s">
        <v>114</v>
      </c>
      <c r="C15" s="109">
        <v>1</v>
      </c>
      <c r="D15" s="164"/>
      <c r="E15" s="125" t="e">
        <f>VLOOKUP(Table2575525269101343444647484956575859631518171922456667717273747677787993949596[[#This Row],[PEG]],Table1016[#All],3,FALSE)</f>
        <v>#N/A</v>
      </c>
    </row>
    <row r="16" spans="1:5" x14ac:dyDescent="0.35">
      <c r="A16" s="118">
        <v>9</v>
      </c>
      <c r="B16" s="114" t="s">
        <v>115</v>
      </c>
      <c r="C16" s="109" t="str">
        <f>VLOOKUP(Table2575525269101343444647484956575859631518171922456667717273747677787993949596[[#This Row],[PEG]],Table1016[#All],2,FALSE)</f>
        <v>Ok, are you using Credit, Debit, Checking or Savings?</v>
      </c>
      <c r="D16" s="164" t="s">
        <v>286</v>
      </c>
      <c r="E16" s="125" t="str">
        <f>VLOOKUP(Table2575525269101343444647484956575859631518171922456667717273747677787993949596[[#This Row],[PEG]],Table1016[#All],3,FALSE)</f>
        <v>Prompt</v>
      </c>
    </row>
    <row r="17" spans="1:5" x14ac:dyDescent="0.35">
      <c r="A17" s="118">
        <v>10</v>
      </c>
      <c r="B17" s="114" t="s">
        <v>114</v>
      </c>
      <c r="C17" s="109">
        <v>2</v>
      </c>
      <c r="D17" s="165"/>
      <c r="E17" s="125" t="e">
        <f>VLOOKUP(Table2575525269101343444647484956575859631518171922456667717273747677787993949596[[#This Row],[PEG]],Table1016[#All],3,FALSE)</f>
        <v>#N/A</v>
      </c>
    </row>
    <row r="18" spans="1:5" x14ac:dyDescent="0.35">
      <c r="A18" s="118">
        <v>11</v>
      </c>
      <c r="B18" s="114" t="s">
        <v>115</v>
      </c>
      <c r="C18" s="109" t="str">
        <f>VLOOKUP(Table2575525269101343444647484956575859631518171922456667717273747677787993949596[[#This Row],[PEG]],Table1016[#All],2,FALSE)</f>
        <v>Tell me the card number you wish to use.</v>
      </c>
      <c r="D18" s="165" t="s">
        <v>318</v>
      </c>
      <c r="E18" s="125" t="str">
        <f>VLOOKUP(Table2575525269101343444647484956575859631518171922456667717273747677787993949596[[#This Row],[PEG]],Table1016[#All],3,FALSE)</f>
        <v>Prompt</v>
      </c>
    </row>
    <row r="19" spans="1:5" x14ac:dyDescent="0.35">
      <c r="A19" s="118">
        <v>12</v>
      </c>
      <c r="B19" s="114" t="s">
        <v>114</v>
      </c>
      <c r="C19" s="109" t="s">
        <v>557</v>
      </c>
      <c r="D19" s="165"/>
      <c r="E19" s="125" t="e">
        <f>VLOOKUP(Table2575525269101343444647484956575859631518171922456667717273747677787993949596[[#This Row],[PEG]],Table1016[#All],3,FALSE)</f>
        <v>#N/A</v>
      </c>
    </row>
    <row r="20" spans="1:5" x14ac:dyDescent="0.35">
      <c r="A20" s="118">
        <v>13</v>
      </c>
      <c r="B20" s="114" t="s">
        <v>115</v>
      </c>
      <c r="C20" s="109" t="str">
        <f>VLOOKUP(Table2575525269101343444647484956575859631518171922456667717273747677787993949596[[#This Row],[PEG]],Table1016[#All],2,FALSE)</f>
        <v>Is &lt;ivrCardNbr&gt; the right number?</v>
      </c>
      <c r="D20" s="165" t="s">
        <v>320</v>
      </c>
      <c r="E20" s="125">
        <f>VLOOKUP(Table2575525269101343444647484956575859631518171922456667717273747677787993949596[[#This Row],[PEG]],Table1016[#All],3,FALSE)</f>
        <v>0</v>
      </c>
    </row>
    <row r="21" spans="1:5" x14ac:dyDescent="0.35">
      <c r="A21" s="118">
        <v>14</v>
      </c>
      <c r="B21" s="114" t="s">
        <v>114</v>
      </c>
      <c r="C21" s="109">
        <v>1</v>
      </c>
      <c r="D21" s="165"/>
      <c r="E21" s="125" t="e">
        <f>VLOOKUP(Table2575525269101343444647484956575859631518171922456667717273747677787993949596[[#This Row],[PEG]],Table1016[#All],3,FALSE)</f>
        <v>#N/A</v>
      </c>
    </row>
    <row r="22" spans="1:5" ht="29" x14ac:dyDescent="0.35">
      <c r="A22" s="118">
        <v>15</v>
      </c>
      <c r="B22" s="114" t="s">
        <v>115</v>
      </c>
      <c r="C22" s="109" t="str">
        <f>VLOOKUP(Table2575525269101343444647484956575859631518171922456667717273747677787993949596[[#This Row],[PEG]],Table1016[#All],2,FALSE)</f>
        <v>Now, what is the expiration date?  Just say it like this, March &lt;Current Year +3&gt; 
Now go ahead.</v>
      </c>
      <c r="D22" s="165" t="s">
        <v>323</v>
      </c>
      <c r="E22" s="125" t="str">
        <f>VLOOKUP(Table2575525269101343444647484956575859631518171922456667717273747677787993949596[[#This Row],[PEG]],Table1016[#All],3,FALSE)</f>
        <v>Prompt</v>
      </c>
    </row>
    <row r="23" spans="1:5" x14ac:dyDescent="0.35">
      <c r="A23" s="118">
        <v>16</v>
      </c>
      <c r="B23" s="114" t="s">
        <v>114</v>
      </c>
      <c r="C23" s="109" t="s">
        <v>399</v>
      </c>
      <c r="D23" s="165"/>
      <c r="E23" s="125" t="e">
        <f>VLOOKUP(Table2575525269101343444647484956575859631518171922456667717273747677787993949596[[#This Row],[PEG]],Table1016[#All],3,FALSE)</f>
        <v>#N/A</v>
      </c>
    </row>
    <row r="24" spans="1:5" ht="29" x14ac:dyDescent="0.35">
      <c r="A24" s="118">
        <v>17</v>
      </c>
      <c r="B24" s="114" t="s">
        <v>115</v>
      </c>
      <c r="C24" s="109" t="str">
        <f>VLOOKUP(Table2575525269101343444647484956575859631518171922456667717273747677787993949596[[#This Row],[PEG]],Table1016[#All],2,FALSE)</f>
        <v>To confirm, you want to pay &lt;ivrPmtAmt&gt; with a card ending in &lt;last 4 digits of ivrCardNbr&gt;.
Is that right?</v>
      </c>
      <c r="D24" s="165" t="s">
        <v>326</v>
      </c>
      <c r="E24" s="125" t="str">
        <f>VLOOKUP(Table2575525269101343444647484956575859631518171922456667717273747677787993949596[[#This Row],[PEG]],Table1016[#All],3,FALSE)</f>
        <v>Prompt</v>
      </c>
    </row>
    <row r="25" spans="1:5" x14ac:dyDescent="0.35">
      <c r="A25" s="118">
        <v>18</v>
      </c>
      <c r="B25" s="114" t="s">
        <v>114</v>
      </c>
      <c r="C25" s="109">
        <v>1</v>
      </c>
      <c r="D25" s="165"/>
      <c r="E25" s="125" t="e">
        <f>VLOOKUP(Table2575525269101343444647484956575859631518171922456667717273747677787993949596[[#This Row],[PEG]],Table1016[#All],3,FALSE)</f>
        <v>#N/A</v>
      </c>
    </row>
    <row r="26" spans="1:5" x14ac:dyDescent="0.35">
      <c r="A26" s="118">
        <v>19</v>
      </c>
      <c r="B26" s="114" t="s">
        <v>115</v>
      </c>
      <c r="C26" s="109" t="str">
        <f>VLOOKUP(Table2575525269101343444647484956575859631518171922456667717273747677787993949596[[#This Row],[PEG]],Table1016[#All],2,FALSE)</f>
        <v>Before I give you the confirmation number, would you like to use this account to setup recurring monthly payments?</v>
      </c>
      <c r="D26" s="165" t="s">
        <v>329</v>
      </c>
      <c r="E26" s="125" t="str">
        <f>VLOOKUP(Table2575525269101343444647484956575859631518171922456667717273747677787993949596[[#This Row],[PEG]],Table1016[#All],3,FALSE)</f>
        <v>Prompt</v>
      </c>
    </row>
    <row r="27" spans="1:5" x14ac:dyDescent="0.35">
      <c r="A27" s="118">
        <v>20</v>
      </c>
      <c r="B27" s="114" t="s">
        <v>114</v>
      </c>
      <c r="C27" s="109">
        <v>2</v>
      </c>
      <c r="D27" s="165"/>
      <c r="E27" s="125" t="e">
        <f>VLOOKUP(Table2575525269101343444647484956575859631518171922456667717273747677787993949596[[#This Row],[PEG]],Table1016[#All],3,FALSE)</f>
        <v>#N/A</v>
      </c>
    </row>
    <row r="28" spans="1:5" ht="333.5" x14ac:dyDescent="0.35">
      <c r="A28" s="118">
        <v>21</v>
      </c>
      <c r="B28" s="114" t="s">
        <v>12</v>
      </c>
      <c r="C28" s="109" t="str">
        <f>VLOOKUP(Table2575525269101343444647484956575859631518171922456667717273747677787993949596[[#This Row],[PEG]],Table1016[#All],2,FALSE)</f>
        <v xml:space="preserve">CyberSource – CYB02_AuthCard
Input a card_tokenId or a card_number.
inputs:
clientReference_code = IVR.sessionid+"-" +paymentCount
card_tokenId = ivrStoredCardTokenId	
card_number = ivrCardNbr
card_expirationMonth	= ivrCardExpMM		
card_expirationYear = ivrCardExpYYYY			
totalAmount = ivrPmtAmt		
first_name =
last_name =
actionTokenizeFlag = true		
outputs:
CYB02_submitTimeUtc	
CYB02_id	
CYB02_status	
CYB02_approvalCode					
CYB02_responseCode	
CYB02_errorReason
CYB02_errorMesssage
CYB02_cardTokenId	</v>
      </c>
      <c r="D28" s="165" t="s">
        <v>382</v>
      </c>
      <c r="E28" s="125" t="str">
        <f>VLOOKUP(Table2575525269101343444647484956575859631518171922456667717273747677787993949596[[#This Row],[PEG]],Table1016[#All],3,FALSE)</f>
        <v>DB</v>
      </c>
    </row>
    <row r="29" spans="1:5" x14ac:dyDescent="0.35">
      <c r="A29" s="118">
        <v>22</v>
      </c>
      <c r="B29" s="114" t="s">
        <v>115</v>
      </c>
      <c r="C29" s="109" t="str">
        <f>VLOOKUP(Table2575525269101343444647484956575859631518171922456667717273747677787993949596[[#This Row],[PEG]],Table1016[#All],2,FALSE)</f>
        <v>I was unable to process a payment using the card provided.  Would you like to use a different payment method?</v>
      </c>
      <c r="D29" s="165" t="s">
        <v>332</v>
      </c>
      <c r="E29" s="125" t="str">
        <f>VLOOKUP(Table2575525269101343444647484956575859631518171922456667717273747677787993949596[[#This Row],[PEG]],Table1016[#All],3,FALSE)</f>
        <v>Prompt</v>
      </c>
    </row>
    <row r="30" spans="1:5" x14ac:dyDescent="0.35">
      <c r="A30" s="118">
        <v>23</v>
      </c>
      <c r="B30" s="114" t="s">
        <v>114</v>
      </c>
      <c r="C30" s="109">
        <v>3</v>
      </c>
      <c r="D30" s="165"/>
      <c r="E30" s="125" t="e">
        <f>VLOOKUP(Table2575525269101343444647484956575859631518171922456667717273747677787993949596[[#This Row],[PEG]],Table1016[#All],3,FALSE)</f>
        <v>#N/A</v>
      </c>
    </row>
    <row r="31" spans="1:5" x14ac:dyDescent="0.35">
      <c r="A31" s="118">
        <v>24</v>
      </c>
      <c r="B31" s="114" t="s">
        <v>115</v>
      </c>
      <c r="C31" s="109" t="str">
        <f>VLOOKUP(Table2575525269101343444647484956575859631518171922456667717273747677787993949596[[#This Row],[PEG]],Table1016[#All],2,FALSE)</f>
        <v>Sorry, I didn’t understand.</v>
      </c>
      <c r="D31" s="165" t="s">
        <v>367</v>
      </c>
      <c r="E31" s="125" t="str">
        <f>VLOOKUP(Table2575525269101343444647484956575859631518171922456667717273747677787993949596[[#This Row],[PEG]],Table1016[#All],3,FALSE)</f>
        <v>Prompt</v>
      </c>
    </row>
    <row r="32" spans="1:5" x14ac:dyDescent="0.35">
      <c r="A32" s="118">
        <v>25</v>
      </c>
      <c r="B32" s="114" t="s">
        <v>115</v>
      </c>
      <c r="C32" s="109" t="str">
        <f>VLOOKUP(Table2575525269101343444647484956575859631518171922456667717273747677787993949596[[#This Row],[PEG]],Table1016[#All],2,FALSE)</f>
        <v>Would you like to use a different payment method?  Just say yes or no</v>
      </c>
      <c r="D32" s="165" t="s">
        <v>333</v>
      </c>
      <c r="E32" s="125" t="str">
        <f>VLOOKUP(Table2575525269101343444647484956575859631518171922456667717273747677787993949596[[#This Row],[PEG]],Table1016[#All],3,FALSE)</f>
        <v>Prompt</v>
      </c>
    </row>
    <row r="33" spans="1:5" x14ac:dyDescent="0.35">
      <c r="A33" s="118">
        <v>26</v>
      </c>
      <c r="B33" s="114" t="s">
        <v>114</v>
      </c>
      <c r="C33" s="109">
        <v>3</v>
      </c>
      <c r="D33" s="165"/>
      <c r="E33" s="125" t="e">
        <f>VLOOKUP(Table2575525269101343444647484956575859631518171922456667717273747677787993949596[[#This Row],[PEG]],Table1016[#All],3,FALSE)</f>
        <v>#N/A</v>
      </c>
    </row>
    <row r="34" spans="1:5" x14ac:dyDescent="0.35">
      <c r="A34" s="118">
        <v>27</v>
      </c>
      <c r="B34" s="114" t="s">
        <v>115</v>
      </c>
      <c r="C34" s="109" t="str">
        <f>VLOOKUP(Table2575525269101343444647484956575859631518171922456667717273747677787993949596[[#This Row],[PEG]],Table1016[#All],2,FALSE)</f>
        <v>Let’s try that one more time.</v>
      </c>
      <c r="D34" s="165" t="s">
        <v>368</v>
      </c>
      <c r="E34" s="125" t="str">
        <f>VLOOKUP(Table2575525269101343444647484956575859631518171922456667717273747677787993949596[[#This Row],[PEG]],Table1016[#All],3,FALSE)</f>
        <v>Prompt</v>
      </c>
    </row>
    <row r="35" spans="1:5" s="97" customFormat="1" x14ac:dyDescent="0.35">
      <c r="A35" s="118">
        <v>28</v>
      </c>
      <c r="B35" s="114" t="s">
        <v>115</v>
      </c>
      <c r="C35" s="109" t="str">
        <f>VLOOKUP(Table2575525269101343444647484956575859631518171922456667717273747677787993949596[[#This Row],[PEG]],Table1016[#All],2,FALSE)</f>
        <v>To use another payment method just say yes or press 1.  Otherwise say no or press 2.</v>
      </c>
      <c r="D35" s="165" t="s">
        <v>520</v>
      </c>
      <c r="E35" s="125" t="str">
        <f>VLOOKUP(Table2575525269101343444647484956575859631518171922456667717273747677787993949596[[#This Row],[PEG]],Table1016[#All],3,FALSE)</f>
        <v>Prompt</v>
      </c>
    </row>
    <row r="36" spans="1:5" s="97" customFormat="1" x14ac:dyDescent="0.35">
      <c r="A36" s="118">
        <v>29</v>
      </c>
      <c r="B36" s="114" t="s">
        <v>114</v>
      </c>
      <c r="C36" s="109">
        <v>3</v>
      </c>
      <c r="D36" s="165"/>
      <c r="E36" s="125" t="e">
        <f>VLOOKUP(Table2575525269101343444647484956575859631518171922456667717273747677787993949596[[#This Row],[PEG]],Table1016[#All],3,FALSE)</f>
        <v>#N/A</v>
      </c>
    </row>
    <row r="37" spans="1:5" s="97" customFormat="1" ht="29" x14ac:dyDescent="0.35">
      <c r="A37" s="118">
        <v>30</v>
      </c>
      <c r="B37" s="114" t="s">
        <v>115</v>
      </c>
      <c r="C37" s="109" t="str">
        <f>VLOOKUP(Table2575525269101343444647484956575859631518171922456667717273747677787993949596[[#This Row],[PEG]],Table1016[#All],2,FALSE)</f>
        <v>It seems you are having trouble. For future transactions you can also access your plan details, or manage your account online anytime at members.lacare.com. One moment while I get someone to help. Make sure to have your invoice available.</v>
      </c>
      <c r="D37" s="165" t="s">
        <v>361</v>
      </c>
      <c r="E37" s="125" t="str">
        <f>VLOOKUP(Table2575525269101343444647484956575859631518171922456667717273747677787993949596[[#This Row],[PEG]],Table1016[#All],3,FALSE)</f>
        <v>Prompt</v>
      </c>
    </row>
    <row r="38" spans="1:5" s="97" customFormat="1" x14ac:dyDescent="0.35">
      <c r="A38" s="118">
        <v>31</v>
      </c>
      <c r="B38" s="114" t="s">
        <v>13</v>
      </c>
      <c r="C38" s="109" t="s">
        <v>13</v>
      </c>
      <c r="D38" s="165"/>
      <c r="E38" s="125" t="e">
        <f>VLOOKUP(Table2575525269101343444647484956575859631518171922456667717273747677787993949596[[#This Row],[PEG]],Table1016[#All],3,FALSE)</f>
        <v>#N/A</v>
      </c>
    </row>
    <row r="39" spans="1:5" x14ac:dyDescent="0.35">
      <c r="C39" s="26"/>
      <c r="D39" s="111" t="s">
        <v>0</v>
      </c>
    </row>
    <row r="40" spans="1:5" x14ac:dyDescent="0.35">
      <c r="C40" s="26"/>
    </row>
    <row r="41" spans="1:5" x14ac:dyDescent="0.35">
      <c r="C41" s="26"/>
    </row>
    <row r="42" spans="1:5" x14ac:dyDescent="0.35">
      <c r="C42" s="26"/>
    </row>
    <row r="43" spans="1:5" x14ac:dyDescent="0.35">
      <c r="C43" s="26"/>
    </row>
    <row r="44" spans="1:5" x14ac:dyDescent="0.35">
      <c r="C44" s="26"/>
    </row>
    <row r="45" spans="1:5" x14ac:dyDescent="0.35">
      <c r="C45" s="26"/>
    </row>
    <row r="46" spans="1:5" x14ac:dyDescent="0.35">
      <c r="C46" s="26"/>
    </row>
    <row r="47" spans="1:5" x14ac:dyDescent="0.35">
      <c r="C47" s="26"/>
    </row>
    <row r="48" spans="1:5" x14ac:dyDescent="0.35">
      <c r="C48" s="26"/>
    </row>
    <row r="49" spans="3:3" x14ac:dyDescent="0.35">
      <c r="C49" s="26"/>
    </row>
    <row r="50" spans="3:3" x14ac:dyDescent="0.35">
      <c r="C50" s="26"/>
    </row>
    <row r="51" spans="3:3" x14ac:dyDescent="0.35">
      <c r="C51" s="26"/>
    </row>
    <row r="52" spans="3:3" x14ac:dyDescent="0.35">
      <c r="C52" s="26"/>
    </row>
    <row r="53" spans="3:3" x14ac:dyDescent="0.35">
      <c r="C53" s="26"/>
    </row>
    <row r="54" spans="3:3" x14ac:dyDescent="0.35">
      <c r="C54" s="27"/>
    </row>
    <row r="55" spans="3:3" x14ac:dyDescent="0.35">
      <c r="C55" s="27"/>
    </row>
    <row r="56" spans="3:3" x14ac:dyDescent="0.35">
      <c r="C56" s="27"/>
    </row>
  </sheetData>
  <mergeCells count="1">
    <mergeCell ref="A1:B1"/>
  </mergeCells>
  <conditionalFormatting sqref="C9:C9995">
    <cfRule type="expression" dxfId="4467" priority="55">
      <formula>$B9="Dial"</formula>
    </cfRule>
    <cfRule type="expression" dxfId="4466" priority="57">
      <formula>$B9="HANGUP"</formula>
    </cfRule>
  </conditionalFormatting>
  <conditionalFormatting sqref="B38">
    <cfRule type="containsText" dxfId="4465" priority="1" operator="containsText" text="Hear">
      <formula>NOT(ISERROR(SEARCH("Hear",B38)))</formula>
    </cfRule>
  </conditionalFormatting>
  <conditionalFormatting sqref="B30:B36">
    <cfRule type="containsText" dxfId="4464" priority="7" operator="containsText" text="Hear">
      <formula>NOT(ISERROR(SEARCH("Hear",B30)))</formula>
    </cfRule>
  </conditionalFormatting>
  <conditionalFormatting sqref="C9:C38">
    <cfRule type="expression" dxfId="4463" priority="6">
      <formula>$B9="Speak"</formula>
    </cfRule>
  </conditionalFormatting>
  <conditionalFormatting sqref="B8:B18">
    <cfRule type="containsText" dxfId="4462" priority="58" operator="containsText" text="Hear">
      <formula>NOT(ISERROR(SEARCH("Hear",B8)))</formula>
    </cfRule>
  </conditionalFormatting>
  <conditionalFormatting sqref="B19:B29 B37">
    <cfRule type="containsText" dxfId="4461" priority="8" operator="containsText" text="Hear">
      <formula>NOT(ISERROR(SEARCH("Hear",B19)))</formula>
    </cfRule>
  </conditionalFormatting>
  <hyperlinks>
    <hyperlink ref="A1" location="'Test Case Overview'!A1" display="Return to Test Case Overview" xr:uid="{876C105B-D7DD-4F1C-B118-B1E989611057}"/>
  </hyperlinks>
  <pageMargins left="0.7" right="0.7" top="0.75" bottom="0.75" header="0.3" footer="0.3"/>
  <pageSetup orientation="portrait" verticalDpi="0" r:id="rId1"/>
  <tableParts count="1">
    <tablePart r:id="rId2"/>
  </tableParts>
  <extLst>
    <ext xmlns:x14="http://schemas.microsoft.com/office/spreadsheetml/2009/9/main" uri="{78C0D931-6437-407d-A8EE-F0AAD7539E65}">
      <x14:conditionalFormattings>
        <x14:conditionalFormatting xmlns:xm="http://schemas.microsoft.com/office/excel/2006/main">
          <x14:cfRule type="expression" priority="19" id="{7B87CECF-5699-417A-A485-E0F63DD06391}">
            <xm:f>'TC1'!$B8="HANGUP"</xm:f>
            <x14:dxf>
              <font>
                <b/>
                <i val="0"/>
              </font>
            </x14:dxf>
          </x14:cfRule>
          <x14:cfRule type="expression" priority="20" id="{330760E9-CA51-40AE-BAEA-7D7A1F8458E5}">
            <xm:f>'TC1'!$B8="Dial"</xm:f>
            <x14:dxf>
              <font>
                <b/>
                <i val="0"/>
                <color rgb="FFFF0000"/>
              </font>
            </x14:dxf>
          </x14:cfRule>
          <xm:sqref>C8</xm:sqref>
        </x14:conditionalFormatting>
        <x14:conditionalFormatting xmlns:xm="http://schemas.microsoft.com/office/excel/2006/main">
          <x14:cfRule type="expression" priority="21" id="{742A291E-8CCE-44E7-8C5C-29A9177CFC9F}">
            <xm:f>'TC1'!$B8="Speak"</xm:f>
            <x14:dxf>
              <font>
                <b/>
                <i val="0"/>
                <color rgb="FFFF0000"/>
              </font>
            </x14:dxf>
          </x14:cfRule>
          <xm:sqref>C8</xm:sqref>
        </x14:conditionalFormatting>
        <x14:conditionalFormatting xmlns:xm="http://schemas.microsoft.com/office/excel/2006/main">
          <x14:cfRule type="containsText" priority="1363" operator="containsText" text="DB" id="{6A416EF2-CC1D-4D14-8CC4-E6056D9380AA}">
            <xm:f>NOT(ISERROR(SEARCH("DB",'TC1'!E16)))</xm:f>
            <x14:dxf>
              <font>
                <color rgb="FF006100"/>
              </font>
              <fill>
                <patternFill>
                  <bgColor rgb="FFC6EFCE"/>
                </patternFill>
              </fill>
            </x14:dxf>
          </x14:cfRule>
          <x14:cfRule type="containsText" priority="1364" operator="containsText" text="WEB SERVICE" id="{255D0339-9F19-45A8-96F6-477AD0494FBD}">
            <xm:f>NOT(ISERROR(SEARCH("WEB SERVICE",'TC1'!E16)))</xm:f>
            <x14:dxf>
              <font>
                <color rgb="FF9C0006"/>
              </font>
              <fill>
                <patternFill>
                  <bgColor rgb="FFFFC7CE"/>
                </patternFill>
              </fill>
            </x14:dxf>
          </x14:cfRule>
          <xm:sqref>E34:E38</xm:sqref>
        </x14:conditionalFormatting>
        <x14:conditionalFormatting xmlns:xm="http://schemas.microsoft.com/office/excel/2006/main">
          <x14:cfRule type="containsText" priority="1365" operator="containsText" text="DB" id="{6A416EF2-CC1D-4D14-8CC4-E6056D9380AA}">
            <xm:f>NOT(ISERROR(SEARCH("DB",'TC1'!#REF!)))</xm:f>
            <x14:dxf>
              <font>
                <color rgb="FF006100"/>
              </font>
              <fill>
                <patternFill>
                  <bgColor rgb="FFC6EFCE"/>
                </patternFill>
              </fill>
            </x14:dxf>
          </x14:cfRule>
          <x14:cfRule type="containsText" priority="1366" operator="containsText" text="WEB SERVICE" id="{255D0339-9F19-45A8-96F6-477AD0494FBD}">
            <xm:f>NOT(ISERROR(SEARCH("WEB SERVICE",'TC1'!#REF!)))</xm:f>
            <x14:dxf>
              <font>
                <color rgb="FF9C0006"/>
              </font>
              <fill>
                <patternFill>
                  <bgColor rgb="FFFFC7CE"/>
                </patternFill>
              </fill>
            </x14:dxf>
          </x14:cfRule>
          <xm:sqref>E17:E33</xm:sqref>
        </x14:conditionalFormatting>
        <x14:conditionalFormatting xmlns:xm="http://schemas.microsoft.com/office/excel/2006/main">
          <x14:cfRule type="containsText" priority="4165" operator="containsText" text="DB" id="{6A416EF2-CC1D-4D14-8CC4-E6056D9380AA}">
            <xm:f>NOT(ISERROR(SEARCH("DB",'TC1'!#REF!)))</xm:f>
            <x14:dxf>
              <font>
                <color rgb="FF006100"/>
              </font>
              <fill>
                <patternFill>
                  <bgColor rgb="FFC6EFCE"/>
                </patternFill>
              </fill>
            </x14:dxf>
          </x14:cfRule>
          <x14:cfRule type="containsText" priority="4166" operator="containsText" text="WEB SERVICE" id="{255D0339-9F19-45A8-96F6-477AD0494FBD}">
            <xm:f>NOT(ISERROR(SEARCH("WEB SERVICE",'TC1'!#REF!)))</xm:f>
            <x14:dxf>
              <font>
                <color rgb="FF9C0006"/>
              </font>
              <fill>
                <patternFill>
                  <bgColor rgb="FFFFC7CE"/>
                </patternFill>
              </fill>
            </x14:dxf>
          </x14:cfRule>
          <xm:sqref>E9:E11</xm:sqref>
        </x14:conditionalFormatting>
        <x14:conditionalFormatting xmlns:xm="http://schemas.microsoft.com/office/excel/2006/main">
          <x14:cfRule type="containsText" priority="4167" operator="containsText" text="DB" id="{6A416EF2-CC1D-4D14-8CC4-E6056D9380AA}">
            <xm:f>NOT(ISERROR(SEARCH("DB",'TC1'!E9)))</xm:f>
            <x14:dxf>
              <font>
                <color rgb="FF006100"/>
              </font>
              <fill>
                <patternFill>
                  <bgColor rgb="FFC6EFCE"/>
                </patternFill>
              </fill>
            </x14:dxf>
          </x14:cfRule>
          <x14:cfRule type="containsText" priority="4168" operator="containsText" text="WEB SERVICE" id="{255D0339-9F19-45A8-96F6-477AD0494FBD}">
            <xm:f>NOT(ISERROR(SEARCH("WEB SERVICE",'TC1'!E9)))</xm:f>
            <x14:dxf>
              <font>
                <color rgb="FF9C0006"/>
              </font>
              <fill>
                <patternFill>
                  <bgColor rgb="FFFFC7CE"/>
                </patternFill>
              </fill>
            </x14:dxf>
          </x14:cfRule>
          <xm:sqref>E12:E15</xm:sqref>
        </x14:conditionalFormatting>
        <x14:conditionalFormatting xmlns:xm="http://schemas.microsoft.com/office/excel/2006/main">
          <x14:cfRule type="containsText" priority="6649" operator="containsText" text="DB" id="{6A416EF2-CC1D-4D14-8CC4-E6056D9380AA}">
            <xm:f>NOT(ISERROR(SEARCH("DB",'TC1'!E15)))</xm:f>
            <x14:dxf>
              <font>
                <color rgb="FF006100"/>
              </font>
              <fill>
                <patternFill>
                  <bgColor rgb="FFC6EFCE"/>
                </patternFill>
              </fill>
            </x14:dxf>
          </x14:cfRule>
          <x14:cfRule type="containsText" priority="6650" operator="containsText" text="WEB SERVICE" id="{255D0339-9F19-45A8-96F6-477AD0494FBD}">
            <xm:f>NOT(ISERROR(SEARCH("WEB SERVICE",'TC1'!E15)))</xm:f>
            <x14:dxf>
              <font>
                <color rgb="FF9C0006"/>
              </font>
              <fill>
                <patternFill>
                  <bgColor rgb="FFFFC7CE"/>
                </patternFill>
              </fill>
            </x14:dxf>
          </x14:cfRule>
          <xm:sqref>E16</xm:sqref>
        </x14:conditionalFormatting>
      </x14:conditionalFormattings>
    </ext>
  </extLst>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7"/>
  <dimension ref="A1:E34"/>
  <sheetViews>
    <sheetView topLeftCell="A4" zoomScaleNormal="100" workbookViewId="0">
      <selection activeCell="C10" sqref="C10"/>
    </sheetView>
  </sheetViews>
  <sheetFormatPr defaultRowHeight="14.5" x14ac:dyDescent="0.35"/>
  <cols>
    <col min="1" max="1" width="14.453125" bestFit="1" customWidth="1"/>
    <col min="2" max="2" width="42.6328125" customWidth="1"/>
    <col min="3" max="3" width="106.1796875" customWidth="1"/>
    <col min="4" max="4" width="21.81640625" bestFit="1" customWidth="1"/>
    <col min="5" max="5" width="20.6328125" customWidth="1"/>
  </cols>
  <sheetData>
    <row r="1" spans="1:5" ht="18.5" x14ac:dyDescent="0.35">
      <c r="A1" s="192" t="s">
        <v>4</v>
      </c>
      <c r="B1" s="192"/>
      <c r="C1" s="105"/>
      <c r="D1" s="111"/>
      <c r="E1" s="97"/>
    </row>
    <row r="2" spans="1:5" x14ac:dyDescent="0.35">
      <c r="A2" s="106" t="s">
        <v>5</v>
      </c>
      <c r="B2" s="107" t="str">
        <f ca="1">MID(CELL("filename",A1),FIND("]",CELL("filename",A1))+1,LEN(CELL("filename",A1))-FIND("]",CELL("filename",A1)))</f>
        <v>TC55</v>
      </c>
      <c r="C2" s="98"/>
      <c r="D2" s="111"/>
      <c r="E2" s="97"/>
    </row>
    <row r="3" spans="1:5" x14ac:dyDescent="0.35">
      <c r="A3" s="104" t="s">
        <v>19</v>
      </c>
      <c r="B3" s="112">
        <f ca="1">VLOOKUP(B2,Table53[#All],2,FALSE)</f>
        <v>0</v>
      </c>
      <c r="C3" s="98"/>
      <c r="D3" s="111"/>
      <c r="E3" s="97"/>
    </row>
    <row r="4" spans="1:5" ht="43.25" customHeight="1" x14ac:dyDescent="0.35">
      <c r="A4" s="113" t="s">
        <v>20</v>
      </c>
      <c r="B4" s="99" t="str">
        <f ca="1">VLOOKUP(B2,Table53[#All],4,FALSE)</f>
        <v>No Decline</v>
      </c>
      <c r="C4" s="98"/>
      <c r="D4" s="111"/>
      <c r="E4" s="97"/>
    </row>
    <row r="5" spans="1:5" x14ac:dyDescent="0.35">
      <c r="A5" s="104" t="s">
        <v>6</v>
      </c>
      <c r="B5" s="93" t="str">
        <f ca="1">VLOOKUP(B2,Table53[#All],3,FALSE)</f>
        <v>Recurring- Update Card -No Input x3</v>
      </c>
      <c r="C5" s="98"/>
      <c r="D5" s="111"/>
      <c r="E5" s="97"/>
    </row>
    <row r="6" spans="1:5" x14ac:dyDescent="0.35">
      <c r="A6" s="97"/>
      <c r="B6" s="97"/>
      <c r="C6" s="98"/>
      <c r="D6" s="111"/>
      <c r="E6" s="97"/>
    </row>
    <row r="7" spans="1:5" ht="46.75" customHeight="1" x14ac:dyDescent="0.35">
      <c r="A7" s="100" t="s">
        <v>7</v>
      </c>
      <c r="B7" s="101" t="s">
        <v>8</v>
      </c>
      <c r="C7" s="102" t="s">
        <v>9</v>
      </c>
      <c r="D7" s="102" t="s">
        <v>14</v>
      </c>
      <c r="E7" s="103" t="s">
        <v>10</v>
      </c>
    </row>
    <row r="8" spans="1:5" x14ac:dyDescent="0.35">
      <c r="A8" s="118">
        <v>1</v>
      </c>
      <c r="B8" s="114" t="s">
        <v>114</v>
      </c>
      <c r="C8" s="109" t="s">
        <v>125</v>
      </c>
      <c r="D8" s="128"/>
      <c r="E8" s="125" t="s">
        <v>11</v>
      </c>
    </row>
    <row r="9" spans="1:5" x14ac:dyDescent="0.35">
      <c r="A9" s="118">
        <v>2</v>
      </c>
      <c r="B9" s="114" t="s">
        <v>115</v>
      </c>
      <c r="C9" s="109" t="str">
        <f>VLOOKUP(Table2575525269101343444647484956575859631518171922456667717273747677787993949597[[#This Row],[PEG]],Table1016[#All],2,FALSE)</f>
        <v>To get started, tell me your Account Number</v>
      </c>
      <c r="D9" s="141" t="s">
        <v>245</v>
      </c>
      <c r="E9" s="125" t="str">
        <f>VLOOKUP(Table2575525269101343444647484956575859631518171922456667717273747677787993949597[[#This Row],[PEG]],Table1016[#All],3,FALSE)</f>
        <v>Prompt</v>
      </c>
    </row>
    <row r="10" spans="1:5" x14ac:dyDescent="0.35">
      <c r="A10" s="118">
        <v>3</v>
      </c>
      <c r="B10" s="114" t="s">
        <v>114</v>
      </c>
      <c r="C10" s="109" t="s">
        <v>412</v>
      </c>
      <c r="D10" s="141"/>
      <c r="E10" s="125" t="e">
        <f>VLOOKUP(Table2575525269101343444647484956575859631518171922456667717273747677787993949597[[#This Row],[PEG]],Table1016[#All],3,FALSE)</f>
        <v>#N/A</v>
      </c>
    </row>
    <row r="11" spans="1:5" ht="174" x14ac:dyDescent="0.35">
      <c r="A11" s="118">
        <v>4</v>
      </c>
      <c r="B11" s="114" t="s">
        <v>12</v>
      </c>
      <c r="C11" s="109" t="str">
        <f>VLOOKUP(Table2575525269101343444647484956575859631518171922456667717273747677787993949597[[#This Row],[PEG]],Table1016[#All],2,FALSE)</f>
        <v>SAP HANA – SAP01_GetMember
inputs:
idnumber = iIdnumber	T
idtype 	= iIdtype
outputs:
~ Billing Reference
~ Enrollment Details
~ Billing Details
~ Last Payment
~ Recurring Payment Method
~ Stored Payment Method</v>
      </c>
      <c r="D11" s="141" t="s">
        <v>371</v>
      </c>
      <c r="E11" s="125" t="str">
        <f>VLOOKUP(Table2575525269101343444647484956575859631518171922456667717273747677787993949597[[#This Row],[PEG]],Table1016[#All],3,FALSE)</f>
        <v>DB</v>
      </c>
    </row>
    <row r="12" spans="1:5" x14ac:dyDescent="0.35">
      <c r="A12" s="118">
        <v>5</v>
      </c>
      <c r="B12" s="114" t="s">
        <v>115</v>
      </c>
      <c r="C12" s="109" t="str">
        <f>VLOOKUP(Table2575525269101343444647484956575859631518171922456667717273747677787993949597[[#This Row],[PEG]],Table1016[#All],2,FALSE)</f>
        <v>Thanks, I found your account!</v>
      </c>
      <c r="D12" s="141" t="s">
        <v>248</v>
      </c>
      <c r="E12" s="125" t="str">
        <f>VLOOKUP(Table2575525269101343444647484956575859631518171922456667717273747677787993949597[[#This Row],[PEG]],Table1016[#All],3,FALSE)</f>
        <v>Prompt</v>
      </c>
    </row>
    <row r="13" spans="1:5" ht="29" x14ac:dyDescent="0.35">
      <c r="A13" s="118">
        <v>6</v>
      </c>
      <c r="B13" s="114" t="s">
        <v>115</v>
      </c>
      <c r="C13" s="109" t="str">
        <f>VLOOKUP(Table2575525269101343444647484956575859631518171922456667717273747677787993949597[[#This Row],[PEG]],Table1016[#All],2,FALSE)</f>
        <v>You are already setup for recurring payments in the amount of &lt;SAP01_CurrentDue&gt; to be deducted on the last day of each month.</v>
      </c>
      <c r="D13" s="141" t="s">
        <v>266</v>
      </c>
      <c r="E13" s="125" t="str">
        <f>VLOOKUP(Table2575525269101343444647484956575859631518171922456667717273747677787993949597[[#This Row],[PEG]],Table1016[#All],3,FALSE)</f>
        <v>Prompt</v>
      </c>
    </row>
    <row r="14" spans="1:5" x14ac:dyDescent="0.35">
      <c r="A14" s="118">
        <v>7</v>
      </c>
      <c r="B14" s="114" t="s">
        <v>115</v>
      </c>
      <c r="C14" s="109" t="str">
        <f>VLOOKUP(Table2575525269101343444647484956575859631518171922456667717273747677787993949597[[#This Row],[PEG]],Table1016[#All],2,FALSE)</f>
        <v>Do you need to update your payment information?</v>
      </c>
      <c r="D14" s="141" t="s">
        <v>272</v>
      </c>
      <c r="E14" s="125" t="str">
        <f>VLOOKUP(Table2575525269101343444647484956575859631518171922456667717273747677787993949597[[#This Row],[PEG]],Table1016[#All],3,FALSE)</f>
        <v>Prompt</v>
      </c>
    </row>
    <row r="15" spans="1:5" x14ac:dyDescent="0.35">
      <c r="A15" s="118">
        <v>8</v>
      </c>
      <c r="B15" s="114" t="s">
        <v>114</v>
      </c>
      <c r="C15" s="109">
        <v>1</v>
      </c>
      <c r="D15" s="164"/>
      <c r="E15" s="125" t="e">
        <f>VLOOKUP(Table2575525269101343444647484956575859631518171922456667717273747677787993949597[[#This Row],[PEG]],Table1016[#All],3,FALSE)</f>
        <v>#N/A</v>
      </c>
    </row>
    <row r="16" spans="1:5" x14ac:dyDescent="0.35">
      <c r="A16" s="118">
        <v>9</v>
      </c>
      <c r="B16" s="114" t="s">
        <v>115</v>
      </c>
      <c r="C16" s="109" t="str">
        <f>VLOOKUP(Table2575525269101343444647484956575859631518171922456667717273747677787993949597[[#This Row],[PEG]],Table1016[#All],2,FALSE)</f>
        <v>Ok, are you using Credit, Debit, Checking or Savings?</v>
      </c>
      <c r="D16" s="164" t="s">
        <v>286</v>
      </c>
      <c r="E16" s="125" t="str">
        <f>VLOOKUP(Table2575525269101343444647484956575859631518171922456667717273747677787993949597[[#This Row],[PEG]],Table1016[#All],3,FALSE)</f>
        <v>Prompt</v>
      </c>
    </row>
    <row r="17" spans="1:5" x14ac:dyDescent="0.35">
      <c r="A17" s="118">
        <v>10</v>
      </c>
      <c r="B17" s="114" t="s">
        <v>114</v>
      </c>
      <c r="C17" s="109">
        <v>1</v>
      </c>
      <c r="D17" s="165"/>
      <c r="E17" s="125" t="e">
        <f>VLOOKUP(Table2575525269101343444647484956575859631518171922456667717273747677787993949597[[#This Row],[PEG]],Table1016[#All],3,FALSE)</f>
        <v>#N/A</v>
      </c>
    </row>
    <row r="18" spans="1:5" x14ac:dyDescent="0.35">
      <c r="A18" s="118">
        <v>11</v>
      </c>
      <c r="B18" s="114" t="s">
        <v>115</v>
      </c>
      <c r="C18" s="109" t="str">
        <f>VLOOKUP(Table2575525269101343444647484956575859631518171922456667717273747677787993949597[[#This Row],[PEG]],Table1016[#All],2,FALSE)</f>
        <v>Tell me the card number you wish to use.</v>
      </c>
      <c r="D18" s="165" t="s">
        <v>318</v>
      </c>
      <c r="E18" s="125" t="str">
        <f>VLOOKUP(Table2575525269101343444647484956575859631518171922456667717273747677787993949597[[#This Row],[PEG]],Table1016[#All],3,FALSE)</f>
        <v>Prompt</v>
      </c>
    </row>
    <row r="19" spans="1:5" x14ac:dyDescent="0.35">
      <c r="A19" s="118">
        <v>12</v>
      </c>
      <c r="B19" s="114" t="s">
        <v>114</v>
      </c>
      <c r="C19" s="109" t="s">
        <v>557</v>
      </c>
      <c r="D19" s="165"/>
      <c r="E19" s="125" t="e">
        <f>VLOOKUP(Table2575525269101343444647484956575859631518171922456667717273747677787993949597[[#This Row],[PEG]],Table1016[#All],3,FALSE)</f>
        <v>#N/A</v>
      </c>
    </row>
    <row r="20" spans="1:5" x14ac:dyDescent="0.35">
      <c r="A20" s="118">
        <v>13</v>
      </c>
      <c r="B20" s="114" t="s">
        <v>115</v>
      </c>
      <c r="C20" s="109" t="str">
        <f>VLOOKUP(Table2575525269101343444647484956575859631518171922456667717273747677787993949597[[#This Row],[PEG]],Table1016[#All],2,FALSE)</f>
        <v>Is &lt;ivrCardNbr&gt; the right number?</v>
      </c>
      <c r="D20" s="165" t="s">
        <v>320</v>
      </c>
      <c r="E20" s="125">
        <f>VLOOKUP(Table2575525269101343444647484956575859631518171922456667717273747677787993949597[[#This Row],[PEG]],Table1016[#All],3,FALSE)</f>
        <v>0</v>
      </c>
    </row>
    <row r="21" spans="1:5" x14ac:dyDescent="0.35">
      <c r="A21" s="118">
        <v>14</v>
      </c>
      <c r="B21" s="114" t="s">
        <v>114</v>
      </c>
      <c r="C21" s="109">
        <v>1</v>
      </c>
      <c r="D21" s="165"/>
      <c r="E21" s="125" t="e">
        <f>VLOOKUP(Table2575525269101343444647484956575859631518171922456667717273747677787993949597[[#This Row],[PEG]],Table1016[#All],3,FALSE)</f>
        <v>#N/A</v>
      </c>
    </row>
    <row r="22" spans="1:5" ht="29" x14ac:dyDescent="0.35">
      <c r="A22" s="118">
        <v>15</v>
      </c>
      <c r="B22" s="114" t="s">
        <v>115</v>
      </c>
      <c r="C22" s="109" t="str">
        <f>VLOOKUP(Table2575525269101343444647484956575859631518171922456667717273747677787993949597[[#This Row],[PEG]],Table1016[#All],2,FALSE)</f>
        <v>Now, what is the expiration date?  Just say it like this, March &lt;Current Year +3&gt; 
Now go ahead.</v>
      </c>
      <c r="D22" s="165" t="s">
        <v>323</v>
      </c>
      <c r="E22" s="125" t="str">
        <f>VLOOKUP(Table2575525269101343444647484956575859631518171922456667717273747677787993949597[[#This Row],[PEG]],Table1016[#All],3,FALSE)</f>
        <v>Prompt</v>
      </c>
    </row>
    <row r="23" spans="1:5" x14ac:dyDescent="0.35">
      <c r="A23" s="118">
        <v>16</v>
      </c>
      <c r="B23" s="114" t="s">
        <v>114</v>
      </c>
      <c r="C23" s="109" t="s">
        <v>399</v>
      </c>
      <c r="D23" s="165"/>
      <c r="E23" s="125" t="e">
        <f>VLOOKUP(Table2575525269101343444647484956575859631518171922456667717273747677787993949597[[#This Row],[PEG]],Table1016[#All],3,FALSE)</f>
        <v>#N/A</v>
      </c>
    </row>
    <row r="24" spans="1:5" ht="29" x14ac:dyDescent="0.35">
      <c r="A24" s="118">
        <v>17</v>
      </c>
      <c r="B24" s="114" t="s">
        <v>115</v>
      </c>
      <c r="C24" s="109" t="str">
        <f>VLOOKUP(Table2575525269101343444647484956575859631518171922456667717273747677787993949597[[#This Row],[PEG]],Table1016[#All],2,FALSE)</f>
        <v>To confirm, you want to update your account with a card ending in &lt;last 4 digits of ivrCardNbr&gt;.
Is that right?</v>
      </c>
      <c r="D24" s="165" t="s">
        <v>334</v>
      </c>
      <c r="E24" s="125" t="str">
        <f>VLOOKUP(Table2575525269101343444647484956575859631518171922456667717273747677787993949597[[#This Row],[PEG]],Table1016[#All],3,FALSE)</f>
        <v>Prompt</v>
      </c>
    </row>
    <row r="25" spans="1:5" x14ac:dyDescent="0.35">
      <c r="A25" s="118">
        <v>18</v>
      </c>
      <c r="B25" s="114" t="s">
        <v>114</v>
      </c>
      <c r="C25" s="109" t="s">
        <v>478</v>
      </c>
      <c r="D25" s="165"/>
      <c r="E25" s="125" t="e">
        <f>VLOOKUP(Table2575525269101343444647484956575859631518171922456667717273747677787993949597[[#This Row],[PEG]],Table1016[#All],3,FALSE)</f>
        <v>#N/A</v>
      </c>
    </row>
    <row r="26" spans="1:5" x14ac:dyDescent="0.35">
      <c r="A26" s="118">
        <v>19</v>
      </c>
      <c r="B26" s="114" t="s">
        <v>115</v>
      </c>
      <c r="C26" s="109" t="str">
        <f>VLOOKUP(Table2575525269101343444647484956575859631518171922456667717273747677787993949597[[#This Row],[PEG]],Table1016[#All],2,FALSE)</f>
        <v>I didn’t get that.</v>
      </c>
      <c r="D26" s="165" t="s">
        <v>365</v>
      </c>
      <c r="E26" s="125" t="str">
        <f>VLOOKUP(Table2575525269101343444647484956575859631518171922456667717273747677787993949597[[#This Row],[PEG]],Table1016[#All],3,FALSE)</f>
        <v>Prompt</v>
      </c>
    </row>
    <row r="27" spans="1:5" x14ac:dyDescent="0.35">
      <c r="A27" s="118">
        <v>20</v>
      </c>
      <c r="B27" s="114" t="s">
        <v>115</v>
      </c>
      <c r="C27" s="109" t="str">
        <f>VLOOKUP(Table2575525269101343444647484956575859631518171922456667717273747677787993949597[[#This Row],[PEG]],Table1016[#All],2,FALSE)</f>
        <v>Is this information correct?  Just say yes or no.</v>
      </c>
      <c r="D27" s="165" t="s">
        <v>335</v>
      </c>
      <c r="E27" s="125" t="str">
        <f>VLOOKUP(Table2575525269101343444647484956575859631518171922456667717273747677787993949597[[#This Row],[PEG]],Table1016[#All],3,FALSE)</f>
        <v>Prompt</v>
      </c>
    </row>
    <row r="28" spans="1:5" x14ac:dyDescent="0.35">
      <c r="A28" s="118">
        <v>21</v>
      </c>
      <c r="B28" s="114" t="s">
        <v>114</v>
      </c>
      <c r="C28" s="109" t="s">
        <v>478</v>
      </c>
      <c r="D28" s="165"/>
      <c r="E28" s="125" t="e">
        <f>VLOOKUP(Table2575525269101343444647484956575859631518171922456667717273747677787993949597[[#This Row],[PEG]],Table1016[#All],3,FALSE)</f>
        <v>#N/A</v>
      </c>
    </row>
    <row r="29" spans="1:5" x14ac:dyDescent="0.35">
      <c r="A29" s="118">
        <v>22</v>
      </c>
      <c r="B29" s="114" t="s">
        <v>115</v>
      </c>
      <c r="C29" s="109" t="str">
        <f>VLOOKUP(Table2575525269101343444647484956575859631518171922456667717273747677787993949597[[#This Row],[PEG]],Table1016[#All],2,FALSE)</f>
        <v>I still didn’t get that.</v>
      </c>
      <c r="D29" s="165" t="s">
        <v>366</v>
      </c>
      <c r="E29" s="125" t="str">
        <f>VLOOKUP(Table2575525269101343444647484956575859631518171922456667717273747677787993949597[[#This Row],[PEG]],Table1016[#All],3,FALSE)</f>
        <v>Prompt</v>
      </c>
    </row>
    <row r="30" spans="1:5" ht="29" x14ac:dyDescent="0.35">
      <c r="A30" s="118">
        <v>23</v>
      </c>
      <c r="B30" s="114" t="s">
        <v>115</v>
      </c>
      <c r="C30" s="109" t="str">
        <f>VLOOKUP(Table2575525269101343444647484956575859631518171922456667717273747677787993949597[[#This Row],[PEG]],Table1016[#All],2,FALSE)</f>
        <v>If that is correct, say yes or press 1.
Otherwise say no or press 2.</v>
      </c>
      <c r="D30" s="165" t="s">
        <v>336</v>
      </c>
      <c r="E30" s="125" t="str">
        <f>VLOOKUP(Table2575525269101343444647484956575859631518171922456667717273747677787993949597[[#This Row],[PEG]],Table1016[#All],3,FALSE)</f>
        <v>Prompt</v>
      </c>
    </row>
    <row r="31" spans="1:5" x14ac:dyDescent="0.35">
      <c r="A31" s="118">
        <v>24</v>
      </c>
      <c r="B31" s="114" t="s">
        <v>114</v>
      </c>
      <c r="C31" s="109" t="s">
        <v>478</v>
      </c>
      <c r="D31" s="165"/>
      <c r="E31" s="125" t="e">
        <f>VLOOKUP(Table2575525269101343444647484956575859631518171922456667717273747677787993949597[[#This Row],[PEG]],Table1016[#All],3,FALSE)</f>
        <v>#N/A</v>
      </c>
    </row>
    <row r="32" spans="1:5" x14ac:dyDescent="0.35">
      <c r="A32" s="118">
        <v>25</v>
      </c>
      <c r="B32" s="114" t="s">
        <v>115</v>
      </c>
      <c r="C32" s="109" t="str">
        <f>VLOOKUP(Table2575525269101343444647484956575859631518171922456667717273747677787993949597[[#This Row],[PEG]],Table1016[#All],2,FALSE)</f>
        <v>Ok, your payment information will not be updated.</v>
      </c>
      <c r="D32" s="165" t="s">
        <v>338</v>
      </c>
      <c r="E32" s="125" t="str">
        <f>VLOOKUP(Table2575525269101343444647484956575859631518171922456667717273747677787993949597[[#This Row],[PEG]],Table1016[#All],3,FALSE)</f>
        <v>Prompt</v>
      </c>
    </row>
    <row r="33" spans="1:5" ht="29" x14ac:dyDescent="0.35">
      <c r="A33" s="118">
        <v>26</v>
      </c>
      <c r="B33" s="114" t="s">
        <v>115</v>
      </c>
      <c r="C33" s="109" t="str">
        <f>VLOOKUP(Table2575525269101343444647484956575859631518171922456667717273747677787993949597[[#This Row],[PEG]],Table1016[#All],2,FALSE)</f>
        <v>For future transactions you can also access your plan details, or manage your account online anytime at members.lacare.com.  Thank you for calling.</v>
      </c>
      <c r="D33" s="165" t="s">
        <v>362</v>
      </c>
      <c r="E33" s="125" t="str">
        <f>VLOOKUP(Table2575525269101343444647484956575859631518171922456667717273747677787993949597[[#This Row],[PEG]],Table1016[#All],3,FALSE)</f>
        <v>Prompt</v>
      </c>
    </row>
    <row r="34" spans="1:5" x14ac:dyDescent="0.35">
      <c r="A34" s="118">
        <v>27</v>
      </c>
      <c r="B34" s="114" t="s">
        <v>13</v>
      </c>
      <c r="C34" s="109" t="s">
        <v>13</v>
      </c>
      <c r="D34" s="165"/>
      <c r="E34" s="125" t="e">
        <f>VLOOKUP(Table2575525269101343444647484956575859631518171922456667717273747677787993949597[[#This Row],[PEG]],Table1016[#All],3,FALSE)</f>
        <v>#N/A</v>
      </c>
    </row>
  </sheetData>
  <mergeCells count="1">
    <mergeCell ref="A1:B1"/>
  </mergeCells>
  <conditionalFormatting sqref="B8:B18">
    <cfRule type="containsText" dxfId="4447" priority="8" operator="containsText" text="Hear">
      <formula>NOT(ISERROR(SEARCH("Hear",B8)))</formula>
    </cfRule>
  </conditionalFormatting>
  <conditionalFormatting sqref="B19:B29 B31:B33">
    <cfRule type="containsText" dxfId="4446" priority="14" operator="containsText" text="Hear">
      <formula>NOT(ISERROR(SEARCH("Hear",B19)))</formula>
    </cfRule>
  </conditionalFormatting>
  <conditionalFormatting sqref="B30">
    <cfRule type="containsText" dxfId="4445" priority="11" operator="containsText" text="Hear">
      <formula>NOT(ISERROR(SEARCH("Hear",B30)))</formula>
    </cfRule>
  </conditionalFormatting>
  <conditionalFormatting sqref="B34">
    <cfRule type="containsText" dxfId="4444" priority="5" operator="containsText" text="Hear">
      <formula>NOT(ISERROR(SEARCH("Hear",B34)))</formula>
    </cfRule>
  </conditionalFormatting>
  <conditionalFormatting sqref="C9:C34">
    <cfRule type="expression" dxfId="4443" priority="1">
      <formula>$B9="Speak"</formula>
    </cfRule>
  </conditionalFormatting>
  <conditionalFormatting sqref="C9:C34">
    <cfRule type="expression" dxfId="4442" priority="2">
      <formula>$B9="Dial"</formula>
    </cfRule>
    <cfRule type="expression" dxfId="4441" priority="3">
      <formula>$B9="HANGUP"</formula>
    </cfRule>
  </conditionalFormatting>
  <hyperlinks>
    <hyperlink ref="A1" location="'Test Case Overview'!A1" display="Return to Test Case Overview" xr:uid="{8F0F1C53-76F3-4550-9814-5FA96A2F3982}"/>
  </hyperlinks>
  <pageMargins left="0.7" right="0.7" top="0.75" bottom="0.75" header="0.3" footer="0.3"/>
  <pageSetup orientation="portrait" verticalDpi="0" r:id="rId1"/>
  <tableParts count="1">
    <tablePart r:id="rId2"/>
  </tableParts>
  <extLst>
    <ext xmlns:x14="http://schemas.microsoft.com/office/spreadsheetml/2009/9/main" uri="{78C0D931-6437-407d-A8EE-F0AAD7539E65}">
      <x14:conditionalFormattings>
        <x14:conditionalFormatting xmlns:xm="http://schemas.microsoft.com/office/excel/2006/main">
          <x14:cfRule type="expression" priority="18" id="{D57625EE-855B-419F-88DF-F8093D7AE282}">
            <xm:f>'TC1'!$B8="HANGUP"</xm:f>
            <x14:dxf>
              <font>
                <b/>
                <i val="0"/>
              </font>
            </x14:dxf>
          </x14:cfRule>
          <x14:cfRule type="expression" priority="19" id="{8BF2BB6E-AA61-4693-B68B-8D7666D83BCA}">
            <xm:f>'TC1'!$B8="Dial"</xm:f>
            <x14:dxf>
              <font>
                <b/>
                <i val="0"/>
                <color rgb="FFFF0000"/>
              </font>
            </x14:dxf>
          </x14:cfRule>
          <xm:sqref>C8</xm:sqref>
        </x14:conditionalFormatting>
        <x14:conditionalFormatting xmlns:xm="http://schemas.microsoft.com/office/excel/2006/main">
          <x14:cfRule type="expression" priority="20" id="{44806621-7962-40F6-8277-007C0BB10C8B}">
            <xm:f>'TC1'!$B8="Speak"</xm:f>
            <x14:dxf>
              <font>
                <b/>
                <i val="0"/>
                <color rgb="FFFF0000"/>
              </font>
            </x14:dxf>
          </x14:cfRule>
          <xm:sqref>C8</xm:sqref>
        </x14:conditionalFormatting>
        <x14:conditionalFormatting xmlns:xm="http://schemas.microsoft.com/office/excel/2006/main">
          <x14:cfRule type="containsText" priority="1382" operator="containsText" text="DB" id="{CD25210C-9880-4A54-BA44-096FD323832E}">
            <xm:f>NOT(ISERROR(SEARCH("DB",'TC1'!E16)))</xm:f>
            <x14:dxf>
              <font>
                <color rgb="FF006100"/>
              </font>
              <fill>
                <patternFill>
                  <bgColor rgb="FFC6EFCE"/>
                </patternFill>
              </fill>
            </x14:dxf>
          </x14:cfRule>
          <x14:cfRule type="containsText" priority="1383" operator="containsText" text="WEB SERVICE" id="{5A1F244C-DF94-412A-8ED7-BFBC3EC1189A}">
            <xm:f>NOT(ISERROR(SEARCH("WEB SERVICE",'TC1'!E16)))</xm:f>
            <x14:dxf>
              <font>
                <color rgb="FF9C0006"/>
              </font>
              <fill>
                <patternFill>
                  <bgColor rgb="FFFFC7CE"/>
                </patternFill>
              </fill>
            </x14:dxf>
          </x14:cfRule>
          <xm:sqref>E34</xm:sqref>
        </x14:conditionalFormatting>
        <x14:conditionalFormatting xmlns:xm="http://schemas.microsoft.com/office/excel/2006/main">
          <x14:cfRule type="containsText" priority="1384" operator="containsText" text="DB" id="{CD25210C-9880-4A54-BA44-096FD323832E}">
            <xm:f>NOT(ISERROR(SEARCH("DB",'TC1'!#REF!)))</xm:f>
            <x14:dxf>
              <font>
                <color rgb="FF006100"/>
              </font>
              <fill>
                <patternFill>
                  <bgColor rgb="FFC6EFCE"/>
                </patternFill>
              </fill>
            </x14:dxf>
          </x14:cfRule>
          <x14:cfRule type="containsText" priority="1385" operator="containsText" text="WEB SERVICE" id="{5A1F244C-DF94-412A-8ED7-BFBC3EC1189A}">
            <xm:f>NOT(ISERROR(SEARCH("WEB SERVICE",'TC1'!#REF!)))</xm:f>
            <x14:dxf>
              <font>
                <color rgb="FF9C0006"/>
              </font>
              <fill>
                <patternFill>
                  <bgColor rgb="FFFFC7CE"/>
                </patternFill>
              </fill>
            </x14:dxf>
          </x14:cfRule>
          <xm:sqref>E17:E33</xm:sqref>
        </x14:conditionalFormatting>
        <x14:conditionalFormatting xmlns:xm="http://schemas.microsoft.com/office/excel/2006/main">
          <x14:cfRule type="containsText" priority="4182" operator="containsText" text="DB" id="{CD25210C-9880-4A54-BA44-096FD323832E}">
            <xm:f>NOT(ISERROR(SEARCH("DB",'TC1'!#REF!)))</xm:f>
            <x14:dxf>
              <font>
                <color rgb="FF006100"/>
              </font>
              <fill>
                <patternFill>
                  <bgColor rgb="FFC6EFCE"/>
                </patternFill>
              </fill>
            </x14:dxf>
          </x14:cfRule>
          <x14:cfRule type="containsText" priority="4183" operator="containsText" text="WEB SERVICE" id="{5A1F244C-DF94-412A-8ED7-BFBC3EC1189A}">
            <xm:f>NOT(ISERROR(SEARCH("WEB SERVICE",'TC1'!#REF!)))</xm:f>
            <x14:dxf>
              <font>
                <color rgb="FF9C0006"/>
              </font>
              <fill>
                <patternFill>
                  <bgColor rgb="FFFFC7CE"/>
                </patternFill>
              </fill>
            </x14:dxf>
          </x14:cfRule>
          <xm:sqref>E9:E11</xm:sqref>
        </x14:conditionalFormatting>
        <x14:conditionalFormatting xmlns:xm="http://schemas.microsoft.com/office/excel/2006/main">
          <x14:cfRule type="containsText" priority="4184" operator="containsText" text="DB" id="{CD25210C-9880-4A54-BA44-096FD323832E}">
            <xm:f>NOT(ISERROR(SEARCH("DB",'TC1'!E9)))</xm:f>
            <x14:dxf>
              <font>
                <color rgb="FF006100"/>
              </font>
              <fill>
                <patternFill>
                  <bgColor rgb="FFC6EFCE"/>
                </patternFill>
              </fill>
            </x14:dxf>
          </x14:cfRule>
          <x14:cfRule type="containsText" priority="4185" operator="containsText" text="WEB SERVICE" id="{5A1F244C-DF94-412A-8ED7-BFBC3EC1189A}">
            <xm:f>NOT(ISERROR(SEARCH("WEB SERVICE",'TC1'!E9)))</xm:f>
            <x14:dxf>
              <font>
                <color rgb="FF9C0006"/>
              </font>
              <fill>
                <patternFill>
                  <bgColor rgb="FFFFC7CE"/>
                </patternFill>
              </fill>
            </x14:dxf>
          </x14:cfRule>
          <xm:sqref>E12:E15</xm:sqref>
        </x14:conditionalFormatting>
        <x14:conditionalFormatting xmlns:xm="http://schemas.microsoft.com/office/excel/2006/main">
          <x14:cfRule type="containsText" priority="6663" operator="containsText" text="DB" id="{CD25210C-9880-4A54-BA44-096FD323832E}">
            <xm:f>NOT(ISERROR(SEARCH("DB",'TC1'!E15)))</xm:f>
            <x14:dxf>
              <font>
                <color rgb="FF006100"/>
              </font>
              <fill>
                <patternFill>
                  <bgColor rgb="FFC6EFCE"/>
                </patternFill>
              </fill>
            </x14:dxf>
          </x14:cfRule>
          <x14:cfRule type="containsText" priority="6664" operator="containsText" text="WEB SERVICE" id="{5A1F244C-DF94-412A-8ED7-BFBC3EC1189A}">
            <xm:f>NOT(ISERROR(SEARCH("WEB SERVICE",'TC1'!E15)))</xm:f>
            <x14:dxf>
              <font>
                <color rgb="FF9C0006"/>
              </font>
              <fill>
                <patternFill>
                  <bgColor rgb="FFFFC7CE"/>
                </patternFill>
              </fill>
            </x14:dxf>
          </x14:cfRule>
          <xm:sqref>E16</xm:sqref>
        </x14:conditionalFormatting>
      </x14:conditionalFormattings>
    </ext>
  </extLst>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8"/>
  <dimension ref="A1:E35"/>
  <sheetViews>
    <sheetView zoomScaleNormal="100" workbookViewId="0">
      <selection activeCell="C10" sqref="C10"/>
    </sheetView>
  </sheetViews>
  <sheetFormatPr defaultRowHeight="14.5" x14ac:dyDescent="0.35"/>
  <cols>
    <col min="1" max="1" width="14.453125" bestFit="1" customWidth="1"/>
    <col min="2" max="2" width="42.6328125" customWidth="1"/>
    <col min="3" max="3" width="106.1796875" customWidth="1"/>
    <col min="4" max="4" width="21.81640625" bestFit="1" customWidth="1"/>
    <col min="5" max="5" width="20.6328125" customWidth="1"/>
  </cols>
  <sheetData>
    <row r="1" spans="1:5" ht="18.5" x14ac:dyDescent="0.35">
      <c r="A1" s="192" t="s">
        <v>4</v>
      </c>
      <c r="B1" s="192"/>
      <c r="C1" s="105"/>
      <c r="D1" s="111"/>
      <c r="E1" s="97"/>
    </row>
    <row r="2" spans="1:5" x14ac:dyDescent="0.35">
      <c r="A2" s="106" t="s">
        <v>5</v>
      </c>
      <c r="B2" s="107" t="str">
        <f ca="1">MID(CELL("filename",A1),FIND("]",CELL("filename",A1))+1,LEN(CELL("filename",A1))-FIND("]",CELL("filename",A1)))</f>
        <v>TC56</v>
      </c>
      <c r="C2" s="98"/>
      <c r="D2" s="111"/>
      <c r="E2" s="97"/>
    </row>
    <row r="3" spans="1:5" x14ac:dyDescent="0.35">
      <c r="A3" s="104" t="s">
        <v>19</v>
      </c>
      <c r="B3" s="112">
        <f ca="1">VLOOKUP(B2,Table53[#All],2,FALSE)</f>
        <v>0</v>
      </c>
      <c r="C3" s="98"/>
      <c r="D3" s="111"/>
      <c r="E3" s="97"/>
    </row>
    <row r="4" spans="1:5" ht="43.25" customHeight="1" x14ac:dyDescent="0.35">
      <c r="A4" s="113" t="s">
        <v>20</v>
      </c>
      <c r="B4" s="99" t="str">
        <f ca="1">VLOOKUP(B2,Table53[#All],4,FALSE)</f>
        <v>Remaining balance, Do not use diff phone number</v>
      </c>
      <c r="C4" s="98"/>
      <c r="D4" s="111"/>
      <c r="E4" s="97"/>
    </row>
    <row r="5" spans="1:5" x14ac:dyDescent="0.35">
      <c r="A5" s="104" t="s">
        <v>6</v>
      </c>
      <c r="B5" s="93" t="str">
        <f ca="1">VLOOKUP(B2,Table53[#All],3,FALSE)</f>
        <v>SMS to ANI - No Match x3</v>
      </c>
      <c r="C5" s="98"/>
      <c r="D5" s="111"/>
      <c r="E5" s="97"/>
    </row>
    <row r="6" spans="1:5" x14ac:dyDescent="0.35">
      <c r="A6" s="97"/>
      <c r="B6" s="97"/>
      <c r="C6" s="98"/>
      <c r="D6" s="111"/>
      <c r="E6" s="97"/>
    </row>
    <row r="7" spans="1:5" ht="46.75" customHeight="1" x14ac:dyDescent="0.35">
      <c r="A7" s="100" t="s">
        <v>7</v>
      </c>
      <c r="B7" s="101" t="s">
        <v>8</v>
      </c>
      <c r="C7" s="102" t="s">
        <v>9</v>
      </c>
      <c r="D7" s="102" t="s">
        <v>14</v>
      </c>
      <c r="E7" s="103" t="s">
        <v>10</v>
      </c>
    </row>
    <row r="8" spans="1:5" ht="28.75" customHeight="1" x14ac:dyDescent="0.35">
      <c r="A8" s="118">
        <v>1</v>
      </c>
      <c r="B8" s="114" t="s">
        <v>114</v>
      </c>
      <c r="C8" s="109" t="s">
        <v>125</v>
      </c>
      <c r="D8" s="128"/>
      <c r="E8" s="125" t="s">
        <v>11</v>
      </c>
    </row>
    <row r="9" spans="1:5" x14ac:dyDescent="0.35">
      <c r="A9" s="118">
        <v>2</v>
      </c>
      <c r="B9" s="114" t="s">
        <v>115</v>
      </c>
      <c r="C9" s="109" t="str">
        <f>VLOOKUP(Table2575525269101343444647484956575859631518171922456667717273747677787993949598[[#This Row],[PEG]],Table1016[#All],2,FALSE)</f>
        <v>To get started, tell me your Account Number</v>
      </c>
      <c r="D9" s="141" t="s">
        <v>245</v>
      </c>
      <c r="E9" s="125" t="str">
        <f>VLOOKUP(Table2575525269101343444647484956575859631518171922456667717273747677787993949598[[#This Row],[PEG]],Table1016[#All],3,FALSE)</f>
        <v>Prompt</v>
      </c>
    </row>
    <row r="10" spans="1:5" x14ac:dyDescent="0.35">
      <c r="A10" s="118">
        <v>3</v>
      </c>
      <c r="B10" s="114" t="s">
        <v>114</v>
      </c>
      <c r="C10" s="109" t="s">
        <v>412</v>
      </c>
      <c r="D10" s="141"/>
      <c r="E10" s="125" t="e">
        <f>VLOOKUP(Table2575525269101343444647484956575859631518171922456667717273747677787993949598[[#This Row],[PEG]],Table1016[#All],3,FALSE)</f>
        <v>#N/A</v>
      </c>
    </row>
    <row r="11" spans="1:5" ht="174" x14ac:dyDescent="0.35">
      <c r="A11" s="118">
        <v>4</v>
      </c>
      <c r="B11" s="114" t="s">
        <v>12</v>
      </c>
      <c r="C11" s="109" t="str">
        <f>VLOOKUP(Table2575525269101343444647484956575859631518171922456667717273747677787993949598[[#This Row],[PEG]],Table1016[#All],2,FALSE)</f>
        <v>SAP HANA – SAP01_GetMember
inputs:
idnumber = iIdnumber	T
idtype 	= iIdtype
outputs:
~ Billing Reference
~ Enrollment Details
~ Billing Details
~ Last Payment
~ Recurring Payment Method
~ Stored Payment Method</v>
      </c>
      <c r="D11" s="141" t="s">
        <v>371</v>
      </c>
      <c r="E11" s="125" t="str">
        <f>VLOOKUP(Table2575525269101343444647484956575859631518171922456667717273747677787993949598[[#This Row],[PEG]],Table1016[#All],3,FALSE)</f>
        <v>DB</v>
      </c>
    </row>
    <row r="12" spans="1:5" x14ac:dyDescent="0.35">
      <c r="A12" s="118">
        <v>5</v>
      </c>
      <c r="B12" s="114" t="s">
        <v>115</v>
      </c>
      <c r="C12" s="109" t="str">
        <f>VLOOKUP(Table2575525269101343444647484956575859631518171922456667717273747677787993949598[[#This Row],[PEG]],Table1016[#All],2,FALSE)</f>
        <v>Thanks, I found your account!</v>
      </c>
      <c r="D12" s="141" t="s">
        <v>248</v>
      </c>
      <c r="E12" s="125" t="str">
        <f>VLOOKUP(Table2575525269101343444647484956575859631518171922456667717273747677787993949598[[#This Row],[PEG]],Table1016[#All],3,FALSE)</f>
        <v>Prompt</v>
      </c>
    </row>
    <row r="13" spans="1:5" x14ac:dyDescent="0.35">
      <c r="A13" s="118">
        <v>6</v>
      </c>
      <c r="B13" s="114" t="s">
        <v>115</v>
      </c>
      <c r="C13" s="109" t="str">
        <f>VLOOKUP(Table2575525269101343444647484956575859631518171922456667717273747677787993949598[[#This Row],[PEG]],Table1016[#All],2,FALSE)</f>
        <v>A current balance of &lt;SAP01_CurrentDue&gt; is due by &lt;SAP01_Duedate&gt;.</v>
      </c>
      <c r="D13" s="141" t="s">
        <v>258</v>
      </c>
      <c r="E13" s="125" t="str">
        <f>VLOOKUP(Table2575525269101343444647484956575859631518171922456667717273747677787993949598[[#This Row],[PEG]],Table1016[#All],3,FALSE)</f>
        <v>Prompt</v>
      </c>
    </row>
    <row r="14" spans="1:5" x14ac:dyDescent="0.35">
      <c r="A14" s="118">
        <v>7</v>
      </c>
      <c r="B14" s="114" t="s">
        <v>115</v>
      </c>
      <c r="C14" s="109" t="str">
        <f>VLOOKUP(Table2575525269101343444647484956575859631518171922456667717273747677787993949598[[#This Row],[PEG]],Table1016[#All],2,FALSE)</f>
        <v>Would you like to pay this in full today?</v>
      </c>
      <c r="D14" s="141" t="s">
        <v>260</v>
      </c>
      <c r="E14" s="125" t="str">
        <f>VLOOKUP(Table2575525269101343444647484956575859631518171922456667717273747677787993949598[[#This Row],[PEG]],Table1016[#All],3,FALSE)</f>
        <v>Prompt</v>
      </c>
    </row>
    <row r="15" spans="1:5" x14ac:dyDescent="0.35">
      <c r="A15" s="118">
        <v>8</v>
      </c>
      <c r="B15" s="114" t="s">
        <v>114</v>
      </c>
      <c r="C15" s="109">
        <v>2</v>
      </c>
      <c r="D15" s="164"/>
      <c r="E15" s="125" t="e">
        <f>VLOOKUP(Table2575525269101343444647484956575859631518171922456667717273747677787993949598[[#This Row],[PEG]],Table1016[#All],3,FALSE)</f>
        <v>#N/A</v>
      </c>
    </row>
    <row r="16" spans="1:5" x14ac:dyDescent="0.35">
      <c r="A16" s="118">
        <v>9</v>
      </c>
      <c r="B16" s="114" t="s">
        <v>115</v>
      </c>
      <c r="C16" s="109" t="str">
        <f>VLOOKUP(Table2575525269101343444647484956575859631518171922456667717273747677787993949598[[#This Row],[PEG]],Table1016[#All],2,FALSE)</f>
        <v>Ok, what amount do you want to pay?</v>
      </c>
      <c r="D16" s="164" t="s">
        <v>263</v>
      </c>
      <c r="E16" s="125" t="str">
        <f>VLOOKUP(Table2575525269101343444647484956575859631518171922456667717273747677787993949598[[#This Row],[PEG]],Table1016[#All],3,FALSE)</f>
        <v>Prompt</v>
      </c>
    </row>
    <row r="17" spans="1:5" x14ac:dyDescent="0.35">
      <c r="A17" s="118">
        <v>10</v>
      </c>
      <c r="B17" s="114" t="s">
        <v>114</v>
      </c>
      <c r="C17" s="109" t="s">
        <v>568</v>
      </c>
      <c r="D17" s="165"/>
      <c r="E17" s="125" t="e">
        <f>VLOOKUP(Table2575525269101343444647484956575859631518171922456667717273747677787993949598[[#This Row],[PEG]],Table1016[#All],3,FALSE)</f>
        <v>#N/A</v>
      </c>
    </row>
    <row r="18" spans="1:5" x14ac:dyDescent="0.35">
      <c r="A18" s="118">
        <v>11</v>
      </c>
      <c r="B18" s="114" t="s">
        <v>115</v>
      </c>
      <c r="C18" s="109" t="str">
        <f>VLOOKUP(Table2575525269101343444647484956575859631518171922456667717273747677787993949598[[#This Row],[PEG]],Table1016[#All],2,FALSE)</f>
        <v>Do you want to use the checking account on file ending in &lt;SAP01_ivrStoredPmtLast4Digits&gt;.</v>
      </c>
      <c r="D18" s="165" t="s">
        <v>275</v>
      </c>
      <c r="E18" s="125" t="str">
        <f>VLOOKUP(Table2575525269101343444647484956575859631518171922456667717273747677787993949598[[#This Row],[PEG]],Table1016[#All],3,FALSE)</f>
        <v>Prompt</v>
      </c>
    </row>
    <row r="19" spans="1:5" x14ac:dyDescent="0.35">
      <c r="A19" s="118">
        <v>12</v>
      </c>
      <c r="B19" s="114" t="s">
        <v>114</v>
      </c>
      <c r="C19" s="109">
        <v>1</v>
      </c>
      <c r="D19" s="165"/>
      <c r="E19" s="125" t="e">
        <f>VLOOKUP(Table2575525269101343444647484956575859631518171922456667717273747677787993949598[[#This Row],[PEG]],Table1016[#All],3,FALSE)</f>
        <v>#N/A</v>
      </c>
    </row>
    <row r="20" spans="1:5" ht="188.5" x14ac:dyDescent="0.35">
      <c r="A20" s="118">
        <v>13</v>
      </c>
      <c r="B20" s="114" t="s">
        <v>12</v>
      </c>
      <c r="C20" s="109" t="str">
        <f>VLOOKUP(Table2575525269101343444647484956575859631518171922456667717273747677787993949598[[#This Row],[PEG]],Table1016[#All],2,FALSE)</f>
        <v xml:space="preserve">SAP HANA - SAP02_EFTPaymentNotification
inputs: 
Businesspartner = SAP01_Partner 
Insobject = SAP01_Insobject 
BankKey = ivrBankKey 
BankAcct = ivrBankAcct 
Accountholder = ivrAccountHolder 
BankAccountType = ivrBankAccountType 
RecurringBank = ivrRecurringBank  
StoredBank = ivrPmtMethodStored 
PaymentAmount = ivrPmtAmt 
outputs: 
SAP02_ConfirmationNum Payment Confirmation Number (i.e. 300000000105) </v>
      </c>
      <c r="D20" s="165" t="s">
        <v>373</v>
      </c>
      <c r="E20" s="125" t="str">
        <f>VLOOKUP(Table2575525269101343444647484956575859631518171922456667717273747677787993949598[[#This Row],[PEG]],Table1016[#All],3,FALSE)</f>
        <v>DB</v>
      </c>
    </row>
    <row r="21" spans="1:5" ht="29" x14ac:dyDescent="0.35">
      <c r="A21" s="118">
        <v>14</v>
      </c>
      <c r="B21" s="114" t="s">
        <v>115</v>
      </c>
      <c r="C21" s="109" t="str">
        <f>VLOOKUP(Table2575525269101343444647484956575859631518171922456667717273747677787993949598[[#This Row],[PEG]],Table1016[#All],2,FALSE)</f>
        <v>Today's payment in the amount of &lt;ivrPmtAmt&gt;, has been processed.  Your confirmation number is &lt;ivrConfirmationNum&gt;. Again, that confirmation number is &lt;ivrConfirmationNum&gt;.</v>
      </c>
      <c r="D21" s="165" t="s">
        <v>340</v>
      </c>
      <c r="E21" s="125" t="str">
        <f>VLOOKUP(Table2575525269101343444647484956575859631518171922456667717273747677787993949598[[#This Row],[PEG]],Table1016[#All],3,FALSE)</f>
        <v>Prompt</v>
      </c>
    </row>
    <row r="22" spans="1:5" x14ac:dyDescent="0.35">
      <c r="A22" s="118">
        <v>15</v>
      </c>
      <c r="B22" s="114" t="s">
        <v>115</v>
      </c>
      <c r="C22" s="109" t="str">
        <f>VLOOKUP(Table2575525269101343444647484956575859631518171922456667717273747677787993949598[[#This Row],[PEG]],Table1016[#All],2,FALSE)</f>
        <v>Would you like me to text the confirmation to the phone number ending in &lt;Last 4 ANI digits&gt;?</v>
      </c>
      <c r="D22" s="165" t="s">
        <v>344</v>
      </c>
      <c r="E22" s="125" t="str">
        <f>VLOOKUP(Table2575525269101343444647484956575859631518171922456667717273747677787993949598[[#This Row],[PEG]],Table1016[#All],3,FALSE)</f>
        <v>Prompt</v>
      </c>
    </row>
    <row r="23" spans="1:5" x14ac:dyDescent="0.35">
      <c r="A23" s="118">
        <v>16</v>
      </c>
      <c r="B23" s="114" t="s">
        <v>114</v>
      </c>
      <c r="C23" s="109">
        <v>3</v>
      </c>
      <c r="D23" s="165"/>
      <c r="E23" s="125" t="e">
        <f>VLOOKUP(Table2575525269101343444647484956575859631518171922456667717273747677787993949598[[#This Row],[PEG]],Table1016[#All],3,FALSE)</f>
        <v>#N/A</v>
      </c>
    </row>
    <row r="24" spans="1:5" x14ac:dyDescent="0.35">
      <c r="A24" s="118">
        <v>17</v>
      </c>
      <c r="B24" s="114" t="s">
        <v>115</v>
      </c>
      <c r="C24" s="109" t="str">
        <f>VLOOKUP(Table2575525269101343444647484956575859631518171922456667717273747677787993949598[[#This Row],[PEG]],Table1016[#All],2,FALSE)</f>
        <v>Sorry, I didn’t understand.</v>
      </c>
      <c r="D24" s="165" t="s">
        <v>367</v>
      </c>
      <c r="E24" s="125" t="str">
        <f>VLOOKUP(Table2575525269101343444647484956575859631518171922456667717273747677787993949598[[#This Row],[PEG]],Table1016[#All],3,FALSE)</f>
        <v>Prompt</v>
      </c>
    </row>
    <row r="25" spans="1:5" x14ac:dyDescent="0.35">
      <c r="A25" s="118">
        <v>18</v>
      </c>
      <c r="B25" s="114" t="s">
        <v>115</v>
      </c>
      <c r="C25" s="109" t="str">
        <f>VLOOKUP(Table2575525269101343444647484956575859631518171922456667717273747677787993949598[[#This Row],[PEG]],Table1016[#All],2,FALSE)</f>
        <v>Is that the right number?  Just say yes or no.</v>
      </c>
      <c r="D25" s="165" t="s">
        <v>345</v>
      </c>
      <c r="E25" s="125" t="str">
        <f>VLOOKUP(Table2575525269101343444647484956575859631518171922456667717273747677787993949598[[#This Row],[PEG]],Table1016[#All],3,FALSE)</f>
        <v>Prompt</v>
      </c>
    </row>
    <row r="26" spans="1:5" x14ac:dyDescent="0.35">
      <c r="A26" s="118">
        <v>19</v>
      </c>
      <c r="B26" s="114" t="s">
        <v>114</v>
      </c>
      <c r="C26" s="109">
        <v>3</v>
      </c>
      <c r="D26" s="165"/>
      <c r="E26" s="125" t="e">
        <f>VLOOKUP(Table2575525269101343444647484956575859631518171922456667717273747677787993949598[[#This Row],[PEG]],Table1016[#All],3,FALSE)</f>
        <v>#N/A</v>
      </c>
    </row>
    <row r="27" spans="1:5" x14ac:dyDescent="0.35">
      <c r="A27" s="118">
        <v>20</v>
      </c>
      <c r="B27" s="114" t="s">
        <v>115</v>
      </c>
      <c r="C27" s="109" t="str">
        <f>VLOOKUP(Table2575525269101343444647484956575859631518171922456667717273747677787993949598[[#This Row],[PEG]],Table1016[#All],2,FALSE)</f>
        <v>Let’s try that one more time.</v>
      </c>
      <c r="D27" s="165" t="s">
        <v>368</v>
      </c>
      <c r="E27" s="125" t="str">
        <f>VLOOKUP(Table2575525269101343444647484956575859631518171922456667717273747677787993949598[[#This Row],[PEG]],Table1016[#All],3,FALSE)</f>
        <v>Prompt</v>
      </c>
    </row>
    <row r="28" spans="1:5" x14ac:dyDescent="0.35">
      <c r="A28" s="118">
        <v>21</v>
      </c>
      <c r="B28" s="114" t="s">
        <v>115</v>
      </c>
      <c r="C28" s="109" t="str">
        <f>VLOOKUP(Table2575525269101343444647484956575859631518171922456667717273747677787993949598[[#This Row],[PEG]],Table1016[#All],2,FALSE)</f>
        <v>To receive a text confirmation just say yes or press 1.  To use a different number, say no or press 2.</v>
      </c>
      <c r="D28" s="165" t="s">
        <v>346</v>
      </c>
      <c r="E28" s="125" t="str">
        <f>VLOOKUP(Table2575525269101343444647484956575859631518171922456667717273747677787993949598[[#This Row],[PEG]],Table1016[#All],3,FALSE)</f>
        <v>Prompt</v>
      </c>
    </row>
    <row r="29" spans="1:5" x14ac:dyDescent="0.35">
      <c r="A29" s="118">
        <v>22</v>
      </c>
      <c r="B29" s="114" t="s">
        <v>114</v>
      </c>
      <c r="C29" s="109">
        <v>3</v>
      </c>
      <c r="D29" s="165"/>
      <c r="E29" s="125" t="e">
        <f>VLOOKUP(Table2575525269101343444647484956575859631518171922456667717273747677787993949598[[#This Row],[PEG]],Table1016[#All],3,FALSE)</f>
        <v>#N/A</v>
      </c>
    </row>
    <row r="30" spans="1:5" x14ac:dyDescent="0.35">
      <c r="A30" s="118">
        <v>23</v>
      </c>
      <c r="B30" s="114" t="s">
        <v>115</v>
      </c>
      <c r="C30" s="109" t="str">
        <f>VLOOKUP(Table2575525269101343444647484956575859631518171922456667717273747677787993949598[[#This Row],[PEG]],Table1016[#All],2,FALSE)</f>
        <v>Would you like to use a different phone number?</v>
      </c>
      <c r="D30" s="165" t="s">
        <v>347</v>
      </c>
      <c r="E30" s="125" t="str">
        <f>VLOOKUP(Table2575525269101343444647484956575859631518171922456667717273747677787993949598[[#This Row],[PEG]],Table1016[#All],3,FALSE)</f>
        <v>Prompt</v>
      </c>
    </row>
    <row r="31" spans="1:5" x14ac:dyDescent="0.35">
      <c r="A31" s="118">
        <v>24</v>
      </c>
      <c r="B31" s="114" t="s">
        <v>114</v>
      </c>
      <c r="C31" s="109">
        <v>2</v>
      </c>
      <c r="D31" s="165"/>
      <c r="E31" s="125" t="e">
        <f>VLOOKUP(Table2575525269101343444647484956575859631518171922456667717273747677787993949598[[#This Row],[PEG]],Table1016[#All],3,FALSE)</f>
        <v>#N/A</v>
      </c>
    </row>
    <row r="32" spans="1:5" ht="29" x14ac:dyDescent="0.35">
      <c r="A32" s="118">
        <v>25</v>
      </c>
      <c r="B32" s="114" t="s">
        <v>115</v>
      </c>
      <c r="C32" s="109" t="str">
        <f>VLOOKUP(Table2575525269101343444647484956575859631518171922456667717273747677787993949598[[#This Row],[PEG]],Table1016[#All],2,FALSE)</f>
        <v>Would you like to use a different account to pay the remaining balance?  Your account will be suspended if payment is not received within 60 days.</v>
      </c>
      <c r="D32" s="165" t="s">
        <v>357</v>
      </c>
      <c r="E32" s="125" t="str">
        <f>VLOOKUP(Table2575525269101343444647484956575859631518171922456667717273747677787993949598[[#This Row],[PEG]],Table1016[#All],3,FALSE)</f>
        <v>Prompt</v>
      </c>
    </row>
    <row r="33" spans="1:5" x14ac:dyDescent="0.35">
      <c r="A33" s="118">
        <v>26</v>
      </c>
      <c r="B33" s="114" t="s">
        <v>114</v>
      </c>
      <c r="C33" s="109">
        <v>2</v>
      </c>
      <c r="D33" s="165" t="s">
        <v>348</v>
      </c>
      <c r="E33" s="125" t="str">
        <f>VLOOKUP(Table2575525269101343444647484956575859631518171922456667717273747677787993949598[[#This Row],[PEG]],Table1016[#All],3,FALSE)</f>
        <v>Prompt</v>
      </c>
    </row>
    <row r="34" spans="1:5" ht="29" x14ac:dyDescent="0.35">
      <c r="A34" s="118">
        <v>27</v>
      </c>
      <c r="B34" s="114" t="s">
        <v>115</v>
      </c>
      <c r="C34" s="109" t="str">
        <f>VLOOKUP(Table2575525269101343444647484956575859631518171922456667717273747677787993949598[[#This Row],[PEG]],Table1016[#All],2,FALSE)</f>
        <v>Thank you for your payment today.  For future transactions, you can access your plan details or manage your account anytime online at members.lacare.com.</v>
      </c>
      <c r="D34" s="165" t="s">
        <v>364</v>
      </c>
      <c r="E34" s="125" t="str">
        <f>VLOOKUP(Table2575525269101343444647484956575859631518171922456667717273747677787993949598[[#This Row],[PEG]],Table1016[#All],3,FALSE)</f>
        <v>Prompt</v>
      </c>
    </row>
    <row r="35" spans="1:5" x14ac:dyDescent="0.35">
      <c r="A35" s="118">
        <v>28</v>
      </c>
      <c r="B35" s="114" t="s">
        <v>13</v>
      </c>
      <c r="C35" s="109" t="s">
        <v>13</v>
      </c>
      <c r="D35" s="165"/>
      <c r="E35" s="125" t="e">
        <f>VLOOKUP(Table2575525269101343444647484956575859631518171922456667717273747677787993949598[[#This Row],[PEG]],Table1016[#All],3,FALSE)</f>
        <v>#N/A</v>
      </c>
    </row>
  </sheetData>
  <mergeCells count="1">
    <mergeCell ref="A1:B1"/>
  </mergeCells>
  <conditionalFormatting sqref="B8:B18">
    <cfRule type="containsText" dxfId="4427" priority="9" operator="containsText" text="Hear">
      <formula>NOT(ISERROR(SEARCH("Hear",B8)))</formula>
    </cfRule>
  </conditionalFormatting>
  <conditionalFormatting sqref="B19:B29 B31:B35">
    <cfRule type="containsText" dxfId="4426" priority="15" operator="containsText" text="Hear">
      <formula>NOT(ISERROR(SEARCH("Hear",B19)))</formula>
    </cfRule>
  </conditionalFormatting>
  <conditionalFormatting sqref="C9:C35">
    <cfRule type="expression" dxfId="4425" priority="13">
      <formula>$B9="Dial"</formula>
    </cfRule>
    <cfRule type="expression" dxfId="4424" priority="15">
      <formula>$B9="HANGUP"</formula>
    </cfRule>
  </conditionalFormatting>
  <conditionalFormatting sqref="C9:C35">
    <cfRule type="expression" dxfId="4423" priority="7">
      <formula>$B9="Speak"</formula>
    </cfRule>
  </conditionalFormatting>
  <conditionalFormatting sqref="B30">
    <cfRule type="containsText" dxfId="4422" priority="12" operator="containsText" text="Hear">
      <formula>NOT(ISERROR(SEARCH("Hear",B30)))</formula>
    </cfRule>
  </conditionalFormatting>
  <hyperlinks>
    <hyperlink ref="A1" location="'Test Case Overview'!A1" display="Return to Test Case Overview" xr:uid="{5805D536-2FB6-48A7-9D7A-8BC03F13C946}"/>
  </hyperlinks>
  <pageMargins left="0.7" right="0.7" top="0.75" bottom="0.75" header="0.3" footer="0.3"/>
  <pageSetup orientation="portrait" verticalDpi="0" r:id="rId1"/>
  <tableParts count="1">
    <tablePart r:id="rId2"/>
  </tableParts>
  <extLst>
    <ext xmlns:x14="http://schemas.microsoft.com/office/spreadsheetml/2009/9/main" uri="{78C0D931-6437-407d-A8EE-F0AAD7539E65}">
      <x14:conditionalFormattings>
        <x14:conditionalFormatting xmlns:xm="http://schemas.microsoft.com/office/excel/2006/main">
          <x14:cfRule type="expression" priority="19" id="{59848171-1E6A-4D61-97FA-B628EAA86795}">
            <xm:f>'TC1'!$B8="HANGUP"</xm:f>
            <x14:dxf>
              <font>
                <b/>
                <i val="0"/>
              </font>
            </x14:dxf>
          </x14:cfRule>
          <x14:cfRule type="expression" priority="20" id="{CE4734C3-7F34-4E2A-9A05-DE3F3C37168B}">
            <xm:f>'TC1'!$B8="Dial"</xm:f>
            <x14:dxf>
              <font>
                <b/>
                <i val="0"/>
                <color rgb="FFFF0000"/>
              </font>
            </x14:dxf>
          </x14:cfRule>
          <xm:sqref>C8</xm:sqref>
        </x14:conditionalFormatting>
        <x14:conditionalFormatting xmlns:xm="http://schemas.microsoft.com/office/excel/2006/main">
          <x14:cfRule type="expression" priority="21" id="{FEF99AA1-103C-4613-B067-E126A9DE1DCE}">
            <xm:f>'TC1'!$B8="Speak"</xm:f>
            <x14:dxf>
              <font>
                <b/>
                <i val="0"/>
                <color rgb="FFFF0000"/>
              </font>
            </x14:dxf>
          </x14:cfRule>
          <xm:sqref>C8</xm:sqref>
        </x14:conditionalFormatting>
        <x14:conditionalFormatting xmlns:xm="http://schemas.microsoft.com/office/excel/2006/main">
          <x14:cfRule type="containsText" priority="1403" operator="containsText" text="DB" id="{1595298C-7BC5-4A05-AEFC-2772EBAD55B8}">
            <xm:f>NOT(ISERROR(SEARCH("DB",'TC1'!E16)))</xm:f>
            <x14:dxf>
              <font>
                <color rgb="FF006100"/>
              </font>
              <fill>
                <patternFill>
                  <bgColor rgb="FFC6EFCE"/>
                </patternFill>
              </fill>
            </x14:dxf>
          </x14:cfRule>
          <x14:cfRule type="containsText" priority="1404" operator="containsText" text="WEB SERVICE" id="{DE2284FB-B449-4517-909B-74F1EE28ABC1}">
            <xm:f>NOT(ISERROR(SEARCH("WEB SERVICE",'TC1'!E16)))</xm:f>
            <x14:dxf>
              <font>
                <color rgb="FF9C0006"/>
              </font>
              <fill>
                <patternFill>
                  <bgColor rgb="FFFFC7CE"/>
                </patternFill>
              </fill>
            </x14:dxf>
          </x14:cfRule>
          <xm:sqref>E34:E35</xm:sqref>
        </x14:conditionalFormatting>
        <x14:conditionalFormatting xmlns:xm="http://schemas.microsoft.com/office/excel/2006/main">
          <x14:cfRule type="containsText" priority="1405" operator="containsText" text="DB" id="{1595298C-7BC5-4A05-AEFC-2772EBAD55B8}">
            <xm:f>NOT(ISERROR(SEARCH("DB",'TC1'!#REF!)))</xm:f>
            <x14:dxf>
              <font>
                <color rgb="FF006100"/>
              </font>
              <fill>
                <patternFill>
                  <bgColor rgb="FFC6EFCE"/>
                </patternFill>
              </fill>
            </x14:dxf>
          </x14:cfRule>
          <x14:cfRule type="containsText" priority="1406" operator="containsText" text="WEB SERVICE" id="{DE2284FB-B449-4517-909B-74F1EE28ABC1}">
            <xm:f>NOT(ISERROR(SEARCH("WEB SERVICE",'TC1'!#REF!)))</xm:f>
            <x14:dxf>
              <font>
                <color rgb="FF9C0006"/>
              </font>
              <fill>
                <patternFill>
                  <bgColor rgb="FFFFC7CE"/>
                </patternFill>
              </fill>
            </x14:dxf>
          </x14:cfRule>
          <xm:sqref>E17:E33</xm:sqref>
        </x14:conditionalFormatting>
        <x14:conditionalFormatting xmlns:xm="http://schemas.microsoft.com/office/excel/2006/main">
          <x14:cfRule type="containsText" priority="4201" operator="containsText" text="DB" id="{1595298C-7BC5-4A05-AEFC-2772EBAD55B8}">
            <xm:f>NOT(ISERROR(SEARCH("DB",'TC1'!#REF!)))</xm:f>
            <x14:dxf>
              <font>
                <color rgb="FF006100"/>
              </font>
              <fill>
                <patternFill>
                  <bgColor rgb="FFC6EFCE"/>
                </patternFill>
              </fill>
            </x14:dxf>
          </x14:cfRule>
          <x14:cfRule type="containsText" priority="4202" operator="containsText" text="WEB SERVICE" id="{DE2284FB-B449-4517-909B-74F1EE28ABC1}">
            <xm:f>NOT(ISERROR(SEARCH("WEB SERVICE",'TC1'!#REF!)))</xm:f>
            <x14:dxf>
              <font>
                <color rgb="FF9C0006"/>
              </font>
              <fill>
                <patternFill>
                  <bgColor rgb="FFFFC7CE"/>
                </patternFill>
              </fill>
            </x14:dxf>
          </x14:cfRule>
          <xm:sqref>E9:E11</xm:sqref>
        </x14:conditionalFormatting>
        <x14:conditionalFormatting xmlns:xm="http://schemas.microsoft.com/office/excel/2006/main">
          <x14:cfRule type="containsText" priority="4203" operator="containsText" text="DB" id="{1595298C-7BC5-4A05-AEFC-2772EBAD55B8}">
            <xm:f>NOT(ISERROR(SEARCH("DB",'TC1'!E9)))</xm:f>
            <x14:dxf>
              <font>
                <color rgb="FF006100"/>
              </font>
              <fill>
                <patternFill>
                  <bgColor rgb="FFC6EFCE"/>
                </patternFill>
              </fill>
            </x14:dxf>
          </x14:cfRule>
          <x14:cfRule type="containsText" priority="4204" operator="containsText" text="WEB SERVICE" id="{DE2284FB-B449-4517-909B-74F1EE28ABC1}">
            <xm:f>NOT(ISERROR(SEARCH("WEB SERVICE",'TC1'!E9)))</xm:f>
            <x14:dxf>
              <font>
                <color rgb="FF9C0006"/>
              </font>
              <fill>
                <patternFill>
                  <bgColor rgb="FFFFC7CE"/>
                </patternFill>
              </fill>
            </x14:dxf>
          </x14:cfRule>
          <xm:sqref>E12:E15</xm:sqref>
        </x14:conditionalFormatting>
        <x14:conditionalFormatting xmlns:xm="http://schemas.microsoft.com/office/excel/2006/main">
          <x14:cfRule type="containsText" priority="6679" operator="containsText" text="DB" id="{1595298C-7BC5-4A05-AEFC-2772EBAD55B8}">
            <xm:f>NOT(ISERROR(SEARCH("DB",'TC1'!E15)))</xm:f>
            <x14:dxf>
              <font>
                <color rgb="FF006100"/>
              </font>
              <fill>
                <patternFill>
                  <bgColor rgb="FFC6EFCE"/>
                </patternFill>
              </fill>
            </x14:dxf>
          </x14:cfRule>
          <x14:cfRule type="containsText" priority="6680" operator="containsText" text="WEB SERVICE" id="{DE2284FB-B449-4517-909B-74F1EE28ABC1}">
            <xm:f>NOT(ISERROR(SEARCH("WEB SERVICE",'TC1'!E15)))</xm:f>
            <x14:dxf>
              <font>
                <color rgb="FF9C0006"/>
              </font>
              <fill>
                <patternFill>
                  <bgColor rgb="FFFFC7CE"/>
                </patternFill>
              </fill>
            </x14:dxf>
          </x14:cfRule>
          <xm:sqref>E16</xm:sqref>
        </x14:conditionalFormatting>
      </x14:conditionalFormattings>
    </ext>
  </extLst>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9"/>
  <dimension ref="A1:E29"/>
  <sheetViews>
    <sheetView zoomScaleNormal="100" workbookViewId="0">
      <selection sqref="A1:B1"/>
    </sheetView>
  </sheetViews>
  <sheetFormatPr defaultRowHeight="14.5" x14ac:dyDescent="0.35"/>
  <cols>
    <col min="1" max="1" width="14.453125" bestFit="1" customWidth="1"/>
    <col min="2" max="2" width="42.6328125" customWidth="1"/>
    <col min="3" max="3" width="106.1796875" customWidth="1"/>
    <col min="4" max="4" width="21.81640625" bestFit="1" customWidth="1"/>
    <col min="5" max="5" width="20.6328125" customWidth="1"/>
  </cols>
  <sheetData>
    <row r="1" spans="1:5" ht="18.5" x14ac:dyDescent="0.35">
      <c r="A1" s="192" t="s">
        <v>4</v>
      </c>
      <c r="B1" s="192"/>
      <c r="C1" s="105"/>
      <c r="D1" s="111"/>
      <c r="E1" s="97"/>
    </row>
    <row r="2" spans="1:5" x14ac:dyDescent="0.35">
      <c r="A2" s="106" t="s">
        <v>5</v>
      </c>
      <c r="B2" s="107" t="str">
        <f ca="1">MID(CELL("filename",A1),FIND("]",CELL("filename",A1))+1,LEN(CELL("filename",A1))-FIND("]",CELL("filename",A1)))</f>
        <v>TC57</v>
      </c>
      <c r="C2" s="98"/>
      <c r="D2" s="111"/>
      <c r="E2" s="97"/>
    </row>
    <row r="3" spans="1:5" x14ac:dyDescent="0.35">
      <c r="A3" s="104" t="s">
        <v>19</v>
      </c>
      <c r="B3" s="112">
        <f ca="1">VLOOKUP(B2,Table53[#All],2,FALSE)</f>
        <v>0</v>
      </c>
      <c r="C3" s="98"/>
      <c r="D3" s="111"/>
      <c r="E3" s="97"/>
    </row>
    <row r="4" spans="1:5" ht="29" x14ac:dyDescent="0.35">
      <c r="A4" s="113" t="s">
        <v>20</v>
      </c>
      <c r="B4" s="99" t="str">
        <f ca="1">VLOOKUP(B2,Table53[#All],4,FALSE)</f>
        <v>Current Due, Stored Mthd</v>
      </c>
      <c r="C4" s="98"/>
      <c r="D4" s="111"/>
      <c r="E4" s="97"/>
    </row>
    <row r="5" spans="1:5" x14ac:dyDescent="0.35">
      <c r="A5" s="104" t="s">
        <v>6</v>
      </c>
      <c r="B5" s="93" t="str">
        <f ca="1">VLOOKUP(B2,Table53[#All],3,FALSE)</f>
        <v>SMS FAIL</v>
      </c>
      <c r="C5" s="98"/>
      <c r="D5" s="111"/>
      <c r="E5" s="97"/>
    </row>
    <row r="6" spans="1:5" x14ac:dyDescent="0.35">
      <c r="A6" s="97"/>
      <c r="B6" s="97"/>
      <c r="C6" s="98"/>
      <c r="D6" s="111"/>
      <c r="E6" s="97"/>
    </row>
    <row r="7" spans="1:5" ht="15.5" x14ac:dyDescent="0.35">
      <c r="A7" s="100" t="s">
        <v>7</v>
      </c>
      <c r="B7" s="101" t="s">
        <v>8</v>
      </c>
      <c r="C7" s="102" t="s">
        <v>9</v>
      </c>
      <c r="D7" s="102" t="s">
        <v>14</v>
      </c>
      <c r="E7" s="103" t="s">
        <v>10</v>
      </c>
    </row>
    <row r="8" spans="1:5" x14ac:dyDescent="0.35">
      <c r="A8" s="118">
        <v>1</v>
      </c>
      <c r="B8" s="114" t="s">
        <v>114</v>
      </c>
      <c r="C8" s="109" t="s">
        <v>125</v>
      </c>
      <c r="D8" s="128"/>
      <c r="E8" s="125" t="s">
        <v>11</v>
      </c>
    </row>
    <row r="9" spans="1:5" x14ac:dyDescent="0.35">
      <c r="A9" s="118">
        <v>2</v>
      </c>
      <c r="B9" s="114" t="s">
        <v>115</v>
      </c>
      <c r="C9" s="109" t="str">
        <f>VLOOKUP(Table25755252691013434446474849565758596315181719224566677172737476777879939495100[[#This Row],[PEG]],Table1016[#All],2,FALSE)</f>
        <v>To get started, tell me your Account Number</v>
      </c>
      <c r="D9" s="141" t="s">
        <v>245</v>
      </c>
      <c r="E9" s="125" t="str">
        <f>VLOOKUP(Table25755252691013434446474849565758596315181719224566677172737476777879939495100[[#This Row],[PEG]],Table1016[#All],3,FALSE)</f>
        <v>Prompt</v>
      </c>
    </row>
    <row r="10" spans="1:5" x14ac:dyDescent="0.35">
      <c r="A10" s="118">
        <v>3</v>
      </c>
      <c r="B10" s="114" t="s">
        <v>114</v>
      </c>
      <c r="C10" s="109" t="s">
        <v>412</v>
      </c>
      <c r="D10" s="151"/>
      <c r="E10" s="125" t="e">
        <f>VLOOKUP(Table25755252691013434446474849565758596315181719224566677172737476777879939495100[[#This Row],[PEG]],Table1016[#All],3,FALSE)</f>
        <v>#N/A</v>
      </c>
    </row>
    <row r="11" spans="1:5" ht="174" x14ac:dyDescent="0.35">
      <c r="A11" s="118">
        <v>4</v>
      </c>
      <c r="B11" s="114" t="s">
        <v>12</v>
      </c>
      <c r="C11" s="109" t="str">
        <f>VLOOKUP(Table25755252691013434446474849565758596315181719224566677172737476777879939495100[[#This Row],[PEG]],Table1016[#All],2,FALSE)</f>
        <v>SAP HANA – SAP01_GetMember
inputs:
idnumber = iIdnumber	T
idtype 	= iIdtype
outputs:
~ Billing Reference
~ Enrollment Details
~ Billing Details
~ Last Payment
~ Recurring Payment Method
~ Stored Payment Method</v>
      </c>
      <c r="D11" s="152" t="s">
        <v>371</v>
      </c>
      <c r="E11" s="125" t="str">
        <f>VLOOKUP(Table25755252691013434446474849565758596315181719224566677172737476777879939495100[[#This Row],[PEG]],Table1016[#All],3,FALSE)</f>
        <v>DB</v>
      </c>
    </row>
    <row r="12" spans="1:5" x14ac:dyDescent="0.35">
      <c r="A12" s="118">
        <v>5</v>
      </c>
      <c r="B12" s="114" t="s">
        <v>115</v>
      </c>
      <c r="C12" s="109" t="str">
        <f>VLOOKUP(Table25755252691013434446474849565758596315181719224566677172737476777879939495100[[#This Row],[PEG]],Table1016[#All],2,FALSE)</f>
        <v>Thanks, I found your account!</v>
      </c>
      <c r="D12" s="141" t="s">
        <v>248</v>
      </c>
      <c r="E12" s="125" t="str">
        <f>VLOOKUP(Table25755252691013434446474849565758596315181719224566677172737476777879939495100[[#This Row],[PEG]],Table1016[#All],3,FALSE)</f>
        <v>Prompt</v>
      </c>
    </row>
    <row r="13" spans="1:5" x14ac:dyDescent="0.35">
      <c r="A13" s="118">
        <v>6</v>
      </c>
      <c r="B13" s="114" t="s">
        <v>115</v>
      </c>
      <c r="C13" s="109" t="str">
        <f>VLOOKUP(Table25755252691013434446474849565758596315181719224566677172737476777879939495100[[#This Row],[PEG]],Table1016[#All],2,FALSE)</f>
        <v>Your last payment of &lt;SAP01_ivrLastPaymentAmount&gt; was received on &lt;SAP01_ivrLastPaymentDate&gt;</v>
      </c>
      <c r="D13" s="141" t="s">
        <v>257</v>
      </c>
      <c r="E13" s="125" t="str">
        <f>VLOOKUP(Table25755252691013434446474849565758596315181719224566677172737476777879939495100[[#This Row],[PEG]],Table1016[#All],3,FALSE)</f>
        <v>Prompt</v>
      </c>
    </row>
    <row r="14" spans="1:5" x14ac:dyDescent="0.35">
      <c r="A14" s="118">
        <v>7</v>
      </c>
      <c r="B14" s="114" t="s">
        <v>115</v>
      </c>
      <c r="C14" s="109" t="str">
        <f>VLOOKUP(Table25755252691013434446474849565758596315181719224566677172737476777879939495100[[#This Row],[PEG]],Table1016[#All],2,FALSE)</f>
        <v>A current balance of &lt;SAP01_CurrentDue&gt; is due by &lt;SAP01_Duedate&gt;.</v>
      </c>
      <c r="D14" s="142" t="s">
        <v>258</v>
      </c>
      <c r="E14" s="125" t="str">
        <f>VLOOKUP(Table25755252691013434446474849565758596315181719224566677172737476777879939495100[[#This Row],[PEG]],Table1016[#All],3,FALSE)</f>
        <v>Prompt</v>
      </c>
    </row>
    <row r="15" spans="1:5" x14ac:dyDescent="0.35">
      <c r="A15" s="118">
        <v>8</v>
      </c>
      <c r="B15" s="114" t="s">
        <v>115</v>
      </c>
      <c r="C15" s="109" t="str">
        <f>VLOOKUP(Table25755252691013434446474849565758596315181719224566677172737476777879939495100[[#This Row],[PEG]],Table1016[#All],2,FALSE)</f>
        <v>Would you like to pay this in full today?</v>
      </c>
      <c r="D15" s="142" t="s">
        <v>260</v>
      </c>
      <c r="E15" s="125" t="str">
        <f>VLOOKUP(Table25755252691013434446474849565758596315181719224566677172737476777879939495100[[#This Row],[PEG]],Table1016[#All],3,FALSE)</f>
        <v>Prompt</v>
      </c>
    </row>
    <row r="16" spans="1:5" x14ac:dyDescent="0.35">
      <c r="A16" s="118">
        <v>9</v>
      </c>
      <c r="B16" s="114" t="s">
        <v>114</v>
      </c>
      <c r="C16" s="109">
        <v>1</v>
      </c>
      <c r="D16" s="143"/>
      <c r="E16" s="125" t="e">
        <f>VLOOKUP(Table25755252691013434446474849565758596315181719224566677172737476777879939495100[[#This Row],[PEG]],Table1016[#All],3,FALSE)</f>
        <v>#N/A</v>
      </c>
    </row>
    <row r="17" spans="1:5" x14ac:dyDescent="0.35">
      <c r="A17" s="118">
        <v>10</v>
      </c>
      <c r="B17" s="114" t="s">
        <v>115</v>
      </c>
      <c r="C17" s="109" t="str">
        <f>VLOOKUP(Table25755252691013434446474849565758596315181719224566677172737476777879939495100[[#This Row],[PEG]],Table1016[#All],2,FALSE)</f>
        <v>Do you want to use the checking account on file ending in &lt;SAP01_ivrStoredPmtLast4Digits&gt;.</v>
      </c>
      <c r="D17" s="143" t="s">
        <v>275</v>
      </c>
      <c r="E17" s="125" t="str">
        <f>VLOOKUP(Table25755252691013434446474849565758596315181719224566677172737476777879939495100[[#This Row],[PEG]],Table1016[#All],3,FALSE)</f>
        <v>Prompt</v>
      </c>
    </row>
    <row r="18" spans="1:5" x14ac:dyDescent="0.35">
      <c r="A18" s="118">
        <v>11</v>
      </c>
      <c r="B18" s="114" t="s">
        <v>114</v>
      </c>
      <c r="C18" s="109">
        <v>1</v>
      </c>
      <c r="D18" s="143"/>
      <c r="E18" s="125" t="e">
        <f>VLOOKUP(Table25755252691013434446474849565758596315181719224566677172737476777879939495100[[#This Row],[PEG]],Table1016[#All],3,FALSE)</f>
        <v>#N/A</v>
      </c>
    </row>
    <row r="19" spans="1:5" ht="29" x14ac:dyDescent="0.35">
      <c r="A19" s="118">
        <v>12</v>
      </c>
      <c r="B19" s="114" t="s">
        <v>115</v>
      </c>
      <c r="C19" s="109" t="str">
        <f>VLOOKUP(Table25755252691013434446474849565758596315181719224566677172737476777879939495100[[#This Row],[PEG]],Table1016[#All],2,FALSE)</f>
        <v>To confirm, you want to pay &lt;ivrPmtAmt&gt; with the account ending in &lt;SAP01_ivrStoredPmtLast4Digits&gt;
Is that right?</v>
      </c>
      <c r="D19" s="143" t="s">
        <v>391</v>
      </c>
      <c r="E19" s="125">
        <f>VLOOKUP(Table25755252691013434446474849565758596315181719224566677172737476777879939495100[[#This Row],[PEG]],Table1016[#All],3,FALSE)</f>
        <v>0</v>
      </c>
    </row>
    <row r="20" spans="1:5" x14ac:dyDescent="0.35">
      <c r="A20" s="118">
        <v>13</v>
      </c>
      <c r="B20" s="114" t="s">
        <v>114</v>
      </c>
      <c r="C20" s="109">
        <v>1</v>
      </c>
      <c r="D20" s="117"/>
      <c r="E20" s="125" t="e">
        <f>VLOOKUP(Table25755252691013434446474849565758596315181719224566677172737476777879939495100[[#This Row],[PEG]],Table1016[#All],3,FALSE)</f>
        <v>#N/A</v>
      </c>
    </row>
    <row r="21" spans="1:5" ht="188.5" x14ac:dyDescent="0.35">
      <c r="A21" s="118">
        <v>14</v>
      </c>
      <c r="B21" s="114" t="s">
        <v>12</v>
      </c>
      <c r="C21" s="109" t="str">
        <f>VLOOKUP(Table25755252691013434446474849565758596315181719224566677172737476777879939495100[[#This Row],[PEG]],Table1016[#All],2,FALSE)</f>
        <v xml:space="preserve">SAP HANA - SAP02_EFTPaymentNotification
inputs: 
Businesspartner = SAP01_Partner 
Insobject = SAP01_Insobject 
BankKey = ivrBankKey 
BankAcct = ivrBankAcct 
Accountholder = ivrAccountHolder 
BankAccountType = ivrBankAccountType 
RecurringBank = ivrRecurringBank  
StoredBank = ivrPmtMethodStored 
PaymentAmount = ivrPmtAmt 
outputs: 
SAP02_ConfirmationNum Payment Confirmation Number (i.e. 300000000105) </v>
      </c>
      <c r="D21" s="117" t="s">
        <v>373</v>
      </c>
      <c r="E21" s="125" t="str">
        <f>VLOOKUP(Table25755252691013434446474849565758596315181719224566677172737476777879939495100[[#This Row],[PEG]],Table1016[#All],3,FALSE)</f>
        <v>DB</v>
      </c>
    </row>
    <row r="22" spans="1:5" ht="29" x14ac:dyDescent="0.35">
      <c r="A22" s="118">
        <v>15</v>
      </c>
      <c r="B22" s="114" t="s">
        <v>115</v>
      </c>
      <c r="C22" s="109" t="str">
        <f>VLOOKUP(Table25755252691013434446474849565758596315181719224566677172737476777879939495100[[#This Row],[PEG]],Table1016[#All],2,FALSE)</f>
        <v>Today's payment in the amount of &lt;ivrPmtAmt&gt;, has been processed.  Your confirmation number is &lt;ivrConfirmationNum&gt;. Again, that confirmation number is &lt;ivrConfirmationNum&gt;.</v>
      </c>
      <c r="D22" s="117" t="s">
        <v>340</v>
      </c>
      <c r="E22" s="125" t="str">
        <f>VLOOKUP(Table25755252691013434446474849565758596315181719224566677172737476777879939495100[[#This Row],[PEG]],Table1016[#All],3,FALSE)</f>
        <v>Prompt</v>
      </c>
    </row>
    <row r="23" spans="1:5" x14ac:dyDescent="0.35">
      <c r="A23" s="118">
        <v>16</v>
      </c>
      <c r="B23" s="114" t="s">
        <v>115</v>
      </c>
      <c r="C23" s="109" t="str">
        <f>VLOOKUP(Table25755252691013434446474849565758596315181719224566677172737476777879939495100[[#This Row],[PEG]],Table1016[#All],2,FALSE)</f>
        <v>Would you like me to text the confirmation to the phone number ending in &lt;Last 4 ANI digits&gt;?</v>
      </c>
      <c r="D23" s="117" t="s">
        <v>344</v>
      </c>
      <c r="E23" s="125" t="str">
        <f>VLOOKUP(Table25755252691013434446474849565758596315181719224566677172737476777879939495100[[#This Row],[PEG]],Table1016[#All],3,FALSE)</f>
        <v>Prompt</v>
      </c>
    </row>
    <row r="24" spans="1:5" x14ac:dyDescent="0.35">
      <c r="A24" s="118">
        <v>17</v>
      </c>
      <c r="B24" s="114" t="s">
        <v>114</v>
      </c>
      <c r="C24" s="109">
        <v>1</v>
      </c>
      <c r="D24" s="117"/>
      <c r="E24" s="125" t="e">
        <f>VLOOKUP(Table25755252691013434446474849565758596315181719224566677172737476777879939495100[[#This Row],[PEG]],Table1016[#All],3,FALSE)</f>
        <v>#N/A</v>
      </c>
    </row>
    <row r="25" spans="1:5" ht="29" x14ac:dyDescent="0.35">
      <c r="A25" s="118">
        <v>18</v>
      </c>
      <c r="B25" s="114" t="s">
        <v>12</v>
      </c>
      <c r="C25" s="109" t="str">
        <f>VLOOKUP(Table25755252691013434446474849565758596315181719224566677172737476777879939495100[[#This Row],[PEG]],Table1016[#All],2,FALSE)</f>
        <v>Set ivrSMSMsg=
Your payment confirmation is &lt;ivrConfirmationNum&gt;</v>
      </c>
      <c r="D25" s="117">
        <v>2600</v>
      </c>
      <c r="E25" s="125">
        <f>VLOOKUP(Table25755252691013434446474849565758596315181719224566677172737476777879939495100[[#This Row],[PEG]],Table1016[#All],3,FALSE)</f>
        <v>0</v>
      </c>
    </row>
    <row r="26" spans="1:5" ht="72.5" x14ac:dyDescent="0.35">
      <c r="A26" s="118">
        <v>19</v>
      </c>
      <c r="B26" s="114" t="s">
        <v>12</v>
      </c>
      <c r="C26" s="109" t="str">
        <f>VLOOKUP(Table25755252691013434446474849565758596315181719224566677172737476777879939495100[[#This Row],[PEG]],Table1016[#All],2,FALSE)</f>
        <v xml:space="preserve">SMS - SMS01_SendSMSMsg
inputs: 	
from			= CFG02_BillingSMSFromPhone
to 			= ivrSMSPhoneNbr_x000B_body 		= ivrSMSMsg
outputs: </v>
      </c>
      <c r="D26" s="117" t="s">
        <v>425</v>
      </c>
      <c r="E26" s="125">
        <f>VLOOKUP(Table25755252691013434446474849565758596315181719224566677172737476777879939495100[[#This Row],[PEG]],Table1016[#All],3,FALSE)</f>
        <v>0</v>
      </c>
    </row>
    <row r="27" spans="1:5" x14ac:dyDescent="0.35">
      <c r="A27" s="118">
        <v>20</v>
      </c>
      <c r="B27" s="114" t="s">
        <v>115</v>
      </c>
      <c r="C27" s="109" t="str">
        <f>VLOOKUP(Table25755252691013434446474849565758596315181719224566677172737476777879939495100[[#This Row],[PEG]],Table1016[#All],2,FALSE)</f>
        <v>I'm sorry, but I am unable to send a text at this time.</v>
      </c>
      <c r="D27" s="117" t="s">
        <v>356</v>
      </c>
      <c r="E27" s="125" t="str">
        <f>VLOOKUP(Table25755252691013434446474849565758596315181719224566677172737476777879939495100[[#This Row],[PEG]],Table1016[#All],3,FALSE)</f>
        <v>Prompt</v>
      </c>
    </row>
    <row r="28" spans="1:5" ht="29" x14ac:dyDescent="0.35">
      <c r="A28" s="118">
        <v>21</v>
      </c>
      <c r="B28" s="114" t="s">
        <v>115</v>
      </c>
      <c r="C28" s="109" t="str">
        <f>VLOOKUP(Table25755252691013434446474849565758596315181719224566677172737476777879939495100[[#This Row],[PEG]],Table1016[#All],2,FALSE)</f>
        <v>Thank you for your payment today.  For future transactions, you can access your plan details or manage your account anytime online at members.lacare.com.</v>
      </c>
      <c r="D28" s="117" t="s">
        <v>364</v>
      </c>
      <c r="E28" s="125" t="str">
        <f>VLOOKUP(Table25755252691013434446474849565758596315181719224566677172737476777879939495100[[#This Row],[PEG]],Table1016[#All],3,FALSE)</f>
        <v>Prompt</v>
      </c>
    </row>
    <row r="29" spans="1:5" x14ac:dyDescent="0.35">
      <c r="A29" s="118">
        <v>22</v>
      </c>
      <c r="B29" s="114" t="s">
        <v>13</v>
      </c>
      <c r="C29" s="109" t="s">
        <v>13</v>
      </c>
      <c r="D29" s="117"/>
      <c r="E29" s="125" t="e">
        <f>VLOOKUP(Table25755252691013434446474849565758596315181719224566677172737476777879939495100[[#This Row],[PEG]],Table1016[#All],3,FALSE)</f>
        <v>#N/A</v>
      </c>
    </row>
  </sheetData>
  <mergeCells count="1">
    <mergeCell ref="A1:B1"/>
  </mergeCells>
  <conditionalFormatting sqref="B8:B18">
    <cfRule type="containsText" dxfId="4408" priority="4" operator="containsText" text="Hear">
      <formula>NOT(ISERROR(SEARCH("Hear",B8)))</formula>
    </cfRule>
  </conditionalFormatting>
  <conditionalFormatting sqref="B19:B29">
    <cfRule type="containsText" dxfId="4407" priority="10" operator="containsText" text="Hear">
      <formula>NOT(ISERROR(SEARCH("Hear",B19)))</formula>
    </cfRule>
  </conditionalFormatting>
  <conditionalFormatting sqref="C9:C29">
    <cfRule type="expression" dxfId="4406" priority="8">
      <formula>$B9="Dial"</formula>
    </cfRule>
    <cfRule type="expression" dxfId="4405" priority="10">
      <formula>$B9="HANGUP"</formula>
    </cfRule>
  </conditionalFormatting>
  <conditionalFormatting sqref="C9:C29">
    <cfRule type="expression" dxfId="4404" priority="2">
      <formula>$B9="Speak"</formula>
    </cfRule>
  </conditionalFormatting>
  <hyperlinks>
    <hyperlink ref="A1" location="'Test Case Overview'!A1" display="Return to Test Case Overview" xr:uid="{9AFF9956-5828-42FE-9B45-6C4C12C07FFB}"/>
  </hyperlinks>
  <pageMargins left="0.7" right="0.7" top="0.75" bottom="0.75" header="0.3" footer="0.3"/>
  <pageSetup orientation="portrait" verticalDpi="0" r:id="rId1"/>
  <tableParts count="1">
    <tablePart r:id="rId2"/>
  </tableParts>
  <extLst>
    <ext xmlns:x14="http://schemas.microsoft.com/office/spreadsheetml/2009/9/main" uri="{78C0D931-6437-407d-A8EE-F0AAD7539E65}">
      <x14:conditionalFormattings>
        <x14:conditionalFormatting xmlns:xm="http://schemas.microsoft.com/office/excel/2006/main">
          <x14:cfRule type="expression" priority="14" id="{FE07B0F0-A908-40F0-8844-075F06A6860F}">
            <xm:f>'TC1'!$B8="HANGUP"</xm:f>
            <x14:dxf>
              <font>
                <b/>
                <i val="0"/>
              </font>
            </x14:dxf>
          </x14:cfRule>
          <x14:cfRule type="expression" priority="15" id="{EC3F7A00-D926-4D4B-91D3-2CC18CDEFFF2}">
            <xm:f>'TC1'!$B8="Dial"</xm:f>
            <x14:dxf>
              <font>
                <b/>
                <i val="0"/>
                <color rgb="FFFF0000"/>
              </font>
            </x14:dxf>
          </x14:cfRule>
          <xm:sqref>C8</xm:sqref>
        </x14:conditionalFormatting>
        <x14:conditionalFormatting xmlns:xm="http://schemas.microsoft.com/office/excel/2006/main">
          <x14:cfRule type="expression" priority="16" id="{8A8D28BA-21DC-486F-AB85-2F66C44C3FBD}">
            <xm:f>'TC1'!$B8="Speak"</xm:f>
            <x14:dxf>
              <font>
                <b/>
                <i val="0"/>
                <color rgb="FFFF0000"/>
              </font>
            </x14:dxf>
          </x14:cfRule>
          <xm:sqref>C8</xm:sqref>
        </x14:conditionalFormatting>
        <x14:conditionalFormatting xmlns:xm="http://schemas.microsoft.com/office/excel/2006/main">
          <x14:cfRule type="containsText" priority="1420" operator="containsText" text="DB" id="{9BD1267F-7148-4782-82EC-4195749C3FA0}">
            <xm:f>NOT(ISERROR(SEARCH("DB",'TC1'!#REF!)))</xm:f>
            <x14:dxf>
              <font>
                <color rgb="FF006100"/>
              </font>
              <fill>
                <patternFill>
                  <bgColor rgb="FFC6EFCE"/>
                </patternFill>
              </fill>
            </x14:dxf>
          </x14:cfRule>
          <x14:cfRule type="containsText" priority="1421" operator="containsText" text="WEB SERVICE" id="{63CFC573-9B52-4321-896E-16B3891D8A2E}">
            <xm:f>NOT(ISERROR(SEARCH("WEB SERVICE",'TC1'!#REF!)))</xm:f>
            <x14:dxf>
              <font>
                <color rgb="FF9C0006"/>
              </font>
              <fill>
                <patternFill>
                  <bgColor rgb="FFFFC7CE"/>
                </patternFill>
              </fill>
            </x14:dxf>
          </x14:cfRule>
          <xm:sqref>E17:E29</xm:sqref>
        </x14:conditionalFormatting>
        <x14:conditionalFormatting xmlns:xm="http://schemas.microsoft.com/office/excel/2006/main">
          <x14:cfRule type="containsText" priority="4214" operator="containsText" text="DB" id="{9BD1267F-7148-4782-82EC-4195749C3FA0}">
            <xm:f>NOT(ISERROR(SEARCH("DB",'TC1'!#REF!)))</xm:f>
            <x14:dxf>
              <font>
                <color rgb="FF006100"/>
              </font>
              <fill>
                <patternFill>
                  <bgColor rgb="FFC6EFCE"/>
                </patternFill>
              </fill>
            </x14:dxf>
          </x14:cfRule>
          <x14:cfRule type="containsText" priority="4215" operator="containsText" text="WEB SERVICE" id="{63CFC573-9B52-4321-896E-16B3891D8A2E}">
            <xm:f>NOT(ISERROR(SEARCH("WEB SERVICE",'TC1'!#REF!)))</xm:f>
            <x14:dxf>
              <font>
                <color rgb="FF9C0006"/>
              </font>
              <fill>
                <patternFill>
                  <bgColor rgb="FFFFC7CE"/>
                </patternFill>
              </fill>
            </x14:dxf>
          </x14:cfRule>
          <xm:sqref>E9:E11</xm:sqref>
        </x14:conditionalFormatting>
        <x14:conditionalFormatting xmlns:xm="http://schemas.microsoft.com/office/excel/2006/main">
          <x14:cfRule type="containsText" priority="4216" operator="containsText" text="DB" id="{9BD1267F-7148-4782-82EC-4195749C3FA0}">
            <xm:f>NOT(ISERROR(SEARCH("DB",'TC1'!E9)))</xm:f>
            <x14:dxf>
              <font>
                <color rgb="FF006100"/>
              </font>
              <fill>
                <patternFill>
                  <bgColor rgb="FFC6EFCE"/>
                </patternFill>
              </fill>
            </x14:dxf>
          </x14:cfRule>
          <x14:cfRule type="containsText" priority="4217" operator="containsText" text="WEB SERVICE" id="{63CFC573-9B52-4321-896E-16B3891D8A2E}">
            <xm:f>NOT(ISERROR(SEARCH("WEB SERVICE",'TC1'!E9)))</xm:f>
            <x14:dxf>
              <font>
                <color rgb="FF9C0006"/>
              </font>
              <fill>
                <patternFill>
                  <bgColor rgb="FFFFC7CE"/>
                </patternFill>
              </fill>
            </x14:dxf>
          </x14:cfRule>
          <xm:sqref>E12:E15</xm:sqref>
        </x14:conditionalFormatting>
        <x14:conditionalFormatting xmlns:xm="http://schemas.microsoft.com/office/excel/2006/main">
          <x14:cfRule type="containsText" priority="6689" operator="containsText" text="DB" id="{9BD1267F-7148-4782-82EC-4195749C3FA0}">
            <xm:f>NOT(ISERROR(SEARCH("DB",'TC1'!E15)))</xm:f>
            <x14:dxf>
              <font>
                <color rgb="FF006100"/>
              </font>
              <fill>
                <patternFill>
                  <bgColor rgb="FFC6EFCE"/>
                </patternFill>
              </fill>
            </x14:dxf>
          </x14:cfRule>
          <x14:cfRule type="containsText" priority="6690" operator="containsText" text="WEB SERVICE" id="{63CFC573-9B52-4321-896E-16B3891D8A2E}">
            <xm:f>NOT(ISERROR(SEARCH("WEB SERVICE",'TC1'!E15)))</xm:f>
            <x14:dxf>
              <font>
                <color rgb="FF9C0006"/>
              </font>
              <fill>
                <patternFill>
                  <bgColor rgb="FFFFC7CE"/>
                </patternFill>
              </fill>
            </x14:dxf>
          </x14:cfRule>
          <xm:sqref>E16</xm:sqref>
        </x14:conditionalFormatting>
      </x14:conditionalFormattings>
    </ext>
  </extLst>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60"/>
  <dimension ref="A1:E42"/>
  <sheetViews>
    <sheetView zoomScaleNormal="100" workbookViewId="0">
      <selection sqref="A1:B1"/>
    </sheetView>
  </sheetViews>
  <sheetFormatPr defaultRowHeight="14.5" x14ac:dyDescent="0.35"/>
  <cols>
    <col min="1" max="1" width="14.453125" bestFit="1" customWidth="1"/>
    <col min="2" max="2" width="42.6328125" customWidth="1"/>
    <col min="3" max="3" width="106.1796875" customWidth="1"/>
    <col min="4" max="4" width="21.81640625" bestFit="1" customWidth="1"/>
    <col min="5" max="5" width="20.6328125" customWidth="1"/>
  </cols>
  <sheetData>
    <row r="1" spans="1:5" ht="18.5" x14ac:dyDescent="0.35">
      <c r="A1" s="192" t="s">
        <v>4</v>
      </c>
      <c r="B1" s="192"/>
      <c r="C1" s="105"/>
      <c r="D1" s="111"/>
      <c r="E1" s="97"/>
    </row>
    <row r="2" spans="1:5" x14ac:dyDescent="0.35">
      <c r="A2" s="106" t="s">
        <v>5</v>
      </c>
      <c r="B2" s="107" t="str">
        <f ca="1">MID(CELL("filename",A1),FIND("]",CELL("filename",A1))+1,LEN(CELL("filename",A1))-FIND("]",CELL("filename",A1)))</f>
        <v>TC58</v>
      </c>
      <c r="C2" s="98"/>
      <c r="D2" s="111"/>
      <c r="E2" s="97"/>
    </row>
    <row r="3" spans="1:5" x14ac:dyDescent="0.35">
      <c r="A3" s="104" t="s">
        <v>19</v>
      </c>
      <c r="B3" s="112" t="e">
        <f ca="1">VLOOKUP(B2,Table1[#All],2,FALSE)</f>
        <v>#N/A</v>
      </c>
      <c r="C3" s="98"/>
      <c r="D3" s="111"/>
      <c r="E3" s="97"/>
    </row>
    <row r="4" spans="1:5" ht="29" x14ac:dyDescent="0.35">
      <c r="A4" s="113" t="s">
        <v>20</v>
      </c>
      <c r="B4" s="99" t="e">
        <f ca="1">VLOOKUP(B2,Table1[#All],4,FALSE)</f>
        <v>#N/A</v>
      </c>
      <c r="C4" s="98"/>
      <c r="D4" s="111"/>
      <c r="E4" s="97"/>
    </row>
    <row r="5" spans="1:5" x14ac:dyDescent="0.35">
      <c r="A5" s="104" t="s">
        <v>6</v>
      </c>
      <c r="B5" s="93" t="e">
        <f ca="1">VLOOKUP(B2,Table1[#All],3,FALSE)</f>
        <v>#N/A</v>
      </c>
      <c r="C5" s="98"/>
      <c r="D5" s="111"/>
      <c r="E5" s="97"/>
    </row>
    <row r="6" spans="1:5" x14ac:dyDescent="0.35">
      <c r="A6" s="97"/>
      <c r="B6" s="97"/>
      <c r="C6" s="98"/>
      <c r="D6" s="111"/>
      <c r="E6" s="97"/>
    </row>
    <row r="7" spans="1:5" ht="15.5" x14ac:dyDescent="0.35">
      <c r="A7" s="100" t="s">
        <v>7</v>
      </c>
      <c r="B7" s="101" t="s">
        <v>8</v>
      </c>
      <c r="C7" s="102" t="s">
        <v>9</v>
      </c>
      <c r="D7" s="102" t="s">
        <v>14</v>
      </c>
      <c r="E7" s="103" t="s">
        <v>10</v>
      </c>
    </row>
    <row r="8" spans="1:5" x14ac:dyDescent="0.35">
      <c r="A8" s="118">
        <v>1</v>
      </c>
      <c r="B8" s="114" t="s">
        <v>114</v>
      </c>
      <c r="C8" s="109" t="s">
        <v>125</v>
      </c>
      <c r="D8" s="128"/>
      <c r="E8" s="125" t="s">
        <v>11</v>
      </c>
    </row>
    <row r="9" spans="1:5" x14ac:dyDescent="0.35">
      <c r="A9" s="118">
        <v>2</v>
      </c>
      <c r="B9" s="114" t="s">
        <v>12</v>
      </c>
      <c r="C9" s="109" t="e">
        <f>VLOOKUP(Table25755252691013434446474849565758596315181719224566677172737476777879939495100102[[#This Row],[PEG]],Table1016[#All],2,FALSE)</f>
        <v>#N/A</v>
      </c>
      <c r="D9" s="128"/>
      <c r="E9" s="125" t="e">
        <f>VLOOKUP(Table25755252691013434446474849565758596315181719224566677172737476777879939495100102[[#This Row],[PEG]],Table1016[#All],3,FALSE)</f>
        <v>#N/A</v>
      </c>
    </row>
    <row r="10" spans="1:5" x14ac:dyDescent="0.35">
      <c r="A10" s="118">
        <v>3</v>
      </c>
      <c r="B10" s="114" t="s">
        <v>115</v>
      </c>
      <c r="C10" s="109" t="e">
        <f>VLOOKUP(Table25755252691013434446474849565758596315181719224566677172737476777879939495100102[[#This Row],[PEG]],Table1016[#All],2,FALSE)</f>
        <v>#N/A</v>
      </c>
      <c r="D10" s="128"/>
      <c r="E10" s="125" t="e">
        <f>VLOOKUP(Table25755252691013434446474849565758596315181719224566677172737476777879939495100102[[#This Row],[PEG]],Table1016[#All],3,FALSE)</f>
        <v>#N/A</v>
      </c>
    </row>
    <row r="11" spans="1:5" x14ac:dyDescent="0.35">
      <c r="A11" s="118">
        <v>4</v>
      </c>
      <c r="B11" s="114" t="s">
        <v>115</v>
      </c>
      <c r="C11" s="109" t="e">
        <f>VLOOKUP(Table25755252691013434446474849565758596315181719224566677172737476777879939495100102[[#This Row],[PEG]],Table1016[#All],2,FALSE)</f>
        <v>#N/A</v>
      </c>
      <c r="D11" s="128"/>
      <c r="E11" s="125" t="e">
        <f>VLOOKUP(Table25755252691013434446474849565758596315181719224566677172737476777879939495100102[[#This Row],[PEG]],Table1016[#All],3,FALSE)</f>
        <v>#N/A</v>
      </c>
    </row>
    <row r="12" spans="1:5" x14ac:dyDescent="0.35">
      <c r="A12" s="118">
        <v>5</v>
      </c>
      <c r="B12" s="114" t="s">
        <v>114</v>
      </c>
      <c r="C12" s="109" t="e">
        <f>VLOOKUP(Table25755252691013434446474849565758596315181719224566677172737476777879939495100102[[#This Row],[PEG]],Table1016[#All],2,FALSE)</f>
        <v>#N/A</v>
      </c>
      <c r="D12" s="128"/>
      <c r="E12" s="125" t="e">
        <f>VLOOKUP(Table25755252691013434446474849565758596315181719224566677172737476777879939495100102[[#This Row],[PEG]],Table1016[#All],3,FALSE)</f>
        <v>#N/A</v>
      </c>
    </row>
    <row r="13" spans="1:5" x14ac:dyDescent="0.35">
      <c r="A13" s="118">
        <v>6</v>
      </c>
      <c r="B13" s="114" t="s">
        <v>115</v>
      </c>
      <c r="C13" s="109" t="e">
        <f>VLOOKUP(Table25755252691013434446474849565758596315181719224566677172737476777879939495100102[[#This Row],[PEG]],Table1016[#All],2,FALSE)</f>
        <v>#N/A</v>
      </c>
      <c r="D13" s="128"/>
      <c r="E13" s="125" t="e">
        <f>VLOOKUP(Table25755252691013434446474849565758596315181719224566677172737476777879939495100102[[#This Row],[PEG]],Table1016[#All],3,FALSE)</f>
        <v>#N/A</v>
      </c>
    </row>
    <row r="14" spans="1:5" x14ac:dyDescent="0.35">
      <c r="A14" s="118">
        <v>7</v>
      </c>
      <c r="B14" s="114" t="s">
        <v>114</v>
      </c>
      <c r="C14" s="109" t="e">
        <f>VLOOKUP(Table25755252691013434446474849565758596315181719224566677172737476777879939495100102[[#This Row],[PEG]],Table1016[#All],2,FALSE)</f>
        <v>#N/A</v>
      </c>
      <c r="D14" s="128"/>
      <c r="E14" s="125" t="e">
        <f>VLOOKUP(Table25755252691013434446474849565758596315181719224566677172737476777879939495100102[[#This Row],[PEG]],Table1016[#All],3,FALSE)</f>
        <v>#N/A</v>
      </c>
    </row>
    <row r="15" spans="1:5" x14ac:dyDescent="0.35">
      <c r="A15" s="118">
        <v>8</v>
      </c>
      <c r="B15" s="114" t="s">
        <v>115</v>
      </c>
      <c r="C15" s="109" t="e">
        <f>VLOOKUP(Table25755252691013434446474849565758596315181719224566677172737476777879939495100102[[#This Row],[PEG]],Table1016[#All],2,FALSE)</f>
        <v>#N/A</v>
      </c>
      <c r="D15" s="116"/>
      <c r="E15" s="125" t="e">
        <f>VLOOKUP(Table25755252691013434446474849565758596315181719224566677172737476777879939495100102[[#This Row],[PEG]],Table1016[#All],3,FALSE)</f>
        <v>#N/A</v>
      </c>
    </row>
    <row r="16" spans="1:5" x14ac:dyDescent="0.35">
      <c r="A16" s="118">
        <v>9</v>
      </c>
      <c r="B16" s="114" t="s">
        <v>12</v>
      </c>
      <c r="C16" s="109" t="e">
        <f>VLOOKUP(Table25755252691013434446474849565758596315181719224566677172737476777879939495100102[[#This Row],[PEG]],Table1016[#All],2,FALSE)</f>
        <v>#N/A</v>
      </c>
      <c r="D16" s="116"/>
      <c r="E16" s="125" t="e">
        <f>VLOOKUP(Table25755252691013434446474849565758596315181719224566677172737476777879939495100102[[#This Row],[PEG]],Table1016[#All],3,FALSE)</f>
        <v>#N/A</v>
      </c>
    </row>
    <row r="17" spans="1:5" x14ac:dyDescent="0.35">
      <c r="A17" s="118">
        <v>10</v>
      </c>
      <c r="B17" s="114" t="s">
        <v>12</v>
      </c>
      <c r="C17" s="109" t="e">
        <f>VLOOKUP(Table25755252691013434446474849565758596315181719224566677172737476777879939495100102[[#This Row],[PEG]],Table1016[#All],2,FALSE)</f>
        <v>#N/A</v>
      </c>
      <c r="D17" s="117"/>
      <c r="E17" s="125" t="e">
        <f>VLOOKUP(Table25755252691013434446474849565758596315181719224566677172737476777879939495100102[[#This Row],[PEG]],Table1016[#All],3,FALSE)</f>
        <v>#N/A</v>
      </c>
    </row>
    <row r="18" spans="1:5" x14ac:dyDescent="0.35">
      <c r="A18" s="118">
        <v>11</v>
      </c>
      <c r="B18" s="114" t="s">
        <v>115</v>
      </c>
      <c r="C18" s="109" t="e">
        <f>VLOOKUP(Table25755252691013434446474849565758596315181719224566677172737476777879939495100102[[#This Row],[PEG]],Table1016[#All],2,FALSE)</f>
        <v>#N/A</v>
      </c>
      <c r="D18" s="117"/>
      <c r="E18" s="125" t="e">
        <f>VLOOKUP(Table25755252691013434446474849565758596315181719224566677172737476777879939495100102[[#This Row],[PEG]],Table1016[#All],3,FALSE)</f>
        <v>#N/A</v>
      </c>
    </row>
    <row r="19" spans="1:5" x14ac:dyDescent="0.35">
      <c r="A19" s="118">
        <v>12</v>
      </c>
      <c r="B19" s="114" t="s">
        <v>115</v>
      </c>
      <c r="C19" s="109" t="e">
        <f>VLOOKUP(Table25755252691013434446474849565758596315181719224566677172737476777879939495100102[[#This Row],[PEG]],Table1016[#All],2,FALSE)</f>
        <v>#N/A</v>
      </c>
      <c r="D19" s="117"/>
      <c r="E19" s="125" t="e">
        <f>VLOOKUP(Table25755252691013434446474849565758596315181719224566677172737476777879939495100102[[#This Row],[PEG]],Table1016[#All],3,FALSE)</f>
        <v>#N/A</v>
      </c>
    </row>
    <row r="20" spans="1:5" x14ac:dyDescent="0.35">
      <c r="A20" s="118">
        <v>13</v>
      </c>
      <c r="B20" s="114" t="s">
        <v>114</v>
      </c>
      <c r="C20" s="109" t="e">
        <f>VLOOKUP(Table25755252691013434446474849565758596315181719224566677172737476777879939495100102[[#This Row],[PEG]],Table1016[#All],2,FALSE)</f>
        <v>#N/A</v>
      </c>
      <c r="D20" s="117"/>
      <c r="E20" s="125" t="e">
        <f>VLOOKUP(Table25755252691013434446474849565758596315181719224566677172737476777879939495100102[[#This Row],[PEG]],Table1016[#All],3,FALSE)</f>
        <v>#N/A</v>
      </c>
    </row>
    <row r="21" spans="1:5" x14ac:dyDescent="0.35">
      <c r="A21" s="118">
        <v>14</v>
      </c>
      <c r="B21" s="114" t="s">
        <v>12</v>
      </c>
      <c r="C21" s="109" t="e">
        <f>VLOOKUP(Table25755252691013434446474849565758596315181719224566677172737476777879939495100102[[#This Row],[PEG]],Table1016[#All],2,FALSE)</f>
        <v>#N/A</v>
      </c>
      <c r="D21" s="117"/>
      <c r="E21" s="125" t="e">
        <f>VLOOKUP(Table25755252691013434446474849565758596315181719224566677172737476777879939495100102[[#This Row],[PEG]],Table1016[#All],3,FALSE)</f>
        <v>#N/A</v>
      </c>
    </row>
    <row r="22" spans="1:5" x14ac:dyDescent="0.35">
      <c r="A22" s="118">
        <v>15</v>
      </c>
      <c r="B22" s="114" t="s">
        <v>12</v>
      </c>
      <c r="C22" s="109" t="e">
        <f>VLOOKUP(Table25755252691013434446474849565758596315181719224566677172737476777879939495100102[[#This Row],[PEG]],Table1016[#All],2,FALSE)</f>
        <v>#N/A</v>
      </c>
      <c r="D22" s="117"/>
      <c r="E22" s="125" t="e">
        <f>VLOOKUP(Table25755252691013434446474849565758596315181719224566677172737476777879939495100102[[#This Row],[PEG]],Table1016[#All],3,FALSE)</f>
        <v>#N/A</v>
      </c>
    </row>
    <row r="23" spans="1:5" x14ac:dyDescent="0.35">
      <c r="A23" s="118">
        <v>16</v>
      </c>
      <c r="B23" s="114" t="s">
        <v>115</v>
      </c>
      <c r="C23" s="109" t="e">
        <f>VLOOKUP(Table25755252691013434446474849565758596315181719224566677172737476777879939495100102[[#This Row],[PEG]],Table1016[#All],2,FALSE)</f>
        <v>#N/A</v>
      </c>
      <c r="D23" s="117"/>
      <c r="E23" s="125" t="e">
        <f>VLOOKUP(Table25755252691013434446474849565758596315181719224566677172737476777879939495100102[[#This Row],[PEG]],Table1016[#All],3,FALSE)</f>
        <v>#N/A</v>
      </c>
    </row>
    <row r="24" spans="1:5" x14ac:dyDescent="0.35">
      <c r="A24" s="118">
        <v>17</v>
      </c>
      <c r="B24" s="114" t="s">
        <v>114</v>
      </c>
      <c r="C24" s="109" t="e">
        <f>VLOOKUP(Table25755252691013434446474849565758596315181719224566677172737476777879939495100102[[#This Row],[PEG]],Table1016[#All],2,FALSE)</f>
        <v>#N/A</v>
      </c>
      <c r="D24" s="117"/>
      <c r="E24" s="125" t="e">
        <f>VLOOKUP(Table25755252691013434446474849565758596315181719224566677172737476777879939495100102[[#This Row],[PEG]],Table1016[#All],3,FALSE)</f>
        <v>#N/A</v>
      </c>
    </row>
    <row r="25" spans="1:5" x14ac:dyDescent="0.35">
      <c r="A25" s="118">
        <v>18</v>
      </c>
      <c r="B25" s="114" t="s">
        <v>12</v>
      </c>
      <c r="C25" s="109" t="e">
        <f>VLOOKUP(Table25755252691013434446474849565758596315181719224566677172737476777879939495100102[[#This Row],[PEG]],Table1016[#All],2,FALSE)</f>
        <v>#N/A</v>
      </c>
      <c r="D25" s="117"/>
      <c r="E25" s="125" t="e">
        <f>VLOOKUP(Table25755252691013434446474849565758596315181719224566677172737476777879939495100102[[#This Row],[PEG]],Table1016[#All],3,FALSE)</f>
        <v>#N/A</v>
      </c>
    </row>
    <row r="26" spans="1:5" x14ac:dyDescent="0.35">
      <c r="A26" s="118">
        <v>19</v>
      </c>
      <c r="B26" s="114" t="s">
        <v>12</v>
      </c>
      <c r="C26" s="109" t="e">
        <f>VLOOKUP(Table25755252691013434446474849565758596315181719224566677172737476777879939495100102[[#This Row],[PEG]],Table1016[#All],2,FALSE)</f>
        <v>#N/A</v>
      </c>
      <c r="D26" s="117"/>
      <c r="E26" s="125" t="e">
        <f>VLOOKUP(Table25755252691013434446474849565758596315181719224566677172737476777879939495100102[[#This Row],[PEG]],Table1016[#All],3,FALSE)</f>
        <v>#N/A</v>
      </c>
    </row>
    <row r="27" spans="1:5" x14ac:dyDescent="0.35">
      <c r="A27" s="118">
        <v>20</v>
      </c>
      <c r="B27" s="114" t="s">
        <v>115</v>
      </c>
      <c r="C27" s="109" t="e">
        <f>VLOOKUP(Table25755252691013434446474849565758596315181719224566677172737476777879939495100102[[#This Row],[PEG]],Table1016[#All],2,FALSE)</f>
        <v>#N/A</v>
      </c>
      <c r="D27" s="117"/>
      <c r="E27" s="125" t="e">
        <f>VLOOKUP(Table25755252691013434446474849565758596315181719224566677172737476777879939495100102[[#This Row],[PEG]],Table1016[#All],3,FALSE)</f>
        <v>#N/A</v>
      </c>
    </row>
    <row r="28" spans="1:5" x14ac:dyDescent="0.35">
      <c r="A28" s="118">
        <v>21</v>
      </c>
      <c r="B28" s="114" t="s">
        <v>114</v>
      </c>
      <c r="C28" s="109" t="e">
        <f>VLOOKUP(Table25755252691013434446474849565758596315181719224566677172737476777879939495100102[[#This Row],[PEG]],Table1016[#All],2,FALSE)</f>
        <v>#N/A</v>
      </c>
      <c r="D28" s="117"/>
      <c r="E28" s="125" t="e">
        <f>VLOOKUP(Table25755252691013434446474849565758596315181719224566677172737476777879939495100102[[#This Row],[PEG]],Table1016[#All],3,FALSE)</f>
        <v>#N/A</v>
      </c>
    </row>
    <row r="29" spans="1:5" x14ac:dyDescent="0.35">
      <c r="A29" s="118">
        <v>22</v>
      </c>
      <c r="B29" s="114" t="s">
        <v>12</v>
      </c>
      <c r="C29" s="109" t="e">
        <f>VLOOKUP(Table25755252691013434446474849565758596315181719224566677172737476777879939495100102[[#This Row],[PEG]],Table1016[#All],2,FALSE)</f>
        <v>#N/A</v>
      </c>
      <c r="D29" s="117"/>
      <c r="E29" s="125" t="e">
        <f>VLOOKUP(Table25755252691013434446474849565758596315181719224566677172737476777879939495100102[[#This Row],[PEG]],Table1016[#All],3,FALSE)</f>
        <v>#N/A</v>
      </c>
    </row>
    <row r="30" spans="1:5" x14ac:dyDescent="0.35">
      <c r="A30" s="118">
        <v>23</v>
      </c>
      <c r="B30" s="114" t="s">
        <v>12</v>
      </c>
      <c r="C30" s="109" t="e">
        <f>VLOOKUP(Table25755252691013434446474849565758596315181719224566677172737476777879939495100102[[#This Row],[PEG]],Table1016[#All],2,FALSE)</f>
        <v>#N/A</v>
      </c>
      <c r="D30" s="117"/>
      <c r="E30" s="125" t="e">
        <f>VLOOKUP(Table25755252691013434446474849565758596315181719224566677172737476777879939495100102[[#This Row],[PEG]],Table1016[#All],3,FALSE)</f>
        <v>#N/A</v>
      </c>
    </row>
    <row r="31" spans="1:5" x14ac:dyDescent="0.35">
      <c r="A31" s="118">
        <v>24</v>
      </c>
      <c r="B31" s="114" t="s">
        <v>115</v>
      </c>
      <c r="C31" s="109" t="e">
        <f>VLOOKUP(Table25755252691013434446474849565758596315181719224566677172737476777879939495100102[[#This Row],[PEG]],Table1016[#All],2,FALSE)</f>
        <v>#N/A</v>
      </c>
      <c r="D31" s="117"/>
      <c r="E31" s="125" t="e">
        <f>VLOOKUP(Table25755252691013434446474849565758596315181719224566677172737476777879939495100102[[#This Row],[PEG]],Table1016[#All],3,FALSE)</f>
        <v>#N/A</v>
      </c>
    </row>
    <row r="32" spans="1:5" x14ac:dyDescent="0.35">
      <c r="A32" s="118">
        <v>25</v>
      </c>
      <c r="B32" s="114" t="s">
        <v>115</v>
      </c>
      <c r="C32" s="109" t="e">
        <f>VLOOKUP(Table25755252691013434446474849565758596315181719224566677172737476777879939495100102[[#This Row],[PEG]],Table1016[#All],2,FALSE)</f>
        <v>#N/A</v>
      </c>
      <c r="D32" s="117"/>
      <c r="E32" s="125" t="e">
        <f>VLOOKUP(Table25755252691013434446474849565758596315181719224566677172737476777879939495100102[[#This Row],[PEG]],Table1016[#All],3,FALSE)</f>
        <v>#N/A</v>
      </c>
    </row>
    <row r="33" spans="1:5" x14ac:dyDescent="0.35">
      <c r="A33" s="118">
        <v>26</v>
      </c>
      <c r="B33" s="114" t="s">
        <v>124</v>
      </c>
      <c r="C33" s="109" t="e">
        <f>VLOOKUP(Table25755252691013434446474849565758596315181719224566677172737476777879939495100102[[#This Row],[PEG]],Table1016[#All],2,FALSE)</f>
        <v>#N/A</v>
      </c>
      <c r="D33" s="117"/>
      <c r="E33" s="125" t="e">
        <f>VLOOKUP(Table25755252691013434446474849565758596315181719224566677172737476777879939495100102[[#This Row],[PEG]],Table1016[#All],3,FALSE)</f>
        <v>#N/A</v>
      </c>
    </row>
    <row r="34" spans="1:5" x14ac:dyDescent="0.35">
      <c r="A34" s="118">
        <v>27</v>
      </c>
      <c r="B34" s="114" t="s">
        <v>115</v>
      </c>
      <c r="C34" s="109" t="e">
        <f>VLOOKUP(Table25755252691013434446474849565758596315181719224566677172737476777879939495100102[[#This Row],[PEG]],Table1016[#All],2,FALSE)</f>
        <v>#N/A</v>
      </c>
      <c r="D34" s="117"/>
      <c r="E34" s="125" t="e">
        <f>VLOOKUP(Table25755252691013434446474849565758596315181719224566677172737476777879939495100102[[#This Row],[PEG]],Table1016[#All],3,FALSE)</f>
        <v>#N/A</v>
      </c>
    </row>
    <row r="35" spans="1:5" x14ac:dyDescent="0.35">
      <c r="A35" s="118">
        <v>28</v>
      </c>
      <c r="B35" s="114" t="s">
        <v>124</v>
      </c>
      <c r="C35" s="109" t="e">
        <f>VLOOKUP(Table25755252691013434446474849565758596315181719224566677172737476777879939495100102[[#This Row],[PEG]],Table1016[#All],2,FALSE)</f>
        <v>#N/A</v>
      </c>
      <c r="D35" s="117"/>
      <c r="E35" s="125" t="e">
        <f>VLOOKUP(Table25755252691013434446474849565758596315181719224566677172737476777879939495100102[[#This Row],[PEG]],Table1016[#All],3,FALSE)</f>
        <v>#N/A</v>
      </c>
    </row>
    <row r="36" spans="1:5" x14ac:dyDescent="0.35">
      <c r="A36" s="118">
        <v>29</v>
      </c>
      <c r="B36" s="114" t="s">
        <v>115</v>
      </c>
      <c r="C36" s="109" t="e">
        <f>VLOOKUP(Table25755252691013434446474849565758596315181719224566677172737476777879939495100102[[#This Row],[PEG]],Table1016[#All],2,FALSE)</f>
        <v>#N/A</v>
      </c>
      <c r="D36" s="117"/>
      <c r="E36" s="125" t="e">
        <f>VLOOKUP(Table25755252691013434446474849565758596315181719224566677172737476777879939495100102[[#This Row],[PEG]],Table1016[#All],3,FALSE)</f>
        <v>#N/A</v>
      </c>
    </row>
    <row r="37" spans="1:5" x14ac:dyDescent="0.35">
      <c r="A37" s="118">
        <v>30</v>
      </c>
      <c r="B37" s="114" t="s">
        <v>12</v>
      </c>
      <c r="C37" s="109" t="e">
        <f>VLOOKUP(Table25755252691013434446474849565758596315181719224566677172737476777879939495100102[[#This Row],[PEG]],Table1016[#All],2,FALSE)</f>
        <v>#N/A</v>
      </c>
      <c r="D37" s="117"/>
      <c r="E37" s="125" t="e">
        <f>VLOOKUP(Table25755252691013434446474849565758596315181719224566677172737476777879939495100102[[#This Row],[PEG]],Table1016[#All],3,FALSE)</f>
        <v>#N/A</v>
      </c>
    </row>
    <row r="38" spans="1:5" x14ac:dyDescent="0.35">
      <c r="A38" s="118">
        <v>31</v>
      </c>
      <c r="B38" s="114" t="s">
        <v>12</v>
      </c>
      <c r="C38" s="109" t="e">
        <f>VLOOKUP(Table25755252691013434446474849565758596315181719224566677172737476777879939495100102[[#This Row],[PEG]],Table1016[#All],2,FALSE)</f>
        <v>#N/A</v>
      </c>
      <c r="D38" s="117"/>
      <c r="E38" s="125" t="e">
        <f>VLOOKUP(Table25755252691013434446474849565758596315181719224566677172737476777879939495100102[[#This Row],[PEG]],Table1016[#All],3,FALSE)</f>
        <v>#N/A</v>
      </c>
    </row>
    <row r="39" spans="1:5" x14ac:dyDescent="0.35">
      <c r="A39" s="118">
        <v>32</v>
      </c>
      <c r="B39" s="114" t="s">
        <v>12</v>
      </c>
      <c r="C39" s="109" t="e">
        <f>VLOOKUP(Table25755252691013434446474849565758596315181719224566677172737476777879939495100102[[#This Row],[PEG]],Table1016[#All],2,FALSE)</f>
        <v>#N/A</v>
      </c>
      <c r="D39" s="117"/>
      <c r="E39" s="125" t="e">
        <f>VLOOKUP(Table25755252691013434446474849565758596315181719224566677172737476777879939495100102[[#This Row],[PEG]],Table1016[#All],3,FALSE)</f>
        <v>#N/A</v>
      </c>
    </row>
    <row r="40" spans="1:5" x14ac:dyDescent="0.35">
      <c r="A40" s="118">
        <v>33</v>
      </c>
      <c r="B40" s="114" t="s">
        <v>12</v>
      </c>
      <c r="C40" s="109" t="e">
        <f>VLOOKUP(Table25755252691013434446474849565758596315181719224566677172737476777879939495100102[[#This Row],[PEG]],Table1016[#All],2,FALSE)</f>
        <v>#N/A</v>
      </c>
      <c r="D40" s="117"/>
      <c r="E40" s="125" t="e">
        <f>VLOOKUP(Table25755252691013434446474849565758596315181719224566677172737476777879939495100102[[#This Row],[PEG]],Table1016[#All],3,FALSE)</f>
        <v>#N/A</v>
      </c>
    </row>
    <row r="41" spans="1:5" x14ac:dyDescent="0.35">
      <c r="A41" s="118">
        <v>34</v>
      </c>
      <c r="B41" s="114" t="s">
        <v>115</v>
      </c>
      <c r="C41" s="109" t="e">
        <f>VLOOKUP(Table25755252691013434446474849565758596315181719224566677172737476777879939495100102[[#This Row],[PEG]],Table1016[#All],2,FALSE)</f>
        <v>#N/A</v>
      </c>
      <c r="D41" s="117"/>
      <c r="E41" s="125" t="e">
        <f>VLOOKUP(Table25755252691013434446474849565758596315181719224566677172737476777879939495100102[[#This Row],[PEG]],Table1016[#All],3,FALSE)</f>
        <v>#N/A</v>
      </c>
    </row>
    <row r="42" spans="1:5" x14ac:dyDescent="0.35">
      <c r="A42" s="118">
        <v>35</v>
      </c>
      <c r="B42" s="114" t="s">
        <v>13</v>
      </c>
      <c r="C42" s="18" t="s">
        <v>13</v>
      </c>
      <c r="D42" s="115"/>
      <c r="E42" s="32"/>
    </row>
  </sheetData>
  <mergeCells count="1">
    <mergeCell ref="A1:B1"/>
  </mergeCells>
  <conditionalFormatting sqref="B8:B18">
    <cfRule type="containsText" dxfId="4392" priority="1" operator="containsText" text="Hear">
      <formula>NOT(ISERROR(SEARCH("Hear",B8)))</formula>
    </cfRule>
  </conditionalFormatting>
  <conditionalFormatting sqref="B36:B38 B40:B41">
    <cfRule type="containsText" dxfId="4391" priority="3" operator="containsText" text="Hear">
      <formula>NOT(ISERROR(SEARCH("Hear",B36)))</formula>
    </cfRule>
  </conditionalFormatting>
  <conditionalFormatting sqref="B19:B29 B31:B35 B42">
    <cfRule type="containsText" dxfId="4390" priority="7" operator="containsText" text="Hear">
      <formula>NOT(ISERROR(SEARCH("Hear",B19)))</formula>
    </cfRule>
  </conditionalFormatting>
  <conditionalFormatting sqref="E42">
    <cfRule type="containsText" dxfId="4389" priority="5" operator="containsText" text="WEB SERVICE">
      <formula>NOT(ISERROR(SEARCH("WEB SERVICE",E42)))</formula>
    </cfRule>
    <cfRule type="containsText" dxfId="4388" priority="6" operator="containsText" text="DB">
      <formula>NOT(ISERROR(SEARCH("DB",E42)))</formula>
    </cfRule>
  </conditionalFormatting>
  <conditionalFormatting sqref="C42">
    <cfRule type="expression" dxfId="4387" priority="10">
      <formula>$B42="HANGUP"</formula>
    </cfRule>
  </conditionalFormatting>
  <conditionalFormatting sqref="B30">
    <cfRule type="containsText" dxfId="4386" priority="4" operator="containsText" text="Hear">
      <formula>NOT(ISERROR(SEARCH("Hear",B30)))</formula>
    </cfRule>
  </conditionalFormatting>
  <hyperlinks>
    <hyperlink ref="A1" location="'Test Case Overview'!A1" display="Return to Test Case Overview" xr:uid="{A91434DA-7021-4F02-BC7E-A6CAC84EC056}"/>
  </hyperlinks>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expression" priority="11" id="{3269F77D-9637-40F5-A2C9-D159530A2415}">
            <xm:f>'TC1'!$B8="HANGUP"</xm:f>
            <x14:dxf>
              <font>
                <b/>
                <i val="0"/>
              </font>
            </x14:dxf>
          </x14:cfRule>
          <x14:cfRule type="expression" priority="12" id="{0A63B2D7-280F-4DF8-A31B-BEF9DC05D5D7}">
            <xm:f>'TC1'!$B8="Dial"</xm:f>
            <x14:dxf>
              <font>
                <b/>
                <i val="0"/>
                <color rgb="FFFF0000"/>
              </font>
            </x14:dxf>
          </x14:cfRule>
          <xm:sqref>C8</xm:sqref>
        </x14:conditionalFormatting>
        <x14:conditionalFormatting xmlns:xm="http://schemas.microsoft.com/office/excel/2006/main">
          <x14:cfRule type="expression" priority="13" id="{B0C77B0B-3FA8-44F2-A795-ABD315DCAB38}">
            <xm:f>'TC1'!$B8="Speak"</xm:f>
            <x14:dxf>
              <font>
                <b/>
                <i val="0"/>
                <color rgb="FFFF0000"/>
              </font>
            </x14:dxf>
          </x14:cfRule>
          <xm:sqref>C8</xm:sqref>
        </x14:conditionalFormatting>
        <x14:conditionalFormatting xmlns:xm="http://schemas.microsoft.com/office/excel/2006/main">
          <x14:cfRule type="containsText" priority="2" operator="containsText" text="Hear" id="{91FA19E0-D9B3-4D50-8DF2-795EF267FB13}">
            <xm:f>NOT(ISERROR(SEARCH("Hear",'TC3'!B34)))</xm:f>
            <x14:dxf>
              <font>
                <color theme="9" tint="-0.24994659260841701"/>
              </font>
              <fill>
                <patternFill>
                  <bgColor theme="9" tint="0.59996337778862885"/>
                </patternFill>
              </fill>
            </x14:dxf>
          </x14:cfRule>
          <xm:sqref>B41</xm:sqref>
        </x14:conditionalFormatting>
        <x14:conditionalFormatting xmlns:xm="http://schemas.microsoft.com/office/excel/2006/main">
          <x14:cfRule type="expression" priority="1423" id="{3269F77D-9637-40F5-A2C9-D159530A2415}">
            <xm:f>'TC1'!$B16="HANGUP"</xm:f>
            <x14:dxf>
              <font>
                <b/>
                <i val="0"/>
              </font>
            </x14:dxf>
          </x14:cfRule>
          <x14:cfRule type="expression" priority="1424" id="{0A63B2D7-280F-4DF8-A31B-BEF9DC05D5D7}">
            <xm:f>'TC1'!$B16="Dial"</xm:f>
            <x14:dxf>
              <font>
                <b/>
                <i val="0"/>
                <color rgb="FFFF0000"/>
              </font>
            </x14:dxf>
          </x14:cfRule>
          <xm:sqref>C34:C41</xm:sqref>
        </x14:conditionalFormatting>
        <x14:conditionalFormatting xmlns:xm="http://schemas.microsoft.com/office/excel/2006/main">
          <x14:cfRule type="expression" priority="1425" id="{3269F77D-9637-40F5-A2C9-D159530A2415}">
            <xm:f>'TC1'!#REF!="HANGUP"</xm:f>
            <x14:dxf>
              <font>
                <b/>
                <i val="0"/>
              </font>
            </x14:dxf>
          </x14:cfRule>
          <x14:cfRule type="expression" priority="1426" id="{0A63B2D7-280F-4DF8-A31B-BEF9DC05D5D7}">
            <xm:f>'TC1'!#REF!="Dial"</xm:f>
            <x14:dxf>
              <font>
                <b/>
                <i val="0"/>
                <color rgb="FFFF0000"/>
              </font>
            </x14:dxf>
          </x14:cfRule>
          <xm:sqref>C17:C33</xm:sqref>
        </x14:conditionalFormatting>
        <x14:conditionalFormatting xmlns:xm="http://schemas.microsoft.com/office/excel/2006/main">
          <x14:cfRule type="expression" priority="1430" id="{B0C77B0B-3FA8-44F2-A795-ABD315DCAB38}">
            <xm:f>'TC1'!$B16="Speak"</xm:f>
            <x14:dxf>
              <font>
                <b/>
                <i val="0"/>
                <color rgb="FFFF0000"/>
              </font>
            </x14:dxf>
          </x14:cfRule>
          <xm:sqref>C34:C41</xm:sqref>
        </x14:conditionalFormatting>
        <x14:conditionalFormatting xmlns:xm="http://schemas.microsoft.com/office/excel/2006/main">
          <x14:cfRule type="expression" priority="1431" id="{B0C77B0B-3FA8-44F2-A795-ABD315DCAB38}">
            <xm:f>'TC1'!#REF!="Speak"</xm:f>
            <x14:dxf>
              <font>
                <b/>
                <i val="0"/>
                <color rgb="FFFF0000"/>
              </font>
            </x14:dxf>
          </x14:cfRule>
          <xm:sqref>C17:C33</xm:sqref>
        </x14:conditionalFormatting>
        <x14:conditionalFormatting xmlns:xm="http://schemas.microsoft.com/office/excel/2006/main">
          <x14:cfRule type="containsText" priority="1435" operator="containsText" text="DB" id="{570C779A-9335-4DBE-ABAF-C0A04EA863CC}">
            <xm:f>NOT(ISERROR(SEARCH("DB",'TC1'!E16)))</xm:f>
            <x14:dxf>
              <font>
                <color rgb="FF006100"/>
              </font>
              <fill>
                <patternFill>
                  <bgColor rgb="FFC6EFCE"/>
                </patternFill>
              </fill>
            </x14:dxf>
          </x14:cfRule>
          <x14:cfRule type="containsText" priority="1436" operator="containsText" text="WEB SERVICE" id="{2ED24250-7DD4-49A6-9BE7-ED90988F7375}">
            <xm:f>NOT(ISERROR(SEARCH("WEB SERVICE",'TC1'!E16)))</xm:f>
            <x14:dxf>
              <font>
                <color rgb="FF9C0006"/>
              </font>
              <fill>
                <patternFill>
                  <bgColor rgb="FFFFC7CE"/>
                </patternFill>
              </fill>
            </x14:dxf>
          </x14:cfRule>
          <xm:sqref>E34:E41</xm:sqref>
        </x14:conditionalFormatting>
        <x14:conditionalFormatting xmlns:xm="http://schemas.microsoft.com/office/excel/2006/main">
          <x14:cfRule type="containsText" priority="1437" operator="containsText" text="DB" id="{570C779A-9335-4DBE-ABAF-C0A04EA863CC}">
            <xm:f>NOT(ISERROR(SEARCH("DB",'TC1'!#REF!)))</xm:f>
            <x14:dxf>
              <font>
                <color rgb="FF006100"/>
              </font>
              <fill>
                <patternFill>
                  <bgColor rgb="FFC6EFCE"/>
                </patternFill>
              </fill>
            </x14:dxf>
          </x14:cfRule>
          <x14:cfRule type="containsText" priority="1438" operator="containsText" text="WEB SERVICE" id="{2ED24250-7DD4-49A6-9BE7-ED90988F7375}">
            <xm:f>NOT(ISERROR(SEARCH("WEB SERVICE",'TC1'!#REF!)))</xm:f>
            <x14:dxf>
              <font>
                <color rgb="FF9C0006"/>
              </font>
              <fill>
                <patternFill>
                  <bgColor rgb="FFFFC7CE"/>
                </patternFill>
              </fill>
            </x14:dxf>
          </x14:cfRule>
          <xm:sqref>E17:E33</xm:sqref>
        </x14:conditionalFormatting>
        <x14:conditionalFormatting xmlns:xm="http://schemas.microsoft.com/office/excel/2006/main">
          <x14:cfRule type="expression" priority="4219" id="{3269F77D-9637-40F5-A2C9-D159530A2415}">
            <xm:f>'TC1'!$B9="HANGUP"</xm:f>
            <x14:dxf>
              <font>
                <b/>
                <i val="0"/>
              </font>
            </x14:dxf>
          </x14:cfRule>
          <x14:cfRule type="expression" priority="4220" id="{0A63B2D7-280F-4DF8-A31B-BEF9DC05D5D7}">
            <xm:f>'TC1'!$B9="Dial"</xm:f>
            <x14:dxf>
              <font>
                <b/>
                <i val="0"/>
                <color rgb="FFFF0000"/>
              </font>
            </x14:dxf>
          </x14:cfRule>
          <xm:sqref>C12:C15</xm:sqref>
        </x14:conditionalFormatting>
        <x14:conditionalFormatting xmlns:xm="http://schemas.microsoft.com/office/excel/2006/main">
          <x14:cfRule type="expression" priority="4221" id="{3269F77D-9637-40F5-A2C9-D159530A2415}">
            <xm:f>'TC1'!#REF!="HANGUP"</xm:f>
            <x14:dxf>
              <font>
                <b/>
                <i val="0"/>
              </font>
            </x14:dxf>
          </x14:cfRule>
          <x14:cfRule type="expression" priority="4222" id="{0A63B2D7-280F-4DF8-A31B-BEF9DC05D5D7}">
            <xm:f>'TC1'!#REF!="Dial"</xm:f>
            <x14:dxf>
              <font>
                <b/>
                <i val="0"/>
                <color rgb="FFFF0000"/>
              </font>
            </x14:dxf>
          </x14:cfRule>
          <xm:sqref>C9:C11</xm:sqref>
        </x14:conditionalFormatting>
        <x14:conditionalFormatting xmlns:xm="http://schemas.microsoft.com/office/excel/2006/main">
          <x14:cfRule type="expression" priority="4226" id="{B0C77B0B-3FA8-44F2-A795-ABD315DCAB38}">
            <xm:f>'TC1'!$B9="Speak"</xm:f>
            <x14:dxf>
              <font>
                <b/>
                <i val="0"/>
                <color rgb="FFFF0000"/>
              </font>
            </x14:dxf>
          </x14:cfRule>
          <xm:sqref>C12:C15</xm:sqref>
        </x14:conditionalFormatting>
        <x14:conditionalFormatting xmlns:xm="http://schemas.microsoft.com/office/excel/2006/main">
          <x14:cfRule type="expression" priority="4227" id="{B0C77B0B-3FA8-44F2-A795-ABD315DCAB38}">
            <xm:f>'TC1'!#REF!="Speak"</xm:f>
            <x14:dxf>
              <font>
                <b/>
                <i val="0"/>
                <color rgb="FFFF0000"/>
              </font>
            </x14:dxf>
          </x14:cfRule>
          <xm:sqref>C9:C11</xm:sqref>
        </x14:conditionalFormatting>
        <x14:conditionalFormatting xmlns:xm="http://schemas.microsoft.com/office/excel/2006/main">
          <x14:cfRule type="containsText" priority="4229" operator="containsText" text="DB" id="{570C779A-9335-4DBE-ABAF-C0A04EA863CC}">
            <xm:f>NOT(ISERROR(SEARCH("DB",'TC1'!#REF!)))</xm:f>
            <x14:dxf>
              <font>
                <color rgb="FF006100"/>
              </font>
              <fill>
                <patternFill>
                  <bgColor rgb="FFC6EFCE"/>
                </patternFill>
              </fill>
            </x14:dxf>
          </x14:cfRule>
          <x14:cfRule type="containsText" priority="4230" operator="containsText" text="WEB SERVICE" id="{2ED24250-7DD4-49A6-9BE7-ED90988F7375}">
            <xm:f>NOT(ISERROR(SEARCH("WEB SERVICE",'TC1'!#REF!)))</xm:f>
            <x14:dxf>
              <font>
                <color rgb="FF9C0006"/>
              </font>
              <fill>
                <patternFill>
                  <bgColor rgb="FFFFC7CE"/>
                </patternFill>
              </fill>
            </x14:dxf>
          </x14:cfRule>
          <xm:sqref>E9:E11</xm:sqref>
        </x14:conditionalFormatting>
        <x14:conditionalFormatting xmlns:xm="http://schemas.microsoft.com/office/excel/2006/main">
          <x14:cfRule type="containsText" priority="4231" operator="containsText" text="DB" id="{570C779A-9335-4DBE-ABAF-C0A04EA863CC}">
            <xm:f>NOT(ISERROR(SEARCH("DB",'TC1'!E9)))</xm:f>
            <x14:dxf>
              <font>
                <color rgb="FF006100"/>
              </font>
              <fill>
                <patternFill>
                  <bgColor rgb="FFC6EFCE"/>
                </patternFill>
              </fill>
            </x14:dxf>
          </x14:cfRule>
          <x14:cfRule type="containsText" priority="4232" operator="containsText" text="WEB SERVICE" id="{2ED24250-7DD4-49A6-9BE7-ED90988F7375}">
            <xm:f>NOT(ISERROR(SEARCH("WEB SERVICE",'TC1'!E9)))</xm:f>
            <x14:dxf>
              <font>
                <color rgb="FF9C0006"/>
              </font>
              <fill>
                <patternFill>
                  <bgColor rgb="FFFFC7CE"/>
                </patternFill>
              </fill>
            </x14:dxf>
          </x14:cfRule>
          <xm:sqref>E12:E15</xm:sqref>
        </x14:conditionalFormatting>
        <x14:conditionalFormatting xmlns:xm="http://schemas.microsoft.com/office/excel/2006/main">
          <x14:cfRule type="expression" priority="6695" id="{3269F77D-9637-40F5-A2C9-D159530A2415}">
            <xm:f>'TC1'!$B15="HANGUP"</xm:f>
            <x14:dxf>
              <font>
                <b/>
                <i val="0"/>
              </font>
            </x14:dxf>
          </x14:cfRule>
          <x14:cfRule type="expression" priority="6696" id="{0A63B2D7-280F-4DF8-A31B-BEF9DC05D5D7}">
            <xm:f>'TC1'!$B15="Dial"</xm:f>
            <x14:dxf>
              <font>
                <b/>
                <i val="0"/>
                <color rgb="FFFF0000"/>
              </font>
            </x14:dxf>
          </x14:cfRule>
          <xm:sqref>C16</xm:sqref>
        </x14:conditionalFormatting>
        <x14:conditionalFormatting xmlns:xm="http://schemas.microsoft.com/office/excel/2006/main">
          <x14:cfRule type="expression" priority="6698" id="{B0C77B0B-3FA8-44F2-A795-ABD315DCAB38}">
            <xm:f>'TC1'!$B15="Speak"</xm:f>
            <x14:dxf>
              <font>
                <b/>
                <i val="0"/>
                <color rgb="FFFF0000"/>
              </font>
            </x14:dxf>
          </x14:cfRule>
          <xm:sqref>C16</xm:sqref>
        </x14:conditionalFormatting>
        <x14:conditionalFormatting xmlns:xm="http://schemas.microsoft.com/office/excel/2006/main">
          <x14:cfRule type="containsText" priority="6701" operator="containsText" text="DB" id="{570C779A-9335-4DBE-ABAF-C0A04EA863CC}">
            <xm:f>NOT(ISERROR(SEARCH("DB",'TC1'!E15)))</xm:f>
            <x14:dxf>
              <font>
                <color rgb="FF006100"/>
              </font>
              <fill>
                <patternFill>
                  <bgColor rgb="FFC6EFCE"/>
                </patternFill>
              </fill>
            </x14:dxf>
          </x14:cfRule>
          <x14:cfRule type="containsText" priority="6702" operator="containsText" text="WEB SERVICE" id="{2ED24250-7DD4-49A6-9BE7-ED90988F7375}">
            <xm:f>NOT(ISERROR(SEARCH("WEB SERVICE",'TC1'!E15)))</xm:f>
            <x14:dxf>
              <font>
                <color rgb="FF9C0006"/>
              </font>
              <fill>
                <patternFill>
                  <bgColor rgb="FFFFC7CE"/>
                </patternFill>
              </fill>
            </x14:dxf>
          </x14:cfRule>
          <xm:sqref>E16</xm:sqref>
        </x14:conditionalFormatting>
        <x14:conditionalFormatting xmlns:xm="http://schemas.microsoft.com/office/excel/2006/main">
          <x14:cfRule type="containsText" priority="8994" operator="containsText" text="Hear" id="{2ED54B11-E7D2-46D1-873D-0BF14596B176}">
            <xm:f>NOT(ISERROR(SEARCH("Hear",'TC26'!#REF!)))</xm:f>
            <x14:dxf>
              <font>
                <color theme="9" tint="-0.24994659260841701"/>
              </font>
              <fill>
                <patternFill>
                  <bgColor theme="9" tint="0.59996337778862885"/>
                </patternFill>
              </fill>
            </x14:dxf>
          </x14:cfRule>
          <xm:sqref>B39</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7"/>
  <dimension ref="A1:E40"/>
  <sheetViews>
    <sheetView zoomScaleNormal="100" workbookViewId="0">
      <selection sqref="A1:B1"/>
    </sheetView>
  </sheetViews>
  <sheetFormatPr defaultRowHeight="14.5" x14ac:dyDescent="0.35"/>
  <cols>
    <col min="1" max="1" width="14.453125" style="97" bestFit="1" customWidth="1"/>
    <col min="2" max="2" width="42.6328125" style="97" customWidth="1"/>
    <col min="3" max="3" width="106.1796875" style="98" customWidth="1"/>
    <col min="4" max="4" width="21.81640625" style="111" bestFit="1" customWidth="1"/>
    <col min="5" max="5" width="20.6328125" style="97" customWidth="1"/>
  </cols>
  <sheetData>
    <row r="1" spans="1:5" ht="18.5" x14ac:dyDescent="0.35">
      <c r="A1" s="193" t="s">
        <v>4</v>
      </c>
      <c r="B1" s="194"/>
      <c r="C1" s="105"/>
    </row>
    <row r="2" spans="1:5" x14ac:dyDescent="0.35">
      <c r="A2" s="106" t="s">
        <v>5</v>
      </c>
      <c r="B2" s="107" t="str">
        <f ca="1">MID(CELL("filename",A1),FIND("]",CELL("filename",A1))+1,LEN(CELL("filename",A1))-FIND("]",CELL("filename",A1)))</f>
        <v>TC5</v>
      </c>
    </row>
    <row r="3" spans="1:5" x14ac:dyDescent="0.35">
      <c r="A3" s="104" t="s">
        <v>19</v>
      </c>
      <c r="B3" s="112">
        <f ca="1">VLOOKUP(B2,Table1[#All],2,FALSE)</f>
        <v>0</v>
      </c>
    </row>
    <row r="4" spans="1:5" ht="29" x14ac:dyDescent="0.35">
      <c r="A4" s="113" t="s">
        <v>20</v>
      </c>
      <c r="B4" s="99" t="str">
        <f ca="1">VLOOKUP(B2,Table1[#All],4,FALSE)</f>
        <v>Last Payment, Current Due, Pay In Full - No Confirm Pmt</v>
      </c>
    </row>
    <row r="5" spans="1:5" x14ac:dyDescent="0.35">
      <c r="A5" s="104" t="s">
        <v>6</v>
      </c>
      <c r="B5" s="93" t="str">
        <f ca="1">VLOOKUP(B2,Table1[#All],3,FALSE)</f>
        <v>Account with Balance - Use stored Pmt Method</v>
      </c>
    </row>
    <row r="7" spans="1:5" ht="15.5" x14ac:dyDescent="0.35">
      <c r="A7" s="100" t="s">
        <v>7</v>
      </c>
      <c r="B7" s="101" t="s">
        <v>8</v>
      </c>
      <c r="C7" s="102" t="s">
        <v>9</v>
      </c>
      <c r="D7" s="102" t="s">
        <v>14</v>
      </c>
      <c r="E7" s="103" t="s">
        <v>10</v>
      </c>
    </row>
    <row r="8" spans="1:5" s="97" customFormat="1" x14ac:dyDescent="0.35">
      <c r="A8" s="118">
        <v>1</v>
      </c>
      <c r="B8" s="114" t="s">
        <v>114</v>
      </c>
      <c r="C8" s="127" t="s">
        <v>240</v>
      </c>
      <c r="D8" s="128"/>
      <c r="E8" s="125" t="s">
        <v>11</v>
      </c>
    </row>
    <row r="9" spans="1:5" s="97" customFormat="1" x14ac:dyDescent="0.35">
      <c r="A9" s="118">
        <v>2</v>
      </c>
      <c r="B9" s="114" t="s">
        <v>115</v>
      </c>
      <c r="C9" s="109" t="str">
        <f>VLOOKUP(Table25755252691112[[#This Row],[PEG]],Table1016[#All],2,FALSE)</f>
        <v>To get started, tell me your Account Number</v>
      </c>
      <c r="D9" s="141" t="s">
        <v>245</v>
      </c>
      <c r="E9" s="125" t="str">
        <f>VLOOKUP(Table25755252691112[[#This Row],[PEG]],Table1016[#All],3,FALSE)</f>
        <v>Prompt</v>
      </c>
    </row>
    <row r="10" spans="1:5" s="97" customFormat="1" x14ac:dyDescent="0.35">
      <c r="A10" s="118">
        <v>3</v>
      </c>
      <c r="B10" s="114" t="s">
        <v>124</v>
      </c>
      <c r="C10" s="109" t="s">
        <v>392</v>
      </c>
      <c r="D10" s="151"/>
      <c r="E10" s="125" t="e">
        <f>VLOOKUP(Table25755252691112[[#This Row],[PEG]],Table1016[#All],3,FALSE)</f>
        <v>#N/A</v>
      </c>
    </row>
    <row r="11" spans="1:5" s="97" customFormat="1" ht="174" x14ac:dyDescent="0.35">
      <c r="A11" s="118">
        <v>4</v>
      </c>
      <c r="B11" s="114" t="s">
        <v>12</v>
      </c>
      <c r="C11" s="109" t="str">
        <f>VLOOKUP(Table25755252691112[[#This Row],[PEG]],Table1016[#All],2,FALSE)</f>
        <v>SAP HANA – SAP01_GetMember
inputs:
idnumber = iIdnumber	T
idtype 	= iIdtype
outputs:
~ Billing Reference
~ Enrollment Details
~ Billing Details
~ Last Payment
~ Recurring Payment Method
~ Stored Payment Method</v>
      </c>
      <c r="D11" s="152" t="s">
        <v>371</v>
      </c>
      <c r="E11" s="125" t="str">
        <f>VLOOKUP(Table25755252691112[[#This Row],[PEG]],Table1016[#All],3,FALSE)</f>
        <v>DB</v>
      </c>
    </row>
    <row r="12" spans="1:5" x14ac:dyDescent="0.35">
      <c r="A12" s="118">
        <v>5</v>
      </c>
      <c r="B12" s="114" t="s">
        <v>115</v>
      </c>
      <c r="C12" s="109" t="str">
        <f>VLOOKUP(Table25755252691112[[#This Row],[PEG]],Table1016[#All],2,FALSE)</f>
        <v>Thanks, I found your account!</v>
      </c>
      <c r="D12" s="141" t="s">
        <v>248</v>
      </c>
      <c r="E12" s="125" t="str">
        <f>VLOOKUP(Table25755252691112[[#This Row],[PEG]],Table1016[#All],3,FALSE)</f>
        <v>Prompt</v>
      </c>
    </row>
    <row r="13" spans="1:5" x14ac:dyDescent="0.35">
      <c r="A13" s="118">
        <v>6</v>
      </c>
      <c r="B13" s="114" t="s">
        <v>115</v>
      </c>
      <c r="C13" s="109" t="str">
        <f>VLOOKUP(Table25755252691112[[#This Row],[PEG]],Table1016[#All],2,FALSE)</f>
        <v>Your last payment of &lt;SAP01_ivrLastPaymentAmount&gt; was received on &lt;SAP01_ivrLastPaymentDate&gt;</v>
      </c>
      <c r="D13" s="141" t="s">
        <v>257</v>
      </c>
      <c r="E13" s="125" t="str">
        <f>VLOOKUP(Table25755252691112[[#This Row],[PEG]],Table1016[#All],3,FALSE)</f>
        <v>Prompt</v>
      </c>
    </row>
    <row r="14" spans="1:5" x14ac:dyDescent="0.35">
      <c r="A14" s="118">
        <v>7</v>
      </c>
      <c r="B14" s="114" t="s">
        <v>115</v>
      </c>
      <c r="C14" s="130" t="str">
        <f>VLOOKUP(Table25755252691112[[#This Row],[PEG]],Table1016[#All],2,FALSE)</f>
        <v>A current balance of &lt;SAP01_CurrentDue&gt; is due by &lt;SAP01_Duedate&gt;.</v>
      </c>
      <c r="D14" s="142" t="s">
        <v>258</v>
      </c>
      <c r="E14" s="125" t="str">
        <f>VLOOKUP(Table25755252691112[[#This Row],[PEG]],Table1016[#All],3,FALSE)</f>
        <v>Prompt</v>
      </c>
    </row>
    <row r="15" spans="1:5" x14ac:dyDescent="0.35">
      <c r="A15" s="118">
        <v>8</v>
      </c>
      <c r="B15" s="114" t="s">
        <v>115</v>
      </c>
      <c r="C15" s="109" t="str">
        <f>VLOOKUP(Table25755252691112[[#This Row],[PEG]],Table1016[#All],2,FALSE)</f>
        <v>Would you like to pay this in full today?</v>
      </c>
      <c r="D15" s="142" t="s">
        <v>260</v>
      </c>
      <c r="E15" s="125" t="str">
        <f>VLOOKUP(Table25755252691112[[#This Row],[PEG]],Table1016[#All],3,FALSE)</f>
        <v>Prompt</v>
      </c>
    </row>
    <row r="16" spans="1:5" x14ac:dyDescent="0.35">
      <c r="A16" s="118">
        <v>9</v>
      </c>
      <c r="B16" s="114" t="s">
        <v>124</v>
      </c>
      <c r="C16" s="127" t="s">
        <v>402</v>
      </c>
      <c r="D16" s="143"/>
      <c r="E16" s="125" t="e">
        <f>VLOOKUP(Table25755252691112[[#This Row],[PEG]],Table1016[#All],3,FALSE)</f>
        <v>#N/A</v>
      </c>
    </row>
    <row r="17" spans="1:5" x14ac:dyDescent="0.35">
      <c r="A17" s="118">
        <v>10</v>
      </c>
      <c r="B17" s="114" t="s">
        <v>115</v>
      </c>
      <c r="C17" s="109" t="str">
        <f>VLOOKUP(Table25755252691112[[#This Row],[PEG]],Table1016[#All],2,FALSE)</f>
        <v>Do you want to use the checking account on file ending in &lt;SAP01_ivrStoredPmtLast4Digits&gt;.</v>
      </c>
      <c r="D17" s="143" t="s">
        <v>275</v>
      </c>
      <c r="E17" s="125" t="str">
        <f>VLOOKUP(Table25755252691112[[#This Row],[PEG]],Table1016[#All],3,FALSE)</f>
        <v>Prompt</v>
      </c>
    </row>
    <row r="18" spans="1:5" x14ac:dyDescent="0.35">
      <c r="A18" s="118">
        <v>11</v>
      </c>
      <c r="B18" s="114" t="s">
        <v>124</v>
      </c>
      <c r="C18" s="109" t="s">
        <v>402</v>
      </c>
      <c r="D18" s="143"/>
      <c r="E18" s="125" t="e">
        <f>VLOOKUP(Table25755252691112[[#This Row],[PEG]],Table1016[#All],3,FALSE)</f>
        <v>#N/A</v>
      </c>
    </row>
    <row r="19" spans="1:5" ht="29" x14ac:dyDescent="0.35">
      <c r="A19" s="118">
        <v>12</v>
      </c>
      <c r="B19" s="114" t="s">
        <v>115</v>
      </c>
      <c r="C19" s="109" t="str">
        <f>VLOOKUP(Table25755252691112[[#This Row],[PEG]],Table1016[#All],2,FALSE)</f>
        <v>To confirm, you want to pay &lt;ivrPmtAmt&gt; with the account ending in &lt;SAP01_ivrStoredPmtLast4Digits&gt;
Is that right?</v>
      </c>
      <c r="D19" s="143" t="s">
        <v>391</v>
      </c>
      <c r="E19" s="125">
        <f>VLOOKUP(Table25755252691112[[#This Row],[PEG]],Table1016[#All],3,FALSE)</f>
        <v>0</v>
      </c>
    </row>
    <row r="20" spans="1:5" s="97" customFormat="1" x14ac:dyDescent="0.35">
      <c r="A20" s="118">
        <v>13</v>
      </c>
      <c r="B20" s="114" t="s">
        <v>124</v>
      </c>
      <c r="C20" s="109" t="s">
        <v>415</v>
      </c>
      <c r="D20" s="143"/>
      <c r="E20" s="125" t="e">
        <f>VLOOKUP(Table25755252691112[[#This Row],[PEG]],Table1016[#All],3,FALSE)</f>
        <v>#N/A</v>
      </c>
    </row>
    <row r="21" spans="1:5" s="97" customFormat="1" x14ac:dyDescent="0.35">
      <c r="A21" s="118">
        <v>14</v>
      </c>
      <c r="B21" s="114" t="s">
        <v>115</v>
      </c>
      <c r="C21" s="109" t="str">
        <f>VLOOKUP(Table25755252691112[[#This Row],[PEG]],Table1016[#All],2,FALSE)</f>
        <v>Ok, are you using Credit, Debit, Checking or Savings?</v>
      </c>
      <c r="D21" s="143" t="s">
        <v>286</v>
      </c>
      <c r="E21" s="125" t="str">
        <f>VLOOKUP(Table25755252691112[[#This Row],[PEG]],Table1016[#All],3,FALSE)</f>
        <v>Prompt</v>
      </c>
    </row>
    <row r="22" spans="1:5" x14ac:dyDescent="0.35">
      <c r="A22" s="118">
        <v>15</v>
      </c>
      <c r="B22" s="114" t="s">
        <v>13</v>
      </c>
      <c r="C22" s="109" t="s">
        <v>13</v>
      </c>
      <c r="D22" s="117"/>
      <c r="E22" s="125"/>
    </row>
    <row r="23" spans="1:5" x14ac:dyDescent="0.35">
      <c r="C23" s="26"/>
      <c r="D23" s="111" t="s">
        <v>0</v>
      </c>
    </row>
    <row r="24" spans="1:5" x14ac:dyDescent="0.35">
      <c r="C24" s="26"/>
    </row>
    <row r="25" spans="1:5" x14ac:dyDescent="0.35">
      <c r="C25" s="26"/>
    </row>
    <row r="26" spans="1:5" x14ac:dyDescent="0.35">
      <c r="C26" s="26"/>
    </row>
    <row r="27" spans="1:5" x14ac:dyDescent="0.35">
      <c r="C27" s="26"/>
    </row>
    <row r="28" spans="1:5" x14ac:dyDescent="0.35">
      <c r="C28" s="26"/>
    </row>
    <row r="29" spans="1:5" x14ac:dyDescent="0.35">
      <c r="C29" s="26"/>
    </row>
    <row r="30" spans="1:5" x14ac:dyDescent="0.35">
      <c r="C30" s="26"/>
    </row>
    <row r="31" spans="1:5" x14ac:dyDescent="0.35">
      <c r="C31" s="26"/>
    </row>
    <row r="32" spans="1:5" x14ac:dyDescent="0.35">
      <c r="C32" s="26"/>
    </row>
    <row r="33" spans="3:3" x14ac:dyDescent="0.35">
      <c r="C33" s="26"/>
    </row>
    <row r="34" spans="3:3" x14ac:dyDescent="0.35">
      <c r="C34" s="26"/>
    </row>
    <row r="35" spans="3:3" x14ac:dyDescent="0.35">
      <c r="C35" s="26"/>
    </row>
    <row r="36" spans="3:3" x14ac:dyDescent="0.35">
      <c r="C36" s="26"/>
    </row>
    <row r="37" spans="3:3" x14ac:dyDescent="0.35">
      <c r="C37" s="26"/>
    </row>
    <row r="38" spans="3:3" x14ac:dyDescent="0.35">
      <c r="C38" s="27"/>
    </row>
    <row r="39" spans="3:3" x14ac:dyDescent="0.35">
      <c r="C39" s="27"/>
    </row>
    <row r="40" spans="3:3" x14ac:dyDescent="0.35">
      <c r="C40" s="27"/>
    </row>
  </sheetData>
  <mergeCells count="1">
    <mergeCell ref="A1:B1"/>
  </mergeCells>
  <conditionalFormatting sqref="C9:C13 C17:C9979">
    <cfRule type="expression" dxfId="5892" priority="43">
      <formula>$B9="Dial"</formula>
    </cfRule>
    <cfRule type="expression" dxfId="5891" priority="45">
      <formula>$B9="HANGUP"</formula>
    </cfRule>
  </conditionalFormatting>
  <conditionalFormatting sqref="C16">
    <cfRule type="expression" dxfId="5890" priority="6">
      <formula>$B16="Dial"</formula>
    </cfRule>
    <cfRule type="expression" dxfId="5889" priority="7">
      <formula>$B16="HANGUP"</formula>
    </cfRule>
  </conditionalFormatting>
  <conditionalFormatting sqref="B9:B22">
    <cfRule type="containsText" dxfId="5888" priority="10" operator="containsText" text="Hear">
      <formula>NOT(ISERROR(SEARCH("Hear",B9)))</formula>
    </cfRule>
  </conditionalFormatting>
  <conditionalFormatting sqref="C15">
    <cfRule type="expression" dxfId="5887" priority="11">
      <formula>$B15="Dial"</formula>
    </cfRule>
    <cfRule type="expression" dxfId="5886" priority="13">
      <formula>$B15="HANGUP"</formula>
    </cfRule>
  </conditionalFormatting>
  <conditionalFormatting sqref="C15 C9:C13 C17:C22">
    <cfRule type="expression" dxfId="5885" priority="12">
      <formula>$B9="Speak"</formula>
    </cfRule>
  </conditionalFormatting>
  <conditionalFormatting sqref="C14">
    <cfRule type="expression" dxfId="5884" priority="8">
      <formula>$B14="Dial"</formula>
    </cfRule>
    <cfRule type="expression" dxfId="5883" priority="9">
      <formula>$B14="HANGUP"</formula>
    </cfRule>
  </conditionalFormatting>
  <conditionalFormatting sqref="B8">
    <cfRule type="containsText" dxfId="5882" priority="5" operator="containsText" text="Hear">
      <formula>NOT(ISERROR(SEARCH("Hear",B8)))</formula>
    </cfRule>
  </conditionalFormatting>
  <conditionalFormatting sqref="C8">
    <cfRule type="expression" dxfId="5881" priority="3">
      <formula>$B8="Dial"</formula>
    </cfRule>
    <cfRule type="expression" dxfId="5880" priority="4">
      <formula>$B8="HANGUP"</formula>
    </cfRule>
  </conditionalFormatting>
  <conditionalFormatting sqref="C17:C22">
    <cfRule type="expression" dxfId="5879" priority="1">
      <formula>$B17="Dial"</formula>
    </cfRule>
    <cfRule type="expression" dxfId="5878" priority="2">
      <formula>$B17="HANGUP"</formula>
    </cfRule>
  </conditionalFormatting>
  <hyperlinks>
    <hyperlink ref="A1" location="'Test Case Overview'!A1" display="Return to Test Case Overview" xr:uid="{00000000-0004-0000-0500-000000000000}"/>
  </hyperlinks>
  <pageMargins left="0.7" right="0.7" top="0.75" bottom="0.75" header="0.3" footer="0.3"/>
  <pageSetup orientation="portrait" r:id="rId1"/>
  <tableParts count="1">
    <tablePart r:id="rId2"/>
  </tableParts>
  <extLst>
    <ext xmlns:x14="http://schemas.microsoft.com/office/spreadsheetml/2009/9/main" uri="{78C0D931-6437-407d-A8EE-F0AAD7539E65}">
      <x14:conditionalFormattings>
        <x14:conditionalFormatting xmlns:xm="http://schemas.microsoft.com/office/excel/2006/main">
          <x14:cfRule type="containsText" priority="705" operator="containsText" text="WEB SERVICE" id="{6816C8AA-5C25-40A5-BCC9-410D75B75155}">
            <xm:f>NOT(ISERROR(SEARCH("WEB SERVICE",'TC1'!#REF!)))</xm:f>
            <x14:dxf>
              <font>
                <color rgb="FF9C0006"/>
              </font>
              <fill>
                <patternFill>
                  <bgColor rgb="FFFFC7CE"/>
                </patternFill>
              </fill>
            </x14:dxf>
          </x14:cfRule>
          <x14:cfRule type="containsText" priority="706" operator="containsText" text="DB" id="{C9AE84D9-7B7E-425E-922A-6D5A35A29FCE}">
            <xm:f>NOT(ISERROR(SEARCH("DB",'TC1'!#REF!)))</xm:f>
            <x14:dxf>
              <font>
                <color rgb="FF006100"/>
              </font>
              <fill>
                <patternFill>
                  <bgColor rgb="FFC6EFCE"/>
                </patternFill>
              </fill>
            </x14:dxf>
          </x14:cfRule>
          <xm:sqref>E14:E22</xm:sqref>
        </x14:conditionalFormatting>
        <x14:conditionalFormatting xmlns:xm="http://schemas.microsoft.com/office/excel/2006/main">
          <x14:cfRule type="containsText" priority="3569" operator="containsText" text="WEB SERVICE" id="{6816C8AA-5C25-40A5-BCC9-410D75B75155}">
            <xm:f>NOT(ISERROR(SEARCH("WEB SERVICE",'TC1'!E9)))</xm:f>
            <x14:dxf>
              <font>
                <color rgb="FF9C0006"/>
              </font>
              <fill>
                <patternFill>
                  <bgColor rgb="FFFFC7CE"/>
                </patternFill>
              </fill>
            </x14:dxf>
          </x14:cfRule>
          <x14:cfRule type="containsText" priority="3570" operator="containsText" text="DB" id="{C9AE84D9-7B7E-425E-922A-6D5A35A29FCE}">
            <xm:f>NOT(ISERROR(SEARCH("DB",'TC1'!E9)))</xm:f>
            <x14:dxf>
              <font>
                <color rgb="FF006100"/>
              </font>
              <fill>
                <patternFill>
                  <bgColor rgb="FFC6EFCE"/>
                </patternFill>
              </fill>
            </x14:dxf>
          </x14:cfRule>
          <xm:sqref>E9:E12</xm:sqref>
        </x14:conditionalFormatting>
        <x14:conditionalFormatting xmlns:xm="http://schemas.microsoft.com/office/excel/2006/main">
          <x14:cfRule type="containsText" priority="6141" operator="containsText" text="WEB SERVICE" id="{6816C8AA-5C25-40A5-BCC9-410D75B75155}">
            <xm:f>NOT(ISERROR(SEARCH("WEB SERVICE",'TC1'!E15)))</xm:f>
            <x14:dxf>
              <font>
                <color rgb="FF9C0006"/>
              </font>
              <fill>
                <patternFill>
                  <bgColor rgb="FFFFC7CE"/>
                </patternFill>
              </fill>
            </x14:dxf>
          </x14:cfRule>
          <x14:cfRule type="containsText" priority="6142" operator="containsText" text="DB" id="{C9AE84D9-7B7E-425E-922A-6D5A35A29FCE}">
            <xm:f>NOT(ISERROR(SEARCH("DB",'TC1'!E15)))</xm:f>
            <x14:dxf>
              <font>
                <color rgb="FF006100"/>
              </font>
              <fill>
                <patternFill>
                  <bgColor rgb="FFC6EFCE"/>
                </patternFill>
              </fill>
            </x14:dxf>
          </x14:cfRule>
          <xm:sqref>E13</xm:sqref>
        </x14:conditionalFormatting>
      </x14:conditionalFormattings>
    </ext>
  </extLst>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61"/>
  <dimension ref="A1:E42"/>
  <sheetViews>
    <sheetView zoomScaleNormal="100" workbookViewId="0">
      <selection activeCell="A2" sqref="A2"/>
    </sheetView>
  </sheetViews>
  <sheetFormatPr defaultRowHeight="14.5" x14ac:dyDescent="0.35"/>
  <cols>
    <col min="1" max="1" width="14.453125" bestFit="1" customWidth="1"/>
    <col min="2" max="2" width="42.6328125" customWidth="1"/>
    <col min="3" max="3" width="106.1796875" customWidth="1"/>
    <col min="4" max="4" width="21.81640625" bestFit="1" customWidth="1"/>
    <col min="5" max="5" width="20.6328125" customWidth="1"/>
  </cols>
  <sheetData>
    <row r="1" spans="1:5" ht="18.5" x14ac:dyDescent="0.35">
      <c r="A1" s="192" t="s">
        <v>4</v>
      </c>
      <c r="B1" s="192"/>
      <c r="C1" s="105"/>
      <c r="D1" s="111"/>
      <c r="E1" s="97"/>
    </row>
    <row r="2" spans="1:5" x14ac:dyDescent="0.35">
      <c r="A2" s="106" t="s">
        <v>5</v>
      </c>
      <c r="B2" s="107" t="str">
        <f ca="1">MID(CELL("filename",A1),FIND("]",CELL("filename",A1))+1,LEN(CELL("filename",A1))-FIND("]",CELL("filename",A1)))</f>
        <v>TC59</v>
      </c>
      <c r="C2" s="98"/>
      <c r="D2" s="111"/>
      <c r="E2" s="97"/>
    </row>
    <row r="3" spans="1:5" x14ac:dyDescent="0.35">
      <c r="A3" s="104" t="s">
        <v>19</v>
      </c>
      <c r="B3" s="112" t="e">
        <f ca="1">VLOOKUP(B2,Table1[#All],2,FALSE)</f>
        <v>#N/A</v>
      </c>
      <c r="C3" s="98"/>
      <c r="D3" s="111"/>
      <c r="E3" s="97"/>
    </row>
    <row r="4" spans="1:5" ht="29" x14ac:dyDescent="0.35">
      <c r="A4" s="113" t="s">
        <v>20</v>
      </c>
      <c r="B4" s="99" t="e">
        <f ca="1">VLOOKUP(B2,Table1[#All],4,FALSE)</f>
        <v>#N/A</v>
      </c>
      <c r="C4" s="98"/>
      <c r="D4" s="111"/>
      <c r="E4" s="97"/>
    </row>
    <row r="5" spans="1:5" x14ac:dyDescent="0.35">
      <c r="A5" s="104" t="s">
        <v>6</v>
      </c>
      <c r="B5" s="93" t="e">
        <f ca="1">VLOOKUP(B2,Table1[#All],3,FALSE)</f>
        <v>#N/A</v>
      </c>
      <c r="C5" s="98"/>
      <c r="D5" s="111"/>
      <c r="E5" s="97"/>
    </row>
    <row r="6" spans="1:5" x14ac:dyDescent="0.35">
      <c r="A6" s="97"/>
      <c r="B6" s="97"/>
      <c r="C6" s="98"/>
      <c r="D6" s="111"/>
      <c r="E6" s="97"/>
    </row>
    <row r="7" spans="1:5" ht="15.5" x14ac:dyDescent="0.35">
      <c r="A7" s="100" t="s">
        <v>7</v>
      </c>
      <c r="B7" s="101" t="s">
        <v>8</v>
      </c>
      <c r="C7" s="102" t="s">
        <v>9</v>
      </c>
      <c r="D7" s="102" t="s">
        <v>14</v>
      </c>
      <c r="E7" s="103" t="s">
        <v>10</v>
      </c>
    </row>
    <row r="8" spans="1:5" x14ac:dyDescent="0.35">
      <c r="A8" s="118">
        <v>1</v>
      </c>
      <c r="B8" s="114" t="s">
        <v>114</v>
      </c>
      <c r="C8" s="109" t="s">
        <v>125</v>
      </c>
      <c r="D8" s="128"/>
      <c r="E8" s="125" t="s">
        <v>11</v>
      </c>
    </row>
    <row r="9" spans="1:5" x14ac:dyDescent="0.35">
      <c r="A9" s="118">
        <v>2</v>
      </c>
      <c r="B9" s="114" t="s">
        <v>12</v>
      </c>
      <c r="C9" s="109" t="e">
        <f>VLOOKUP(Table25755252691013434446474849565758596315181719224566677172737476777879939495100104[[#This Row],[PEG]],Table1016[#All],2,FALSE)</f>
        <v>#N/A</v>
      </c>
      <c r="D9" s="128"/>
      <c r="E9" s="125" t="e">
        <f>VLOOKUP(Table25755252691013434446474849565758596315181719224566677172737476777879939495100104[[#This Row],[PEG]],Table1016[#All],3,FALSE)</f>
        <v>#N/A</v>
      </c>
    </row>
    <row r="10" spans="1:5" x14ac:dyDescent="0.35">
      <c r="A10" s="118">
        <v>3</v>
      </c>
      <c r="B10" s="114" t="s">
        <v>115</v>
      </c>
      <c r="C10" s="109" t="e">
        <f>VLOOKUP(Table25755252691013434446474849565758596315181719224566677172737476777879939495100104[[#This Row],[PEG]],Table1016[#All],2,FALSE)</f>
        <v>#N/A</v>
      </c>
      <c r="D10" s="128"/>
      <c r="E10" s="125" t="e">
        <f>VLOOKUP(Table25755252691013434446474849565758596315181719224566677172737476777879939495100104[[#This Row],[PEG]],Table1016[#All],3,FALSE)</f>
        <v>#N/A</v>
      </c>
    </row>
    <row r="11" spans="1:5" x14ac:dyDescent="0.35">
      <c r="A11" s="118">
        <v>4</v>
      </c>
      <c r="B11" s="114" t="s">
        <v>115</v>
      </c>
      <c r="C11" s="109" t="e">
        <f>VLOOKUP(Table25755252691013434446474849565758596315181719224566677172737476777879939495100104[[#This Row],[PEG]],Table1016[#All],2,FALSE)</f>
        <v>#N/A</v>
      </c>
      <c r="D11" s="128"/>
      <c r="E11" s="125" t="e">
        <f>VLOOKUP(Table25755252691013434446474849565758596315181719224566677172737476777879939495100104[[#This Row],[PEG]],Table1016[#All],3,FALSE)</f>
        <v>#N/A</v>
      </c>
    </row>
    <row r="12" spans="1:5" x14ac:dyDescent="0.35">
      <c r="A12" s="118">
        <v>5</v>
      </c>
      <c r="B12" s="114" t="s">
        <v>114</v>
      </c>
      <c r="C12" s="109" t="e">
        <f>VLOOKUP(Table25755252691013434446474849565758596315181719224566677172737476777879939495100104[[#This Row],[PEG]],Table1016[#All],2,FALSE)</f>
        <v>#N/A</v>
      </c>
      <c r="D12" s="128"/>
      <c r="E12" s="125" t="e">
        <f>VLOOKUP(Table25755252691013434446474849565758596315181719224566677172737476777879939495100104[[#This Row],[PEG]],Table1016[#All],3,FALSE)</f>
        <v>#N/A</v>
      </c>
    </row>
    <row r="13" spans="1:5" x14ac:dyDescent="0.35">
      <c r="A13" s="118">
        <v>6</v>
      </c>
      <c r="B13" s="114" t="s">
        <v>115</v>
      </c>
      <c r="C13" s="109" t="e">
        <f>VLOOKUP(Table25755252691013434446474849565758596315181719224566677172737476777879939495100104[[#This Row],[PEG]],Table1016[#All],2,FALSE)</f>
        <v>#N/A</v>
      </c>
      <c r="D13" s="128"/>
      <c r="E13" s="125" t="e">
        <f>VLOOKUP(Table25755252691013434446474849565758596315181719224566677172737476777879939495100104[[#This Row],[PEG]],Table1016[#All],3,FALSE)</f>
        <v>#N/A</v>
      </c>
    </row>
    <row r="14" spans="1:5" x14ac:dyDescent="0.35">
      <c r="A14" s="118">
        <v>7</v>
      </c>
      <c r="B14" s="114" t="s">
        <v>114</v>
      </c>
      <c r="C14" s="109" t="e">
        <f>VLOOKUP(Table25755252691013434446474849565758596315181719224566677172737476777879939495100104[[#This Row],[PEG]],Table1016[#All],2,FALSE)</f>
        <v>#N/A</v>
      </c>
      <c r="D14" s="128"/>
      <c r="E14" s="125" t="e">
        <f>VLOOKUP(Table25755252691013434446474849565758596315181719224566677172737476777879939495100104[[#This Row],[PEG]],Table1016[#All],3,FALSE)</f>
        <v>#N/A</v>
      </c>
    </row>
    <row r="15" spans="1:5" x14ac:dyDescent="0.35">
      <c r="A15" s="118">
        <v>8</v>
      </c>
      <c r="B15" s="114" t="s">
        <v>115</v>
      </c>
      <c r="C15" s="109" t="e">
        <f>VLOOKUP(Table25755252691013434446474849565758596315181719224566677172737476777879939495100104[[#This Row],[PEG]],Table1016[#All],2,FALSE)</f>
        <v>#N/A</v>
      </c>
      <c r="D15" s="116"/>
      <c r="E15" s="125" t="e">
        <f>VLOOKUP(Table25755252691013434446474849565758596315181719224566677172737476777879939495100104[[#This Row],[PEG]],Table1016[#All],3,FALSE)</f>
        <v>#N/A</v>
      </c>
    </row>
    <row r="16" spans="1:5" x14ac:dyDescent="0.35">
      <c r="A16" s="118">
        <v>9</v>
      </c>
      <c r="B16" s="114" t="s">
        <v>12</v>
      </c>
      <c r="C16" s="109" t="e">
        <f>VLOOKUP(Table25755252691013434446474849565758596315181719224566677172737476777879939495100104[[#This Row],[PEG]],Table1016[#All],2,FALSE)</f>
        <v>#N/A</v>
      </c>
      <c r="D16" s="116"/>
      <c r="E16" s="125" t="e">
        <f>VLOOKUP(Table25755252691013434446474849565758596315181719224566677172737476777879939495100104[[#This Row],[PEG]],Table1016[#All],3,FALSE)</f>
        <v>#N/A</v>
      </c>
    </row>
    <row r="17" spans="1:5" x14ac:dyDescent="0.35">
      <c r="A17" s="118">
        <v>10</v>
      </c>
      <c r="B17" s="114" t="s">
        <v>12</v>
      </c>
      <c r="C17" s="109" t="e">
        <f>VLOOKUP(Table25755252691013434446474849565758596315181719224566677172737476777879939495100104[[#This Row],[PEG]],Table1016[#All],2,FALSE)</f>
        <v>#N/A</v>
      </c>
      <c r="D17" s="117"/>
      <c r="E17" s="125" t="e">
        <f>VLOOKUP(Table25755252691013434446474849565758596315181719224566677172737476777879939495100104[[#This Row],[PEG]],Table1016[#All],3,FALSE)</f>
        <v>#N/A</v>
      </c>
    </row>
    <row r="18" spans="1:5" x14ac:dyDescent="0.35">
      <c r="A18" s="118">
        <v>11</v>
      </c>
      <c r="B18" s="114" t="s">
        <v>115</v>
      </c>
      <c r="C18" s="109" t="e">
        <f>VLOOKUP(Table25755252691013434446474849565758596315181719224566677172737476777879939495100104[[#This Row],[PEG]],Table1016[#All],2,FALSE)</f>
        <v>#N/A</v>
      </c>
      <c r="D18" s="117"/>
      <c r="E18" s="125" t="e">
        <f>VLOOKUP(Table25755252691013434446474849565758596315181719224566677172737476777879939495100104[[#This Row],[PEG]],Table1016[#All],3,FALSE)</f>
        <v>#N/A</v>
      </c>
    </row>
    <row r="19" spans="1:5" x14ac:dyDescent="0.35">
      <c r="A19" s="118">
        <v>12</v>
      </c>
      <c r="B19" s="114" t="s">
        <v>115</v>
      </c>
      <c r="C19" s="109" t="e">
        <f>VLOOKUP(Table25755252691013434446474849565758596315181719224566677172737476777879939495100104[[#This Row],[PEG]],Table1016[#All],2,FALSE)</f>
        <v>#N/A</v>
      </c>
      <c r="D19" s="117"/>
      <c r="E19" s="125" t="e">
        <f>VLOOKUP(Table25755252691013434446474849565758596315181719224566677172737476777879939495100104[[#This Row],[PEG]],Table1016[#All],3,FALSE)</f>
        <v>#N/A</v>
      </c>
    </row>
    <row r="20" spans="1:5" x14ac:dyDescent="0.35">
      <c r="A20" s="118">
        <v>13</v>
      </c>
      <c r="B20" s="114" t="s">
        <v>114</v>
      </c>
      <c r="C20" s="109" t="e">
        <f>VLOOKUP(Table25755252691013434446474849565758596315181719224566677172737476777879939495100104[[#This Row],[PEG]],Table1016[#All],2,FALSE)</f>
        <v>#N/A</v>
      </c>
      <c r="D20" s="117"/>
      <c r="E20" s="125" t="e">
        <f>VLOOKUP(Table25755252691013434446474849565758596315181719224566677172737476777879939495100104[[#This Row],[PEG]],Table1016[#All],3,FALSE)</f>
        <v>#N/A</v>
      </c>
    </row>
    <row r="21" spans="1:5" x14ac:dyDescent="0.35">
      <c r="A21" s="118">
        <v>14</v>
      </c>
      <c r="B21" s="114" t="s">
        <v>12</v>
      </c>
      <c r="C21" s="109" t="e">
        <f>VLOOKUP(Table25755252691013434446474849565758596315181719224566677172737476777879939495100104[[#This Row],[PEG]],Table1016[#All],2,FALSE)</f>
        <v>#N/A</v>
      </c>
      <c r="D21" s="117"/>
      <c r="E21" s="125" t="e">
        <f>VLOOKUP(Table25755252691013434446474849565758596315181719224566677172737476777879939495100104[[#This Row],[PEG]],Table1016[#All],3,FALSE)</f>
        <v>#N/A</v>
      </c>
    </row>
    <row r="22" spans="1:5" x14ac:dyDescent="0.35">
      <c r="A22" s="118">
        <v>15</v>
      </c>
      <c r="B22" s="114" t="s">
        <v>12</v>
      </c>
      <c r="C22" s="109" t="e">
        <f>VLOOKUP(Table25755252691013434446474849565758596315181719224566677172737476777879939495100104[[#This Row],[PEG]],Table1016[#All],2,FALSE)</f>
        <v>#N/A</v>
      </c>
      <c r="D22" s="117"/>
      <c r="E22" s="125" t="e">
        <f>VLOOKUP(Table25755252691013434446474849565758596315181719224566677172737476777879939495100104[[#This Row],[PEG]],Table1016[#All],3,FALSE)</f>
        <v>#N/A</v>
      </c>
    </row>
    <row r="23" spans="1:5" x14ac:dyDescent="0.35">
      <c r="A23" s="118">
        <v>16</v>
      </c>
      <c r="B23" s="114" t="s">
        <v>115</v>
      </c>
      <c r="C23" s="109" t="e">
        <f>VLOOKUP(Table25755252691013434446474849565758596315181719224566677172737476777879939495100104[[#This Row],[PEG]],Table1016[#All],2,FALSE)</f>
        <v>#N/A</v>
      </c>
      <c r="D23" s="117"/>
      <c r="E23" s="125" t="e">
        <f>VLOOKUP(Table25755252691013434446474849565758596315181719224566677172737476777879939495100104[[#This Row],[PEG]],Table1016[#All],3,FALSE)</f>
        <v>#N/A</v>
      </c>
    </row>
    <row r="24" spans="1:5" x14ac:dyDescent="0.35">
      <c r="A24" s="118">
        <v>17</v>
      </c>
      <c r="B24" s="114" t="s">
        <v>114</v>
      </c>
      <c r="C24" s="109" t="e">
        <f>VLOOKUP(Table25755252691013434446474849565758596315181719224566677172737476777879939495100104[[#This Row],[PEG]],Table1016[#All],2,FALSE)</f>
        <v>#N/A</v>
      </c>
      <c r="D24" s="117"/>
      <c r="E24" s="125" t="e">
        <f>VLOOKUP(Table25755252691013434446474849565758596315181719224566677172737476777879939495100104[[#This Row],[PEG]],Table1016[#All],3,FALSE)</f>
        <v>#N/A</v>
      </c>
    </row>
    <row r="25" spans="1:5" x14ac:dyDescent="0.35">
      <c r="A25" s="118">
        <v>18</v>
      </c>
      <c r="B25" s="114" t="s">
        <v>12</v>
      </c>
      <c r="C25" s="109" t="e">
        <f>VLOOKUP(Table25755252691013434446474849565758596315181719224566677172737476777879939495100104[[#This Row],[PEG]],Table1016[#All],2,FALSE)</f>
        <v>#N/A</v>
      </c>
      <c r="D25" s="117"/>
      <c r="E25" s="125" t="e">
        <f>VLOOKUP(Table25755252691013434446474849565758596315181719224566677172737476777879939495100104[[#This Row],[PEG]],Table1016[#All],3,FALSE)</f>
        <v>#N/A</v>
      </c>
    </row>
    <row r="26" spans="1:5" x14ac:dyDescent="0.35">
      <c r="A26" s="118">
        <v>19</v>
      </c>
      <c r="B26" s="114" t="s">
        <v>12</v>
      </c>
      <c r="C26" s="109" t="e">
        <f>VLOOKUP(Table25755252691013434446474849565758596315181719224566677172737476777879939495100104[[#This Row],[PEG]],Table1016[#All],2,FALSE)</f>
        <v>#N/A</v>
      </c>
      <c r="D26" s="117"/>
      <c r="E26" s="125" t="e">
        <f>VLOOKUP(Table25755252691013434446474849565758596315181719224566677172737476777879939495100104[[#This Row],[PEG]],Table1016[#All],3,FALSE)</f>
        <v>#N/A</v>
      </c>
    </row>
    <row r="27" spans="1:5" x14ac:dyDescent="0.35">
      <c r="A27" s="118">
        <v>20</v>
      </c>
      <c r="B27" s="114" t="s">
        <v>115</v>
      </c>
      <c r="C27" s="109" t="e">
        <f>VLOOKUP(Table25755252691013434446474849565758596315181719224566677172737476777879939495100104[[#This Row],[PEG]],Table1016[#All],2,FALSE)</f>
        <v>#N/A</v>
      </c>
      <c r="D27" s="117"/>
      <c r="E27" s="125" t="e">
        <f>VLOOKUP(Table25755252691013434446474849565758596315181719224566677172737476777879939495100104[[#This Row],[PEG]],Table1016[#All],3,FALSE)</f>
        <v>#N/A</v>
      </c>
    </row>
    <row r="28" spans="1:5" x14ac:dyDescent="0.35">
      <c r="A28" s="118">
        <v>21</v>
      </c>
      <c r="B28" s="114" t="s">
        <v>114</v>
      </c>
      <c r="C28" s="109" t="e">
        <f>VLOOKUP(Table25755252691013434446474849565758596315181719224566677172737476777879939495100104[[#This Row],[PEG]],Table1016[#All],2,FALSE)</f>
        <v>#N/A</v>
      </c>
      <c r="D28" s="117"/>
      <c r="E28" s="125" t="e">
        <f>VLOOKUP(Table25755252691013434446474849565758596315181719224566677172737476777879939495100104[[#This Row],[PEG]],Table1016[#All],3,FALSE)</f>
        <v>#N/A</v>
      </c>
    </row>
    <row r="29" spans="1:5" x14ac:dyDescent="0.35">
      <c r="A29" s="118">
        <v>22</v>
      </c>
      <c r="B29" s="114" t="s">
        <v>12</v>
      </c>
      <c r="C29" s="109" t="e">
        <f>VLOOKUP(Table25755252691013434446474849565758596315181719224566677172737476777879939495100104[[#This Row],[PEG]],Table1016[#All],2,FALSE)</f>
        <v>#N/A</v>
      </c>
      <c r="D29" s="117"/>
      <c r="E29" s="125" t="e">
        <f>VLOOKUP(Table25755252691013434446474849565758596315181719224566677172737476777879939495100104[[#This Row],[PEG]],Table1016[#All],3,FALSE)</f>
        <v>#N/A</v>
      </c>
    </row>
    <row r="30" spans="1:5" x14ac:dyDescent="0.35">
      <c r="A30" s="118">
        <v>23</v>
      </c>
      <c r="B30" s="114" t="s">
        <v>12</v>
      </c>
      <c r="C30" s="109" t="e">
        <f>VLOOKUP(Table25755252691013434446474849565758596315181719224566677172737476777879939495100104[[#This Row],[PEG]],Table1016[#All],2,FALSE)</f>
        <v>#N/A</v>
      </c>
      <c r="D30" s="117"/>
      <c r="E30" s="125" t="e">
        <f>VLOOKUP(Table25755252691013434446474849565758596315181719224566677172737476777879939495100104[[#This Row],[PEG]],Table1016[#All],3,FALSE)</f>
        <v>#N/A</v>
      </c>
    </row>
    <row r="31" spans="1:5" x14ac:dyDescent="0.35">
      <c r="A31" s="118">
        <v>24</v>
      </c>
      <c r="B31" s="114" t="s">
        <v>115</v>
      </c>
      <c r="C31" s="109" t="e">
        <f>VLOOKUP(Table25755252691013434446474849565758596315181719224566677172737476777879939495100104[[#This Row],[PEG]],Table1016[#All],2,FALSE)</f>
        <v>#N/A</v>
      </c>
      <c r="D31" s="117"/>
      <c r="E31" s="125" t="e">
        <f>VLOOKUP(Table25755252691013434446474849565758596315181719224566677172737476777879939495100104[[#This Row],[PEG]],Table1016[#All],3,FALSE)</f>
        <v>#N/A</v>
      </c>
    </row>
    <row r="32" spans="1:5" x14ac:dyDescent="0.35">
      <c r="A32" s="118">
        <v>25</v>
      </c>
      <c r="B32" s="114" t="s">
        <v>115</v>
      </c>
      <c r="C32" s="109" t="e">
        <f>VLOOKUP(Table25755252691013434446474849565758596315181719224566677172737476777879939495100104[[#This Row],[PEG]],Table1016[#All],2,FALSE)</f>
        <v>#N/A</v>
      </c>
      <c r="D32" s="117"/>
      <c r="E32" s="125" t="e">
        <f>VLOOKUP(Table25755252691013434446474849565758596315181719224566677172737476777879939495100104[[#This Row],[PEG]],Table1016[#All],3,FALSE)</f>
        <v>#N/A</v>
      </c>
    </row>
    <row r="33" spans="1:5" x14ac:dyDescent="0.35">
      <c r="A33" s="118">
        <v>26</v>
      </c>
      <c r="B33" s="114" t="s">
        <v>124</v>
      </c>
      <c r="C33" s="109" t="e">
        <f>VLOOKUP(Table25755252691013434446474849565758596315181719224566677172737476777879939495100104[[#This Row],[PEG]],Table1016[#All],2,FALSE)</f>
        <v>#N/A</v>
      </c>
      <c r="D33" s="117"/>
      <c r="E33" s="125" t="e">
        <f>VLOOKUP(Table25755252691013434446474849565758596315181719224566677172737476777879939495100104[[#This Row],[PEG]],Table1016[#All],3,FALSE)</f>
        <v>#N/A</v>
      </c>
    </row>
    <row r="34" spans="1:5" x14ac:dyDescent="0.35">
      <c r="A34" s="118">
        <v>27</v>
      </c>
      <c r="B34" s="114" t="s">
        <v>115</v>
      </c>
      <c r="C34" s="109" t="e">
        <f>VLOOKUP(Table25755252691013434446474849565758596315181719224566677172737476777879939495100104[[#This Row],[PEG]],Table1016[#All],2,FALSE)</f>
        <v>#N/A</v>
      </c>
      <c r="D34" s="117"/>
      <c r="E34" s="125" t="e">
        <f>VLOOKUP(Table25755252691013434446474849565758596315181719224566677172737476777879939495100104[[#This Row],[PEG]],Table1016[#All],3,FALSE)</f>
        <v>#N/A</v>
      </c>
    </row>
    <row r="35" spans="1:5" x14ac:dyDescent="0.35">
      <c r="A35" s="118">
        <v>28</v>
      </c>
      <c r="B35" s="114" t="s">
        <v>124</v>
      </c>
      <c r="C35" s="109" t="e">
        <f>VLOOKUP(Table25755252691013434446474849565758596315181719224566677172737476777879939495100104[[#This Row],[PEG]],Table1016[#All],2,FALSE)</f>
        <v>#N/A</v>
      </c>
      <c r="D35" s="117"/>
      <c r="E35" s="125" t="e">
        <f>VLOOKUP(Table25755252691013434446474849565758596315181719224566677172737476777879939495100104[[#This Row],[PEG]],Table1016[#All],3,FALSE)</f>
        <v>#N/A</v>
      </c>
    </row>
    <row r="36" spans="1:5" x14ac:dyDescent="0.35">
      <c r="A36" s="118">
        <v>29</v>
      </c>
      <c r="B36" s="114" t="s">
        <v>115</v>
      </c>
      <c r="C36" s="109" t="e">
        <f>VLOOKUP(Table25755252691013434446474849565758596315181719224566677172737476777879939495100104[[#This Row],[PEG]],Table1016[#All],2,FALSE)</f>
        <v>#N/A</v>
      </c>
      <c r="D36" s="117"/>
      <c r="E36" s="125" t="e">
        <f>VLOOKUP(Table25755252691013434446474849565758596315181719224566677172737476777879939495100104[[#This Row],[PEG]],Table1016[#All],3,FALSE)</f>
        <v>#N/A</v>
      </c>
    </row>
    <row r="37" spans="1:5" x14ac:dyDescent="0.35">
      <c r="A37" s="118">
        <v>30</v>
      </c>
      <c r="B37" s="114" t="s">
        <v>12</v>
      </c>
      <c r="C37" s="109" t="e">
        <f>VLOOKUP(Table25755252691013434446474849565758596315181719224566677172737476777879939495100104[[#This Row],[PEG]],Table1016[#All],2,FALSE)</f>
        <v>#N/A</v>
      </c>
      <c r="D37" s="117"/>
      <c r="E37" s="125" t="e">
        <f>VLOOKUP(Table25755252691013434446474849565758596315181719224566677172737476777879939495100104[[#This Row],[PEG]],Table1016[#All],3,FALSE)</f>
        <v>#N/A</v>
      </c>
    </row>
    <row r="38" spans="1:5" x14ac:dyDescent="0.35">
      <c r="A38" s="118">
        <v>31</v>
      </c>
      <c r="B38" s="114" t="s">
        <v>12</v>
      </c>
      <c r="C38" s="109" t="e">
        <f>VLOOKUP(Table25755252691013434446474849565758596315181719224566677172737476777879939495100104[[#This Row],[PEG]],Table1016[#All],2,FALSE)</f>
        <v>#N/A</v>
      </c>
      <c r="D38" s="117"/>
      <c r="E38" s="125" t="e">
        <f>VLOOKUP(Table25755252691013434446474849565758596315181719224566677172737476777879939495100104[[#This Row],[PEG]],Table1016[#All],3,FALSE)</f>
        <v>#N/A</v>
      </c>
    </row>
    <row r="39" spans="1:5" x14ac:dyDescent="0.35">
      <c r="A39" s="118">
        <v>32</v>
      </c>
      <c r="B39" s="114" t="s">
        <v>12</v>
      </c>
      <c r="C39" s="109" t="e">
        <f>VLOOKUP(Table25755252691013434446474849565758596315181719224566677172737476777879939495100104[[#This Row],[PEG]],Table1016[#All],2,FALSE)</f>
        <v>#N/A</v>
      </c>
      <c r="D39" s="117"/>
      <c r="E39" s="125" t="e">
        <f>VLOOKUP(Table25755252691013434446474849565758596315181719224566677172737476777879939495100104[[#This Row],[PEG]],Table1016[#All],3,FALSE)</f>
        <v>#N/A</v>
      </c>
    </row>
    <row r="40" spans="1:5" x14ac:dyDescent="0.35">
      <c r="A40" s="118">
        <v>33</v>
      </c>
      <c r="B40" s="114" t="s">
        <v>12</v>
      </c>
      <c r="C40" s="109" t="e">
        <f>VLOOKUP(Table25755252691013434446474849565758596315181719224566677172737476777879939495100104[[#This Row],[PEG]],Table1016[#All],2,FALSE)</f>
        <v>#N/A</v>
      </c>
      <c r="D40" s="117"/>
      <c r="E40" s="125" t="e">
        <f>VLOOKUP(Table25755252691013434446474849565758596315181719224566677172737476777879939495100104[[#This Row],[PEG]],Table1016[#All],3,FALSE)</f>
        <v>#N/A</v>
      </c>
    </row>
    <row r="41" spans="1:5" x14ac:dyDescent="0.35">
      <c r="A41" s="118">
        <v>34</v>
      </c>
      <c r="B41" s="114" t="s">
        <v>115</v>
      </c>
      <c r="C41" s="109" t="e">
        <f>VLOOKUP(Table25755252691013434446474849565758596315181719224566677172737476777879939495100104[[#This Row],[PEG]],Table1016[#All],2,FALSE)</f>
        <v>#N/A</v>
      </c>
      <c r="D41" s="117"/>
      <c r="E41" s="125" t="e">
        <f>VLOOKUP(Table25755252691013434446474849565758596315181719224566677172737476777879939495100104[[#This Row],[PEG]],Table1016[#All],3,FALSE)</f>
        <v>#N/A</v>
      </c>
    </row>
    <row r="42" spans="1:5" x14ac:dyDescent="0.35">
      <c r="A42" s="118">
        <v>35</v>
      </c>
      <c r="B42" s="114" t="s">
        <v>13</v>
      </c>
      <c r="C42" s="18" t="s">
        <v>13</v>
      </c>
      <c r="D42" s="115"/>
      <c r="E42" s="32"/>
    </row>
  </sheetData>
  <mergeCells count="1">
    <mergeCell ref="A1:B1"/>
  </mergeCells>
  <conditionalFormatting sqref="B8:B18">
    <cfRule type="containsText" dxfId="4355" priority="1" operator="containsText" text="Hear">
      <formula>NOT(ISERROR(SEARCH("Hear",B8)))</formula>
    </cfRule>
  </conditionalFormatting>
  <conditionalFormatting sqref="B36:B38 B40:B41">
    <cfRule type="containsText" dxfId="4354" priority="3" operator="containsText" text="Hear">
      <formula>NOT(ISERROR(SEARCH("Hear",B36)))</formula>
    </cfRule>
  </conditionalFormatting>
  <conditionalFormatting sqref="B19:B29 B31:B35 B42">
    <cfRule type="containsText" dxfId="4353" priority="7" operator="containsText" text="Hear">
      <formula>NOT(ISERROR(SEARCH("Hear",B19)))</formula>
    </cfRule>
  </conditionalFormatting>
  <conditionalFormatting sqref="E42">
    <cfRule type="containsText" dxfId="4352" priority="5" operator="containsText" text="WEB SERVICE">
      <formula>NOT(ISERROR(SEARCH("WEB SERVICE",E42)))</formula>
    </cfRule>
    <cfRule type="containsText" dxfId="4351" priority="6" operator="containsText" text="DB">
      <formula>NOT(ISERROR(SEARCH("DB",E42)))</formula>
    </cfRule>
  </conditionalFormatting>
  <conditionalFormatting sqref="C42">
    <cfRule type="expression" dxfId="4350" priority="10">
      <formula>$B42="HANGUP"</formula>
    </cfRule>
  </conditionalFormatting>
  <conditionalFormatting sqref="B30">
    <cfRule type="containsText" dxfId="4349" priority="4" operator="containsText" text="Hear">
      <formula>NOT(ISERROR(SEARCH("Hear",B30)))</formula>
    </cfRule>
  </conditionalFormatting>
  <hyperlinks>
    <hyperlink ref="A1" location="'Test Case Overview'!A1" display="Return to Test Case Overview" xr:uid="{77EED664-358D-4D84-A418-01F63E2BFD63}"/>
  </hyperlinks>
  <pageMargins left="0.7" right="0.7" top="0.75" bottom="0.75" header="0.3" footer="0.3"/>
  <pageSetup orientation="portrait" verticalDpi="0" r:id="rId1"/>
  <tableParts count="1">
    <tablePart r:id="rId2"/>
  </tableParts>
  <extLst>
    <ext xmlns:x14="http://schemas.microsoft.com/office/spreadsheetml/2009/9/main" uri="{78C0D931-6437-407d-A8EE-F0AAD7539E65}">
      <x14:conditionalFormattings>
        <x14:conditionalFormatting xmlns:xm="http://schemas.microsoft.com/office/excel/2006/main">
          <x14:cfRule type="expression" priority="11" id="{90384B5F-1A0A-49B8-A023-82EDB2924FDA}">
            <xm:f>'TC1'!$B8="HANGUP"</xm:f>
            <x14:dxf>
              <font>
                <b/>
                <i val="0"/>
              </font>
            </x14:dxf>
          </x14:cfRule>
          <x14:cfRule type="expression" priority="12" id="{65694942-E47F-475F-BDA7-C87DF265D1B9}">
            <xm:f>'TC1'!$B8="Dial"</xm:f>
            <x14:dxf>
              <font>
                <b/>
                <i val="0"/>
                <color rgb="FFFF0000"/>
              </font>
            </x14:dxf>
          </x14:cfRule>
          <xm:sqref>C8</xm:sqref>
        </x14:conditionalFormatting>
        <x14:conditionalFormatting xmlns:xm="http://schemas.microsoft.com/office/excel/2006/main">
          <x14:cfRule type="expression" priority="13" id="{FE374AF5-352D-435E-B91D-1E895D29B0E6}">
            <xm:f>'TC1'!$B8="Speak"</xm:f>
            <x14:dxf>
              <font>
                <b/>
                <i val="0"/>
                <color rgb="FFFF0000"/>
              </font>
            </x14:dxf>
          </x14:cfRule>
          <xm:sqref>C8</xm:sqref>
        </x14:conditionalFormatting>
        <x14:conditionalFormatting xmlns:xm="http://schemas.microsoft.com/office/excel/2006/main">
          <x14:cfRule type="containsText" priority="2" operator="containsText" text="Hear" id="{28CA1BCA-F88D-40E3-A72E-3ABB5F955D3A}">
            <xm:f>NOT(ISERROR(SEARCH("Hear",'TC3'!B34)))</xm:f>
            <x14:dxf>
              <font>
                <color theme="9" tint="-0.24994659260841701"/>
              </font>
              <fill>
                <patternFill>
                  <bgColor theme="9" tint="0.59996337778862885"/>
                </patternFill>
              </fill>
            </x14:dxf>
          </x14:cfRule>
          <xm:sqref>B41</xm:sqref>
        </x14:conditionalFormatting>
        <x14:conditionalFormatting xmlns:xm="http://schemas.microsoft.com/office/excel/2006/main">
          <x14:cfRule type="expression" priority="1443" id="{90384B5F-1A0A-49B8-A023-82EDB2924FDA}">
            <xm:f>'TC1'!$B16="HANGUP"</xm:f>
            <x14:dxf>
              <font>
                <b/>
                <i val="0"/>
              </font>
            </x14:dxf>
          </x14:cfRule>
          <x14:cfRule type="expression" priority="1444" id="{65694942-E47F-475F-BDA7-C87DF265D1B9}">
            <xm:f>'TC1'!$B16="Dial"</xm:f>
            <x14:dxf>
              <font>
                <b/>
                <i val="0"/>
                <color rgb="FFFF0000"/>
              </font>
            </x14:dxf>
          </x14:cfRule>
          <xm:sqref>C34:C41</xm:sqref>
        </x14:conditionalFormatting>
        <x14:conditionalFormatting xmlns:xm="http://schemas.microsoft.com/office/excel/2006/main">
          <x14:cfRule type="expression" priority="1445" id="{90384B5F-1A0A-49B8-A023-82EDB2924FDA}">
            <xm:f>'TC1'!#REF!="HANGUP"</xm:f>
            <x14:dxf>
              <font>
                <b/>
                <i val="0"/>
              </font>
            </x14:dxf>
          </x14:cfRule>
          <x14:cfRule type="expression" priority="1446" id="{65694942-E47F-475F-BDA7-C87DF265D1B9}">
            <xm:f>'TC1'!#REF!="Dial"</xm:f>
            <x14:dxf>
              <font>
                <b/>
                <i val="0"/>
                <color rgb="FFFF0000"/>
              </font>
            </x14:dxf>
          </x14:cfRule>
          <xm:sqref>C17:C33</xm:sqref>
        </x14:conditionalFormatting>
        <x14:conditionalFormatting xmlns:xm="http://schemas.microsoft.com/office/excel/2006/main">
          <x14:cfRule type="expression" priority="1450" id="{FE374AF5-352D-435E-B91D-1E895D29B0E6}">
            <xm:f>'TC1'!$B16="Speak"</xm:f>
            <x14:dxf>
              <font>
                <b/>
                <i val="0"/>
                <color rgb="FFFF0000"/>
              </font>
            </x14:dxf>
          </x14:cfRule>
          <xm:sqref>C34:C41</xm:sqref>
        </x14:conditionalFormatting>
        <x14:conditionalFormatting xmlns:xm="http://schemas.microsoft.com/office/excel/2006/main">
          <x14:cfRule type="expression" priority="1451" id="{FE374AF5-352D-435E-B91D-1E895D29B0E6}">
            <xm:f>'TC1'!#REF!="Speak"</xm:f>
            <x14:dxf>
              <font>
                <b/>
                <i val="0"/>
                <color rgb="FFFF0000"/>
              </font>
            </x14:dxf>
          </x14:cfRule>
          <xm:sqref>C17:C33</xm:sqref>
        </x14:conditionalFormatting>
        <x14:conditionalFormatting xmlns:xm="http://schemas.microsoft.com/office/excel/2006/main">
          <x14:cfRule type="containsText" priority="1455" operator="containsText" text="DB" id="{5EA0A7DA-74F7-452F-8C95-EFD9BD909EDB}">
            <xm:f>NOT(ISERROR(SEARCH("DB",'TC1'!E16)))</xm:f>
            <x14:dxf>
              <font>
                <color rgb="FF006100"/>
              </font>
              <fill>
                <patternFill>
                  <bgColor rgb="FFC6EFCE"/>
                </patternFill>
              </fill>
            </x14:dxf>
          </x14:cfRule>
          <x14:cfRule type="containsText" priority="1456" operator="containsText" text="WEB SERVICE" id="{14497217-0739-47E5-AFFB-B4C24ACFF00B}">
            <xm:f>NOT(ISERROR(SEARCH("WEB SERVICE",'TC1'!E16)))</xm:f>
            <x14:dxf>
              <font>
                <color rgb="FF9C0006"/>
              </font>
              <fill>
                <patternFill>
                  <bgColor rgb="FFFFC7CE"/>
                </patternFill>
              </fill>
            </x14:dxf>
          </x14:cfRule>
          <xm:sqref>E34:E41</xm:sqref>
        </x14:conditionalFormatting>
        <x14:conditionalFormatting xmlns:xm="http://schemas.microsoft.com/office/excel/2006/main">
          <x14:cfRule type="containsText" priority="1457" operator="containsText" text="DB" id="{5EA0A7DA-74F7-452F-8C95-EFD9BD909EDB}">
            <xm:f>NOT(ISERROR(SEARCH("DB",'TC1'!#REF!)))</xm:f>
            <x14:dxf>
              <font>
                <color rgb="FF006100"/>
              </font>
              <fill>
                <patternFill>
                  <bgColor rgb="FFC6EFCE"/>
                </patternFill>
              </fill>
            </x14:dxf>
          </x14:cfRule>
          <x14:cfRule type="containsText" priority="1458" operator="containsText" text="WEB SERVICE" id="{14497217-0739-47E5-AFFB-B4C24ACFF00B}">
            <xm:f>NOT(ISERROR(SEARCH("WEB SERVICE",'TC1'!#REF!)))</xm:f>
            <x14:dxf>
              <font>
                <color rgb="FF9C0006"/>
              </font>
              <fill>
                <patternFill>
                  <bgColor rgb="FFFFC7CE"/>
                </patternFill>
              </fill>
            </x14:dxf>
          </x14:cfRule>
          <xm:sqref>E17:E33</xm:sqref>
        </x14:conditionalFormatting>
        <x14:conditionalFormatting xmlns:xm="http://schemas.microsoft.com/office/excel/2006/main">
          <x14:cfRule type="expression" priority="4237" id="{90384B5F-1A0A-49B8-A023-82EDB2924FDA}">
            <xm:f>'TC1'!$B9="HANGUP"</xm:f>
            <x14:dxf>
              <font>
                <b/>
                <i val="0"/>
              </font>
            </x14:dxf>
          </x14:cfRule>
          <x14:cfRule type="expression" priority="4238" id="{65694942-E47F-475F-BDA7-C87DF265D1B9}">
            <xm:f>'TC1'!$B9="Dial"</xm:f>
            <x14:dxf>
              <font>
                <b/>
                <i val="0"/>
                <color rgb="FFFF0000"/>
              </font>
            </x14:dxf>
          </x14:cfRule>
          <xm:sqref>C12:C15</xm:sqref>
        </x14:conditionalFormatting>
        <x14:conditionalFormatting xmlns:xm="http://schemas.microsoft.com/office/excel/2006/main">
          <x14:cfRule type="expression" priority="4239" id="{90384B5F-1A0A-49B8-A023-82EDB2924FDA}">
            <xm:f>'TC1'!#REF!="HANGUP"</xm:f>
            <x14:dxf>
              <font>
                <b/>
                <i val="0"/>
              </font>
            </x14:dxf>
          </x14:cfRule>
          <x14:cfRule type="expression" priority="4240" id="{65694942-E47F-475F-BDA7-C87DF265D1B9}">
            <xm:f>'TC1'!#REF!="Dial"</xm:f>
            <x14:dxf>
              <font>
                <b/>
                <i val="0"/>
                <color rgb="FFFF0000"/>
              </font>
            </x14:dxf>
          </x14:cfRule>
          <xm:sqref>C9:C11</xm:sqref>
        </x14:conditionalFormatting>
        <x14:conditionalFormatting xmlns:xm="http://schemas.microsoft.com/office/excel/2006/main">
          <x14:cfRule type="expression" priority="4244" id="{FE374AF5-352D-435E-B91D-1E895D29B0E6}">
            <xm:f>'TC1'!$B9="Speak"</xm:f>
            <x14:dxf>
              <font>
                <b/>
                <i val="0"/>
                <color rgb="FFFF0000"/>
              </font>
            </x14:dxf>
          </x14:cfRule>
          <xm:sqref>C12:C15</xm:sqref>
        </x14:conditionalFormatting>
        <x14:conditionalFormatting xmlns:xm="http://schemas.microsoft.com/office/excel/2006/main">
          <x14:cfRule type="expression" priority="4245" id="{FE374AF5-352D-435E-B91D-1E895D29B0E6}">
            <xm:f>'TC1'!#REF!="Speak"</xm:f>
            <x14:dxf>
              <font>
                <b/>
                <i val="0"/>
                <color rgb="FFFF0000"/>
              </font>
            </x14:dxf>
          </x14:cfRule>
          <xm:sqref>C9:C11</xm:sqref>
        </x14:conditionalFormatting>
        <x14:conditionalFormatting xmlns:xm="http://schemas.microsoft.com/office/excel/2006/main">
          <x14:cfRule type="containsText" priority="4247" operator="containsText" text="DB" id="{5EA0A7DA-74F7-452F-8C95-EFD9BD909EDB}">
            <xm:f>NOT(ISERROR(SEARCH("DB",'TC1'!#REF!)))</xm:f>
            <x14:dxf>
              <font>
                <color rgb="FF006100"/>
              </font>
              <fill>
                <patternFill>
                  <bgColor rgb="FFC6EFCE"/>
                </patternFill>
              </fill>
            </x14:dxf>
          </x14:cfRule>
          <x14:cfRule type="containsText" priority="4248" operator="containsText" text="WEB SERVICE" id="{14497217-0739-47E5-AFFB-B4C24ACFF00B}">
            <xm:f>NOT(ISERROR(SEARCH("WEB SERVICE",'TC1'!#REF!)))</xm:f>
            <x14:dxf>
              <font>
                <color rgb="FF9C0006"/>
              </font>
              <fill>
                <patternFill>
                  <bgColor rgb="FFFFC7CE"/>
                </patternFill>
              </fill>
            </x14:dxf>
          </x14:cfRule>
          <xm:sqref>E9:E11</xm:sqref>
        </x14:conditionalFormatting>
        <x14:conditionalFormatting xmlns:xm="http://schemas.microsoft.com/office/excel/2006/main">
          <x14:cfRule type="containsText" priority="4249" operator="containsText" text="DB" id="{5EA0A7DA-74F7-452F-8C95-EFD9BD909EDB}">
            <xm:f>NOT(ISERROR(SEARCH("DB",'TC1'!E9)))</xm:f>
            <x14:dxf>
              <font>
                <color rgb="FF006100"/>
              </font>
              <fill>
                <patternFill>
                  <bgColor rgb="FFC6EFCE"/>
                </patternFill>
              </fill>
            </x14:dxf>
          </x14:cfRule>
          <x14:cfRule type="containsText" priority="4250" operator="containsText" text="WEB SERVICE" id="{14497217-0739-47E5-AFFB-B4C24ACFF00B}">
            <xm:f>NOT(ISERROR(SEARCH("WEB SERVICE",'TC1'!E9)))</xm:f>
            <x14:dxf>
              <font>
                <color rgb="FF9C0006"/>
              </font>
              <fill>
                <patternFill>
                  <bgColor rgb="FFFFC7CE"/>
                </patternFill>
              </fill>
            </x14:dxf>
          </x14:cfRule>
          <xm:sqref>E12:E15</xm:sqref>
        </x14:conditionalFormatting>
        <x14:conditionalFormatting xmlns:xm="http://schemas.microsoft.com/office/excel/2006/main">
          <x14:cfRule type="expression" priority="6710" id="{90384B5F-1A0A-49B8-A023-82EDB2924FDA}">
            <xm:f>'TC1'!$B15="HANGUP"</xm:f>
            <x14:dxf>
              <font>
                <b/>
                <i val="0"/>
              </font>
            </x14:dxf>
          </x14:cfRule>
          <x14:cfRule type="expression" priority="6711" id="{65694942-E47F-475F-BDA7-C87DF265D1B9}">
            <xm:f>'TC1'!$B15="Dial"</xm:f>
            <x14:dxf>
              <font>
                <b/>
                <i val="0"/>
                <color rgb="FFFF0000"/>
              </font>
            </x14:dxf>
          </x14:cfRule>
          <xm:sqref>C16</xm:sqref>
        </x14:conditionalFormatting>
        <x14:conditionalFormatting xmlns:xm="http://schemas.microsoft.com/office/excel/2006/main">
          <x14:cfRule type="expression" priority="6713" id="{FE374AF5-352D-435E-B91D-1E895D29B0E6}">
            <xm:f>'TC1'!$B15="Speak"</xm:f>
            <x14:dxf>
              <font>
                <b/>
                <i val="0"/>
                <color rgb="FFFF0000"/>
              </font>
            </x14:dxf>
          </x14:cfRule>
          <xm:sqref>C16</xm:sqref>
        </x14:conditionalFormatting>
        <x14:conditionalFormatting xmlns:xm="http://schemas.microsoft.com/office/excel/2006/main">
          <x14:cfRule type="containsText" priority="6716" operator="containsText" text="DB" id="{5EA0A7DA-74F7-452F-8C95-EFD9BD909EDB}">
            <xm:f>NOT(ISERROR(SEARCH("DB",'TC1'!E15)))</xm:f>
            <x14:dxf>
              <font>
                <color rgb="FF006100"/>
              </font>
              <fill>
                <patternFill>
                  <bgColor rgb="FFC6EFCE"/>
                </patternFill>
              </fill>
            </x14:dxf>
          </x14:cfRule>
          <x14:cfRule type="containsText" priority="6717" operator="containsText" text="WEB SERVICE" id="{14497217-0739-47E5-AFFB-B4C24ACFF00B}">
            <xm:f>NOT(ISERROR(SEARCH("WEB SERVICE",'TC1'!E15)))</xm:f>
            <x14:dxf>
              <font>
                <color rgb="FF9C0006"/>
              </font>
              <fill>
                <patternFill>
                  <bgColor rgb="FFFFC7CE"/>
                </patternFill>
              </fill>
            </x14:dxf>
          </x14:cfRule>
          <xm:sqref>E16</xm:sqref>
        </x14:conditionalFormatting>
        <x14:conditionalFormatting xmlns:xm="http://schemas.microsoft.com/office/excel/2006/main">
          <x14:cfRule type="containsText" priority="9014" operator="containsText" text="Hear" id="{6F82A77C-1E41-4A92-AEA1-4857D1565FFD}">
            <xm:f>NOT(ISERROR(SEARCH("Hear",'TC26'!#REF!)))</xm:f>
            <x14:dxf>
              <font>
                <color theme="9" tint="-0.24994659260841701"/>
              </font>
              <fill>
                <patternFill>
                  <bgColor theme="9" tint="0.59996337778862885"/>
                </patternFill>
              </fill>
            </x14:dxf>
          </x14:cfRule>
          <xm:sqref>B39</xm:sqref>
        </x14:conditionalFormatting>
      </x14:conditionalFormattings>
    </ext>
  </extLst>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62"/>
  <dimension ref="A1:E42"/>
  <sheetViews>
    <sheetView zoomScaleNormal="100" workbookViewId="0">
      <selection activeCell="A2" sqref="A2"/>
    </sheetView>
  </sheetViews>
  <sheetFormatPr defaultRowHeight="14.5" x14ac:dyDescent="0.35"/>
  <cols>
    <col min="1" max="1" width="14.453125" bestFit="1" customWidth="1"/>
    <col min="2" max="2" width="42.6328125" customWidth="1"/>
    <col min="3" max="3" width="106.1796875" customWidth="1"/>
    <col min="4" max="4" width="21.81640625" bestFit="1" customWidth="1"/>
    <col min="5" max="5" width="20.6328125" customWidth="1"/>
  </cols>
  <sheetData>
    <row r="1" spans="1:5" ht="18.5" x14ac:dyDescent="0.35">
      <c r="A1" s="192" t="s">
        <v>4</v>
      </c>
      <c r="B1" s="192"/>
      <c r="C1" s="105"/>
      <c r="D1" s="111"/>
      <c r="E1" s="97"/>
    </row>
    <row r="2" spans="1:5" x14ac:dyDescent="0.35">
      <c r="A2" s="106" t="s">
        <v>5</v>
      </c>
      <c r="B2" s="107" t="str">
        <f ca="1">MID(CELL("filename",A1),FIND("]",CELL("filename",A1))+1,LEN(CELL("filename",A1))-FIND("]",CELL("filename",A1)))</f>
        <v>TC60</v>
      </c>
      <c r="C2" s="98"/>
      <c r="D2" s="111"/>
      <c r="E2" s="97"/>
    </row>
    <row r="3" spans="1:5" x14ac:dyDescent="0.35">
      <c r="A3" s="104" t="s">
        <v>19</v>
      </c>
      <c r="B3" s="112" t="e">
        <f ca="1">VLOOKUP(B2,Table1[#All],2,FALSE)</f>
        <v>#N/A</v>
      </c>
      <c r="C3" s="98"/>
      <c r="D3" s="111"/>
      <c r="E3" s="97"/>
    </row>
    <row r="4" spans="1:5" ht="29" x14ac:dyDescent="0.35">
      <c r="A4" s="113" t="s">
        <v>20</v>
      </c>
      <c r="B4" s="99" t="e">
        <f ca="1">VLOOKUP(B2,Table1[#All],4,FALSE)</f>
        <v>#N/A</v>
      </c>
      <c r="C4" s="98"/>
      <c r="D4" s="111"/>
      <c r="E4" s="97"/>
    </row>
    <row r="5" spans="1:5" x14ac:dyDescent="0.35">
      <c r="A5" s="104" t="s">
        <v>6</v>
      </c>
      <c r="B5" s="93" t="e">
        <f ca="1">VLOOKUP(B2,Table1[#All],3,FALSE)</f>
        <v>#N/A</v>
      </c>
      <c r="C5" s="98"/>
      <c r="D5" s="111"/>
      <c r="E5" s="97"/>
    </row>
    <row r="6" spans="1:5" x14ac:dyDescent="0.35">
      <c r="A6" s="97"/>
      <c r="B6" s="97"/>
      <c r="C6" s="98"/>
      <c r="D6" s="111"/>
      <c r="E6" s="97"/>
    </row>
    <row r="7" spans="1:5" ht="15.5" x14ac:dyDescent="0.35">
      <c r="A7" s="100" t="s">
        <v>7</v>
      </c>
      <c r="B7" s="101" t="s">
        <v>8</v>
      </c>
      <c r="C7" s="102" t="s">
        <v>9</v>
      </c>
      <c r="D7" s="102" t="s">
        <v>14</v>
      </c>
      <c r="E7" s="103" t="s">
        <v>10</v>
      </c>
    </row>
    <row r="8" spans="1:5" x14ac:dyDescent="0.35">
      <c r="A8" s="118">
        <v>1</v>
      </c>
      <c r="B8" s="114" t="s">
        <v>114</v>
      </c>
      <c r="C8" s="109" t="s">
        <v>125</v>
      </c>
      <c r="D8" s="128"/>
      <c r="E8" s="125" t="s">
        <v>11</v>
      </c>
    </row>
    <row r="9" spans="1:5" x14ac:dyDescent="0.35">
      <c r="A9" s="118">
        <v>2</v>
      </c>
      <c r="B9" s="114" t="s">
        <v>12</v>
      </c>
      <c r="C9" s="109" t="e">
        <f>VLOOKUP(Table25755252691013434446474849565758596315181719224566677172737476777879939495100104107[[#This Row],[PEG]],Table1016[#All],2,FALSE)</f>
        <v>#N/A</v>
      </c>
      <c r="D9" s="128"/>
      <c r="E9" s="125" t="e">
        <f>VLOOKUP(Table25755252691013434446474849565758596315181719224566677172737476777879939495100104107[[#This Row],[PEG]],Table1016[#All],3,FALSE)</f>
        <v>#N/A</v>
      </c>
    </row>
    <row r="10" spans="1:5" x14ac:dyDescent="0.35">
      <c r="A10" s="118">
        <v>3</v>
      </c>
      <c r="B10" s="114" t="s">
        <v>115</v>
      </c>
      <c r="C10" s="109" t="e">
        <f>VLOOKUP(Table25755252691013434446474849565758596315181719224566677172737476777879939495100104107[[#This Row],[PEG]],Table1016[#All],2,FALSE)</f>
        <v>#N/A</v>
      </c>
      <c r="D10" s="128"/>
      <c r="E10" s="125" t="e">
        <f>VLOOKUP(Table25755252691013434446474849565758596315181719224566677172737476777879939495100104107[[#This Row],[PEG]],Table1016[#All],3,FALSE)</f>
        <v>#N/A</v>
      </c>
    </row>
    <row r="11" spans="1:5" x14ac:dyDescent="0.35">
      <c r="A11" s="118">
        <v>4</v>
      </c>
      <c r="B11" s="114" t="s">
        <v>115</v>
      </c>
      <c r="C11" s="109" t="e">
        <f>VLOOKUP(Table25755252691013434446474849565758596315181719224566677172737476777879939495100104107[[#This Row],[PEG]],Table1016[#All],2,FALSE)</f>
        <v>#N/A</v>
      </c>
      <c r="D11" s="128"/>
      <c r="E11" s="125" t="e">
        <f>VLOOKUP(Table25755252691013434446474849565758596315181719224566677172737476777879939495100104107[[#This Row],[PEG]],Table1016[#All],3,FALSE)</f>
        <v>#N/A</v>
      </c>
    </row>
    <row r="12" spans="1:5" x14ac:dyDescent="0.35">
      <c r="A12" s="118">
        <v>5</v>
      </c>
      <c r="B12" s="114" t="s">
        <v>114</v>
      </c>
      <c r="C12" s="109" t="e">
        <f>VLOOKUP(Table25755252691013434446474849565758596315181719224566677172737476777879939495100104107[[#This Row],[PEG]],Table1016[#All],2,FALSE)</f>
        <v>#N/A</v>
      </c>
      <c r="D12" s="128"/>
      <c r="E12" s="125" t="e">
        <f>VLOOKUP(Table25755252691013434446474849565758596315181719224566677172737476777879939495100104107[[#This Row],[PEG]],Table1016[#All],3,FALSE)</f>
        <v>#N/A</v>
      </c>
    </row>
    <row r="13" spans="1:5" x14ac:dyDescent="0.35">
      <c r="A13" s="118">
        <v>6</v>
      </c>
      <c r="B13" s="114" t="s">
        <v>115</v>
      </c>
      <c r="C13" s="109" t="e">
        <f>VLOOKUP(Table25755252691013434446474849565758596315181719224566677172737476777879939495100104107[[#This Row],[PEG]],Table1016[#All],2,FALSE)</f>
        <v>#N/A</v>
      </c>
      <c r="D13" s="128"/>
      <c r="E13" s="125" t="e">
        <f>VLOOKUP(Table25755252691013434446474849565758596315181719224566677172737476777879939495100104107[[#This Row],[PEG]],Table1016[#All],3,FALSE)</f>
        <v>#N/A</v>
      </c>
    </row>
    <row r="14" spans="1:5" x14ac:dyDescent="0.35">
      <c r="A14" s="118">
        <v>7</v>
      </c>
      <c r="B14" s="114" t="s">
        <v>114</v>
      </c>
      <c r="C14" s="109" t="e">
        <f>VLOOKUP(Table25755252691013434446474849565758596315181719224566677172737476777879939495100104107[[#This Row],[PEG]],Table1016[#All],2,FALSE)</f>
        <v>#N/A</v>
      </c>
      <c r="D14" s="128"/>
      <c r="E14" s="125" t="e">
        <f>VLOOKUP(Table25755252691013434446474849565758596315181719224566677172737476777879939495100104107[[#This Row],[PEG]],Table1016[#All],3,FALSE)</f>
        <v>#N/A</v>
      </c>
    </row>
    <row r="15" spans="1:5" x14ac:dyDescent="0.35">
      <c r="A15" s="118">
        <v>8</v>
      </c>
      <c r="B15" s="114" t="s">
        <v>115</v>
      </c>
      <c r="C15" s="109" t="e">
        <f>VLOOKUP(Table25755252691013434446474849565758596315181719224566677172737476777879939495100104107[[#This Row],[PEG]],Table1016[#All],2,FALSE)</f>
        <v>#N/A</v>
      </c>
      <c r="D15" s="116"/>
      <c r="E15" s="125" t="e">
        <f>VLOOKUP(Table25755252691013434446474849565758596315181719224566677172737476777879939495100104107[[#This Row],[PEG]],Table1016[#All],3,FALSE)</f>
        <v>#N/A</v>
      </c>
    </row>
    <row r="16" spans="1:5" x14ac:dyDescent="0.35">
      <c r="A16" s="118">
        <v>9</v>
      </c>
      <c r="B16" s="114" t="s">
        <v>12</v>
      </c>
      <c r="C16" s="109" t="e">
        <f>VLOOKUP(Table25755252691013434446474849565758596315181719224566677172737476777879939495100104107[[#This Row],[PEG]],Table1016[#All],2,FALSE)</f>
        <v>#N/A</v>
      </c>
      <c r="D16" s="116"/>
      <c r="E16" s="125" t="e">
        <f>VLOOKUP(Table25755252691013434446474849565758596315181719224566677172737476777879939495100104107[[#This Row],[PEG]],Table1016[#All],3,FALSE)</f>
        <v>#N/A</v>
      </c>
    </row>
    <row r="17" spans="1:5" x14ac:dyDescent="0.35">
      <c r="A17" s="118">
        <v>10</v>
      </c>
      <c r="B17" s="114" t="s">
        <v>12</v>
      </c>
      <c r="C17" s="109" t="e">
        <f>VLOOKUP(Table25755252691013434446474849565758596315181719224566677172737476777879939495100104107[[#This Row],[PEG]],Table1016[#All],2,FALSE)</f>
        <v>#N/A</v>
      </c>
      <c r="D17" s="117"/>
      <c r="E17" s="125" t="e">
        <f>VLOOKUP(Table25755252691013434446474849565758596315181719224566677172737476777879939495100104107[[#This Row],[PEG]],Table1016[#All],3,FALSE)</f>
        <v>#N/A</v>
      </c>
    </row>
    <row r="18" spans="1:5" x14ac:dyDescent="0.35">
      <c r="A18" s="118">
        <v>11</v>
      </c>
      <c r="B18" s="114" t="s">
        <v>115</v>
      </c>
      <c r="C18" s="109" t="e">
        <f>VLOOKUP(Table25755252691013434446474849565758596315181719224566677172737476777879939495100104107[[#This Row],[PEG]],Table1016[#All],2,FALSE)</f>
        <v>#N/A</v>
      </c>
      <c r="D18" s="117"/>
      <c r="E18" s="125" t="e">
        <f>VLOOKUP(Table25755252691013434446474849565758596315181719224566677172737476777879939495100104107[[#This Row],[PEG]],Table1016[#All],3,FALSE)</f>
        <v>#N/A</v>
      </c>
    </row>
    <row r="19" spans="1:5" x14ac:dyDescent="0.35">
      <c r="A19" s="118">
        <v>12</v>
      </c>
      <c r="B19" s="114" t="s">
        <v>115</v>
      </c>
      <c r="C19" s="109" t="e">
        <f>VLOOKUP(Table25755252691013434446474849565758596315181719224566677172737476777879939495100104107[[#This Row],[PEG]],Table1016[#All],2,FALSE)</f>
        <v>#N/A</v>
      </c>
      <c r="D19" s="117"/>
      <c r="E19" s="125" t="e">
        <f>VLOOKUP(Table25755252691013434446474849565758596315181719224566677172737476777879939495100104107[[#This Row],[PEG]],Table1016[#All],3,FALSE)</f>
        <v>#N/A</v>
      </c>
    </row>
    <row r="20" spans="1:5" x14ac:dyDescent="0.35">
      <c r="A20" s="118">
        <v>13</v>
      </c>
      <c r="B20" s="114" t="s">
        <v>114</v>
      </c>
      <c r="C20" s="109" t="e">
        <f>VLOOKUP(Table25755252691013434446474849565758596315181719224566677172737476777879939495100104107[[#This Row],[PEG]],Table1016[#All],2,FALSE)</f>
        <v>#N/A</v>
      </c>
      <c r="D20" s="117"/>
      <c r="E20" s="125" t="e">
        <f>VLOOKUP(Table25755252691013434446474849565758596315181719224566677172737476777879939495100104107[[#This Row],[PEG]],Table1016[#All],3,FALSE)</f>
        <v>#N/A</v>
      </c>
    </row>
    <row r="21" spans="1:5" x14ac:dyDescent="0.35">
      <c r="A21" s="118">
        <v>14</v>
      </c>
      <c r="B21" s="114" t="s">
        <v>12</v>
      </c>
      <c r="C21" s="109" t="e">
        <f>VLOOKUP(Table25755252691013434446474849565758596315181719224566677172737476777879939495100104107[[#This Row],[PEG]],Table1016[#All],2,FALSE)</f>
        <v>#N/A</v>
      </c>
      <c r="D21" s="117"/>
      <c r="E21" s="125" t="e">
        <f>VLOOKUP(Table25755252691013434446474849565758596315181719224566677172737476777879939495100104107[[#This Row],[PEG]],Table1016[#All],3,FALSE)</f>
        <v>#N/A</v>
      </c>
    </row>
    <row r="22" spans="1:5" x14ac:dyDescent="0.35">
      <c r="A22" s="118">
        <v>15</v>
      </c>
      <c r="B22" s="114" t="s">
        <v>12</v>
      </c>
      <c r="C22" s="109" t="e">
        <f>VLOOKUP(Table25755252691013434446474849565758596315181719224566677172737476777879939495100104107[[#This Row],[PEG]],Table1016[#All],2,FALSE)</f>
        <v>#N/A</v>
      </c>
      <c r="D22" s="117"/>
      <c r="E22" s="125" t="e">
        <f>VLOOKUP(Table25755252691013434446474849565758596315181719224566677172737476777879939495100104107[[#This Row],[PEG]],Table1016[#All],3,FALSE)</f>
        <v>#N/A</v>
      </c>
    </row>
    <row r="23" spans="1:5" x14ac:dyDescent="0.35">
      <c r="A23" s="118">
        <v>16</v>
      </c>
      <c r="B23" s="114" t="s">
        <v>115</v>
      </c>
      <c r="C23" s="109" t="e">
        <f>VLOOKUP(Table25755252691013434446474849565758596315181719224566677172737476777879939495100104107[[#This Row],[PEG]],Table1016[#All],2,FALSE)</f>
        <v>#N/A</v>
      </c>
      <c r="D23" s="117"/>
      <c r="E23" s="125" t="e">
        <f>VLOOKUP(Table25755252691013434446474849565758596315181719224566677172737476777879939495100104107[[#This Row],[PEG]],Table1016[#All],3,FALSE)</f>
        <v>#N/A</v>
      </c>
    </row>
    <row r="24" spans="1:5" x14ac:dyDescent="0.35">
      <c r="A24" s="118">
        <v>17</v>
      </c>
      <c r="B24" s="114" t="s">
        <v>114</v>
      </c>
      <c r="C24" s="109" t="e">
        <f>VLOOKUP(Table25755252691013434446474849565758596315181719224566677172737476777879939495100104107[[#This Row],[PEG]],Table1016[#All],2,FALSE)</f>
        <v>#N/A</v>
      </c>
      <c r="D24" s="117"/>
      <c r="E24" s="125" t="e">
        <f>VLOOKUP(Table25755252691013434446474849565758596315181719224566677172737476777879939495100104107[[#This Row],[PEG]],Table1016[#All],3,FALSE)</f>
        <v>#N/A</v>
      </c>
    </row>
    <row r="25" spans="1:5" x14ac:dyDescent="0.35">
      <c r="A25" s="118">
        <v>18</v>
      </c>
      <c r="B25" s="114" t="s">
        <v>12</v>
      </c>
      <c r="C25" s="109" t="e">
        <f>VLOOKUP(Table25755252691013434446474849565758596315181719224566677172737476777879939495100104107[[#This Row],[PEG]],Table1016[#All],2,FALSE)</f>
        <v>#N/A</v>
      </c>
      <c r="D25" s="117"/>
      <c r="E25" s="125" t="e">
        <f>VLOOKUP(Table25755252691013434446474849565758596315181719224566677172737476777879939495100104107[[#This Row],[PEG]],Table1016[#All],3,FALSE)</f>
        <v>#N/A</v>
      </c>
    </row>
    <row r="26" spans="1:5" x14ac:dyDescent="0.35">
      <c r="A26" s="118">
        <v>19</v>
      </c>
      <c r="B26" s="114" t="s">
        <v>12</v>
      </c>
      <c r="C26" s="109" t="e">
        <f>VLOOKUP(Table25755252691013434446474849565758596315181719224566677172737476777879939495100104107[[#This Row],[PEG]],Table1016[#All],2,FALSE)</f>
        <v>#N/A</v>
      </c>
      <c r="D26" s="117"/>
      <c r="E26" s="125" t="e">
        <f>VLOOKUP(Table25755252691013434446474849565758596315181719224566677172737476777879939495100104107[[#This Row],[PEG]],Table1016[#All],3,FALSE)</f>
        <v>#N/A</v>
      </c>
    </row>
    <row r="27" spans="1:5" x14ac:dyDescent="0.35">
      <c r="A27" s="118">
        <v>20</v>
      </c>
      <c r="B27" s="114" t="s">
        <v>115</v>
      </c>
      <c r="C27" s="109" t="e">
        <f>VLOOKUP(Table25755252691013434446474849565758596315181719224566677172737476777879939495100104107[[#This Row],[PEG]],Table1016[#All],2,FALSE)</f>
        <v>#N/A</v>
      </c>
      <c r="D27" s="117"/>
      <c r="E27" s="125" t="e">
        <f>VLOOKUP(Table25755252691013434446474849565758596315181719224566677172737476777879939495100104107[[#This Row],[PEG]],Table1016[#All],3,FALSE)</f>
        <v>#N/A</v>
      </c>
    </row>
    <row r="28" spans="1:5" x14ac:dyDescent="0.35">
      <c r="A28" s="118">
        <v>21</v>
      </c>
      <c r="B28" s="114" t="s">
        <v>114</v>
      </c>
      <c r="C28" s="109" t="e">
        <f>VLOOKUP(Table25755252691013434446474849565758596315181719224566677172737476777879939495100104107[[#This Row],[PEG]],Table1016[#All],2,FALSE)</f>
        <v>#N/A</v>
      </c>
      <c r="D28" s="117"/>
      <c r="E28" s="125" t="e">
        <f>VLOOKUP(Table25755252691013434446474849565758596315181719224566677172737476777879939495100104107[[#This Row],[PEG]],Table1016[#All],3,FALSE)</f>
        <v>#N/A</v>
      </c>
    </row>
    <row r="29" spans="1:5" x14ac:dyDescent="0.35">
      <c r="A29" s="118">
        <v>22</v>
      </c>
      <c r="B29" s="114" t="s">
        <v>12</v>
      </c>
      <c r="C29" s="109" t="e">
        <f>VLOOKUP(Table25755252691013434446474849565758596315181719224566677172737476777879939495100104107[[#This Row],[PEG]],Table1016[#All],2,FALSE)</f>
        <v>#N/A</v>
      </c>
      <c r="D29" s="117"/>
      <c r="E29" s="125" t="e">
        <f>VLOOKUP(Table25755252691013434446474849565758596315181719224566677172737476777879939495100104107[[#This Row],[PEG]],Table1016[#All],3,FALSE)</f>
        <v>#N/A</v>
      </c>
    </row>
    <row r="30" spans="1:5" x14ac:dyDescent="0.35">
      <c r="A30" s="118">
        <v>23</v>
      </c>
      <c r="B30" s="114" t="s">
        <v>12</v>
      </c>
      <c r="C30" s="109" t="e">
        <f>VLOOKUP(Table25755252691013434446474849565758596315181719224566677172737476777879939495100104107[[#This Row],[PEG]],Table1016[#All],2,FALSE)</f>
        <v>#N/A</v>
      </c>
      <c r="D30" s="117"/>
      <c r="E30" s="125" t="e">
        <f>VLOOKUP(Table25755252691013434446474849565758596315181719224566677172737476777879939495100104107[[#This Row],[PEG]],Table1016[#All],3,FALSE)</f>
        <v>#N/A</v>
      </c>
    </row>
    <row r="31" spans="1:5" x14ac:dyDescent="0.35">
      <c r="A31" s="118">
        <v>24</v>
      </c>
      <c r="B31" s="114" t="s">
        <v>115</v>
      </c>
      <c r="C31" s="109" t="e">
        <f>VLOOKUP(Table25755252691013434446474849565758596315181719224566677172737476777879939495100104107[[#This Row],[PEG]],Table1016[#All],2,FALSE)</f>
        <v>#N/A</v>
      </c>
      <c r="D31" s="117"/>
      <c r="E31" s="125" t="e">
        <f>VLOOKUP(Table25755252691013434446474849565758596315181719224566677172737476777879939495100104107[[#This Row],[PEG]],Table1016[#All],3,FALSE)</f>
        <v>#N/A</v>
      </c>
    </row>
    <row r="32" spans="1:5" x14ac:dyDescent="0.35">
      <c r="A32" s="118">
        <v>25</v>
      </c>
      <c r="B32" s="114" t="s">
        <v>115</v>
      </c>
      <c r="C32" s="109" t="e">
        <f>VLOOKUP(Table25755252691013434446474849565758596315181719224566677172737476777879939495100104107[[#This Row],[PEG]],Table1016[#All],2,FALSE)</f>
        <v>#N/A</v>
      </c>
      <c r="D32" s="117"/>
      <c r="E32" s="125" t="e">
        <f>VLOOKUP(Table25755252691013434446474849565758596315181719224566677172737476777879939495100104107[[#This Row],[PEG]],Table1016[#All],3,FALSE)</f>
        <v>#N/A</v>
      </c>
    </row>
    <row r="33" spans="1:5" x14ac:dyDescent="0.35">
      <c r="A33" s="118">
        <v>26</v>
      </c>
      <c r="B33" s="114" t="s">
        <v>124</v>
      </c>
      <c r="C33" s="109" t="e">
        <f>VLOOKUP(Table25755252691013434446474849565758596315181719224566677172737476777879939495100104107[[#This Row],[PEG]],Table1016[#All],2,FALSE)</f>
        <v>#N/A</v>
      </c>
      <c r="D33" s="117"/>
      <c r="E33" s="125" t="e">
        <f>VLOOKUP(Table25755252691013434446474849565758596315181719224566677172737476777879939495100104107[[#This Row],[PEG]],Table1016[#All],3,FALSE)</f>
        <v>#N/A</v>
      </c>
    </row>
    <row r="34" spans="1:5" x14ac:dyDescent="0.35">
      <c r="A34" s="118">
        <v>27</v>
      </c>
      <c r="B34" s="114" t="s">
        <v>115</v>
      </c>
      <c r="C34" s="109" t="e">
        <f>VLOOKUP(Table25755252691013434446474849565758596315181719224566677172737476777879939495100104107[[#This Row],[PEG]],Table1016[#All],2,FALSE)</f>
        <v>#N/A</v>
      </c>
      <c r="D34" s="117"/>
      <c r="E34" s="125" t="e">
        <f>VLOOKUP(Table25755252691013434446474849565758596315181719224566677172737476777879939495100104107[[#This Row],[PEG]],Table1016[#All],3,FALSE)</f>
        <v>#N/A</v>
      </c>
    </row>
    <row r="35" spans="1:5" x14ac:dyDescent="0.35">
      <c r="A35" s="118">
        <v>28</v>
      </c>
      <c r="B35" s="114" t="s">
        <v>124</v>
      </c>
      <c r="C35" s="109" t="e">
        <f>VLOOKUP(Table25755252691013434446474849565758596315181719224566677172737476777879939495100104107[[#This Row],[PEG]],Table1016[#All],2,FALSE)</f>
        <v>#N/A</v>
      </c>
      <c r="D35" s="117"/>
      <c r="E35" s="125" t="e">
        <f>VLOOKUP(Table25755252691013434446474849565758596315181719224566677172737476777879939495100104107[[#This Row],[PEG]],Table1016[#All],3,FALSE)</f>
        <v>#N/A</v>
      </c>
    </row>
    <row r="36" spans="1:5" x14ac:dyDescent="0.35">
      <c r="A36" s="118">
        <v>29</v>
      </c>
      <c r="B36" s="114" t="s">
        <v>115</v>
      </c>
      <c r="C36" s="109" t="e">
        <f>VLOOKUP(Table25755252691013434446474849565758596315181719224566677172737476777879939495100104107[[#This Row],[PEG]],Table1016[#All],2,FALSE)</f>
        <v>#N/A</v>
      </c>
      <c r="D36" s="117"/>
      <c r="E36" s="125" t="e">
        <f>VLOOKUP(Table25755252691013434446474849565758596315181719224566677172737476777879939495100104107[[#This Row],[PEG]],Table1016[#All],3,FALSE)</f>
        <v>#N/A</v>
      </c>
    </row>
    <row r="37" spans="1:5" x14ac:dyDescent="0.35">
      <c r="A37" s="118">
        <v>30</v>
      </c>
      <c r="B37" s="114" t="s">
        <v>12</v>
      </c>
      <c r="C37" s="109" t="e">
        <f>VLOOKUP(Table25755252691013434446474849565758596315181719224566677172737476777879939495100104107[[#This Row],[PEG]],Table1016[#All],2,FALSE)</f>
        <v>#N/A</v>
      </c>
      <c r="D37" s="117"/>
      <c r="E37" s="125" t="e">
        <f>VLOOKUP(Table25755252691013434446474849565758596315181719224566677172737476777879939495100104107[[#This Row],[PEG]],Table1016[#All],3,FALSE)</f>
        <v>#N/A</v>
      </c>
    </row>
    <row r="38" spans="1:5" x14ac:dyDescent="0.35">
      <c r="A38" s="118">
        <v>31</v>
      </c>
      <c r="B38" s="114" t="s">
        <v>12</v>
      </c>
      <c r="C38" s="109" t="e">
        <f>VLOOKUP(Table25755252691013434446474849565758596315181719224566677172737476777879939495100104107[[#This Row],[PEG]],Table1016[#All],2,FALSE)</f>
        <v>#N/A</v>
      </c>
      <c r="D38" s="117"/>
      <c r="E38" s="125" t="e">
        <f>VLOOKUP(Table25755252691013434446474849565758596315181719224566677172737476777879939495100104107[[#This Row],[PEG]],Table1016[#All],3,FALSE)</f>
        <v>#N/A</v>
      </c>
    </row>
    <row r="39" spans="1:5" x14ac:dyDescent="0.35">
      <c r="A39" s="118">
        <v>32</v>
      </c>
      <c r="B39" s="114" t="s">
        <v>12</v>
      </c>
      <c r="C39" s="109" t="e">
        <f>VLOOKUP(Table25755252691013434446474849565758596315181719224566677172737476777879939495100104107[[#This Row],[PEG]],Table1016[#All],2,FALSE)</f>
        <v>#N/A</v>
      </c>
      <c r="D39" s="117"/>
      <c r="E39" s="125" t="e">
        <f>VLOOKUP(Table25755252691013434446474849565758596315181719224566677172737476777879939495100104107[[#This Row],[PEG]],Table1016[#All],3,FALSE)</f>
        <v>#N/A</v>
      </c>
    </row>
    <row r="40" spans="1:5" x14ac:dyDescent="0.35">
      <c r="A40" s="118">
        <v>33</v>
      </c>
      <c r="B40" s="114" t="s">
        <v>12</v>
      </c>
      <c r="C40" s="109" t="e">
        <f>VLOOKUP(Table25755252691013434446474849565758596315181719224566677172737476777879939495100104107[[#This Row],[PEG]],Table1016[#All],2,FALSE)</f>
        <v>#N/A</v>
      </c>
      <c r="D40" s="117"/>
      <c r="E40" s="125" t="e">
        <f>VLOOKUP(Table25755252691013434446474849565758596315181719224566677172737476777879939495100104107[[#This Row],[PEG]],Table1016[#All],3,FALSE)</f>
        <v>#N/A</v>
      </c>
    </row>
    <row r="41" spans="1:5" x14ac:dyDescent="0.35">
      <c r="A41" s="118">
        <v>34</v>
      </c>
      <c r="B41" s="114" t="s">
        <v>115</v>
      </c>
      <c r="C41" s="109" t="e">
        <f>VLOOKUP(Table25755252691013434446474849565758596315181719224566677172737476777879939495100104107[[#This Row],[PEG]],Table1016[#All],2,FALSE)</f>
        <v>#N/A</v>
      </c>
      <c r="D41" s="117"/>
      <c r="E41" s="125" t="e">
        <f>VLOOKUP(Table25755252691013434446474849565758596315181719224566677172737476777879939495100104107[[#This Row],[PEG]],Table1016[#All],3,FALSE)</f>
        <v>#N/A</v>
      </c>
    </row>
    <row r="42" spans="1:5" x14ac:dyDescent="0.35">
      <c r="A42" s="118">
        <v>35</v>
      </c>
      <c r="B42" s="114" t="s">
        <v>13</v>
      </c>
      <c r="C42" s="18" t="s">
        <v>13</v>
      </c>
      <c r="D42" s="115"/>
      <c r="E42" s="32"/>
    </row>
  </sheetData>
  <mergeCells count="1">
    <mergeCell ref="A1:B1"/>
  </mergeCells>
  <conditionalFormatting sqref="B8:B18">
    <cfRule type="containsText" dxfId="4318" priority="1" operator="containsText" text="Hear">
      <formula>NOT(ISERROR(SEARCH("Hear",B8)))</formula>
    </cfRule>
  </conditionalFormatting>
  <conditionalFormatting sqref="B36:B38 B40:B41">
    <cfRule type="containsText" dxfId="4317" priority="3" operator="containsText" text="Hear">
      <formula>NOT(ISERROR(SEARCH("Hear",B36)))</formula>
    </cfRule>
  </conditionalFormatting>
  <conditionalFormatting sqref="B19:B29 B31:B35 B42">
    <cfRule type="containsText" dxfId="4316" priority="7" operator="containsText" text="Hear">
      <formula>NOT(ISERROR(SEARCH("Hear",B19)))</formula>
    </cfRule>
  </conditionalFormatting>
  <conditionalFormatting sqref="E42">
    <cfRule type="containsText" dxfId="4315" priority="5" operator="containsText" text="WEB SERVICE">
      <formula>NOT(ISERROR(SEARCH("WEB SERVICE",E42)))</formula>
    </cfRule>
    <cfRule type="containsText" dxfId="4314" priority="6" operator="containsText" text="DB">
      <formula>NOT(ISERROR(SEARCH("DB",E42)))</formula>
    </cfRule>
  </conditionalFormatting>
  <conditionalFormatting sqref="C42">
    <cfRule type="expression" dxfId="4313" priority="8">
      <formula>$B42="Dial"</formula>
    </cfRule>
    <cfRule type="expression" dxfId="4312" priority="10">
      <formula>$B42="HANGUP"</formula>
    </cfRule>
  </conditionalFormatting>
  <conditionalFormatting sqref="C42">
    <cfRule type="expression" dxfId="4311" priority="2">
      <formula>$B42="Speak"</formula>
    </cfRule>
  </conditionalFormatting>
  <conditionalFormatting sqref="B30">
    <cfRule type="containsText" dxfId="4310" priority="4" operator="containsText" text="Hear">
      <formula>NOT(ISERROR(SEARCH("Hear",B30)))</formula>
    </cfRule>
  </conditionalFormatting>
  <hyperlinks>
    <hyperlink ref="A1" location="'Test Case Overview'!A1" display="Return to Test Case Overview" xr:uid="{CBFF9C36-7DFB-4884-82DC-4478FC5A5675}"/>
  </hyperlinks>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expression" priority="11" id="{B5AB2401-BD04-4995-A9A8-B80CC02FD658}">
            <xm:f>'TC1'!$B8="HANGUP"</xm:f>
            <x14:dxf>
              <font>
                <b/>
                <i val="0"/>
              </font>
            </x14:dxf>
          </x14:cfRule>
          <x14:cfRule type="expression" priority="12" id="{C651843E-854F-4E91-8AC9-025542BBA520}">
            <xm:f>'TC1'!$B8="Dial"</xm:f>
            <x14:dxf>
              <font>
                <b/>
                <i val="0"/>
                <color rgb="FFFF0000"/>
              </font>
            </x14:dxf>
          </x14:cfRule>
          <xm:sqref>C8</xm:sqref>
        </x14:conditionalFormatting>
        <x14:conditionalFormatting xmlns:xm="http://schemas.microsoft.com/office/excel/2006/main">
          <x14:cfRule type="expression" priority="13" id="{4F4C2073-C3AD-4F1C-A579-62812592EA55}">
            <xm:f>'TC1'!$B8="Speak"</xm:f>
            <x14:dxf>
              <font>
                <b/>
                <i val="0"/>
                <color rgb="FFFF0000"/>
              </font>
            </x14:dxf>
          </x14:cfRule>
          <xm:sqref>C8</xm:sqref>
        </x14:conditionalFormatting>
        <x14:conditionalFormatting xmlns:xm="http://schemas.microsoft.com/office/excel/2006/main">
          <x14:cfRule type="containsText" priority="16" operator="containsText" text="Hear" id="{07726ADF-04E2-414C-A681-C12F23F7476D}">
            <xm:f>NOT(ISERROR(SEARCH("Hear",'TC3'!B34)))</xm:f>
            <x14:dxf>
              <font>
                <color theme="9" tint="-0.24994659260841701"/>
              </font>
              <fill>
                <patternFill>
                  <bgColor theme="9" tint="0.59996337778862885"/>
                </patternFill>
              </fill>
            </x14:dxf>
          </x14:cfRule>
          <xm:sqref>B41</xm:sqref>
        </x14:conditionalFormatting>
        <x14:conditionalFormatting xmlns:xm="http://schemas.microsoft.com/office/excel/2006/main">
          <x14:cfRule type="expression" priority="1463" id="{B5AB2401-BD04-4995-A9A8-B80CC02FD658}">
            <xm:f>'TC1'!$B16="HANGUP"</xm:f>
            <x14:dxf>
              <font>
                <b/>
                <i val="0"/>
              </font>
            </x14:dxf>
          </x14:cfRule>
          <x14:cfRule type="expression" priority="1464" id="{C651843E-854F-4E91-8AC9-025542BBA520}">
            <xm:f>'TC1'!$B16="Dial"</xm:f>
            <x14:dxf>
              <font>
                <b/>
                <i val="0"/>
                <color rgb="FFFF0000"/>
              </font>
            </x14:dxf>
          </x14:cfRule>
          <xm:sqref>C34:C41</xm:sqref>
        </x14:conditionalFormatting>
        <x14:conditionalFormatting xmlns:xm="http://schemas.microsoft.com/office/excel/2006/main">
          <x14:cfRule type="expression" priority="1465" id="{B5AB2401-BD04-4995-A9A8-B80CC02FD658}">
            <xm:f>'TC1'!#REF!="HANGUP"</xm:f>
            <x14:dxf>
              <font>
                <b/>
                <i val="0"/>
              </font>
            </x14:dxf>
          </x14:cfRule>
          <x14:cfRule type="expression" priority="1466" id="{C651843E-854F-4E91-8AC9-025542BBA520}">
            <xm:f>'TC1'!#REF!="Dial"</xm:f>
            <x14:dxf>
              <font>
                <b/>
                <i val="0"/>
                <color rgb="FFFF0000"/>
              </font>
            </x14:dxf>
          </x14:cfRule>
          <xm:sqref>C17:C33</xm:sqref>
        </x14:conditionalFormatting>
        <x14:conditionalFormatting xmlns:xm="http://schemas.microsoft.com/office/excel/2006/main">
          <x14:cfRule type="expression" priority="1470" id="{4F4C2073-C3AD-4F1C-A579-62812592EA55}">
            <xm:f>'TC1'!$B16="Speak"</xm:f>
            <x14:dxf>
              <font>
                <b/>
                <i val="0"/>
                <color rgb="FFFF0000"/>
              </font>
            </x14:dxf>
          </x14:cfRule>
          <xm:sqref>C34:C41</xm:sqref>
        </x14:conditionalFormatting>
        <x14:conditionalFormatting xmlns:xm="http://schemas.microsoft.com/office/excel/2006/main">
          <x14:cfRule type="expression" priority="1471" id="{4F4C2073-C3AD-4F1C-A579-62812592EA55}">
            <xm:f>'TC1'!#REF!="Speak"</xm:f>
            <x14:dxf>
              <font>
                <b/>
                <i val="0"/>
                <color rgb="FFFF0000"/>
              </font>
            </x14:dxf>
          </x14:cfRule>
          <xm:sqref>C17:C33</xm:sqref>
        </x14:conditionalFormatting>
        <x14:conditionalFormatting xmlns:xm="http://schemas.microsoft.com/office/excel/2006/main">
          <x14:cfRule type="containsText" priority="1475" operator="containsText" text="DB" id="{973045A0-FC93-4BD7-BE54-299AA4B6296E}">
            <xm:f>NOT(ISERROR(SEARCH("DB",'TC1'!E16)))</xm:f>
            <x14:dxf>
              <font>
                <color rgb="FF006100"/>
              </font>
              <fill>
                <patternFill>
                  <bgColor rgb="FFC6EFCE"/>
                </patternFill>
              </fill>
            </x14:dxf>
          </x14:cfRule>
          <x14:cfRule type="containsText" priority="1476" operator="containsText" text="WEB SERVICE" id="{CE509102-1B87-4BFB-851F-C311846C2067}">
            <xm:f>NOT(ISERROR(SEARCH("WEB SERVICE",'TC1'!E16)))</xm:f>
            <x14:dxf>
              <font>
                <color rgb="FF9C0006"/>
              </font>
              <fill>
                <patternFill>
                  <bgColor rgb="FFFFC7CE"/>
                </patternFill>
              </fill>
            </x14:dxf>
          </x14:cfRule>
          <xm:sqref>E34:E41</xm:sqref>
        </x14:conditionalFormatting>
        <x14:conditionalFormatting xmlns:xm="http://schemas.microsoft.com/office/excel/2006/main">
          <x14:cfRule type="containsText" priority="1477" operator="containsText" text="DB" id="{973045A0-FC93-4BD7-BE54-299AA4B6296E}">
            <xm:f>NOT(ISERROR(SEARCH("DB",'TC1'!#REF!)))</xm:f>
            <x14:dxf>
              <font>
                <color rgb="FF006100"/>
              </font>
              <fill>
                <patternFill>
                  <bgColor rgb="FFC6EFCE"/>
                </patternFill>
              </fill>
            </x14:dxf>
          </x14:cfRule>
          <x14:cfRule type="containsText" priority="1478" operator="containsText" text="WEB SERVICE" id="{CE509102-1B87-4BFB-851F-C311846C2067}">
            <xm:f>NOT(ISERROR(SEARCH("WEB SERVICE",'TC1'!#REF!)))</xm:f>
            <x14:dxf>
              <font>
                <color rgb="FF9C0006"/>
              </font>
              <fill>
                <patternFill>
                  <bgColor rgb="FFFFC7CE"/>
                </patternFill>
              </fill>
            </x14:dxf>
          </x14:cfRule>
          <xm:sqref>E17:E33</xm:sqref>
        </x14:conditionalFormatting>
        <x14:conditionalFormatting xmlns:xm="http://schemas.microsoft.com/office/excel/2006/main">
          <x14:cfRule type="expression" priority="4255" id="{B5AB2401-BD04-4995-A9A8-B80CC02FD658}">
            <xm:f>'TC1'!$B9="HANGUP"</xm:f>
            <x14:dxf>
              <font>
                <b/>
                <i val="0"/>
              </font>
            </x14:dxf>
          </x14:cfRule>
          <x14:cfRule type="expression" priority="4256" id="{C651843E-854F-4E91-8AC9-025542BBA520}">
            <xm:f>'TC1'!$B9="Dial"</xm:f>
            <x14:dxf>
              <font>
                <b/>
                <i val="0"/>
                <color rgb="FFFF0000"/>
              </font>
            </x14:dxf>
          </x14:cfRule>
          <xm:sqref>C12:C15</xm:sqref>
        </x14:conditionalFormatting>
        <x14:conditionalFormatting xmlns:xm="http://schemas.microsoft.com/office/excel/2006/main">
          <x14:cfRule type="expression" priority="4257" id="{B5AB2401-BD04-4995-A9A8-B80CC02FD658}">
            <xm:f>'TC1'!#REF!="HANGUP"</xm:f>
            <x14:dxf>
              <font>
                <b/>
                <i val="0"/>
              </font>
            </x14:dxf>
          </x14:cfRule>
          <x14:cfRule type="expression" priority="4258" id="{C651843E-854F-4E91-8AC9-025542BBA520}">
            <xm:f>'TC1'!#REF!="Dial"</xm:f>
            <x14:dxf>
              <font>
                <b/>
                <i val="0"/>
                <color rgb="FFFF0000"/>
              </font>
            </x14:dxf>
          </x14:cfRule>
          <xm:sqref>C9:C11</xm:sqref>
        </x14:conditionalFormatting>
        <x14:conditionalFormatting xmlns:xm="http://schemas.microsoft.com/office/excel/2006/main">
          <x14:cfRule type="expression" priority="4262" id="{4F4C2073-C3AD-4F1C-A579-62812592EA55}">
            <xm:f>'TC1'!$B9="Speak"</xm:f>
            <x14:dxf>
              <font>
                <b/>
                <i val="0"/>
                <color rgb="FFFF0000"/>
              </font>
            </x14:dxf>
          </x14:cfRule>
          <xm:sqref>C12:C15</xm:sqref>
        </x14:conditionalFormatting>
        <x14:conditionalFormatting xmlns:xm="http://schemas.microsoft.com/office/excel/2006/main">
          <x14:cfRule type="expression" priority="4263" id="{4F4C2073-C3AD-4F1C-A579-62812592EA55}">
            <xm:f>'TC1'!#REF!="Speak"</xm:f>
            <x14:dxf>
              <font>
                <b/>
                <i val="0"/>
                <color rgb="FFFF0000"/>
              </font>
            </x14:dxf>
          </x14:cfRule>
          <xm:sqref>C9:C11</xm:sqref>
        </x14:conditionalFormatting>
        <x14:conditionalFormatting xmlns:xm="http://schemas.microsoft.com/office/excel/2006/main">
          <x14:cfRule type="containsText" priority="4265" operator="containsText" text="DB" id="{973045A0-FC93-4BD7-BE54-299AA4B6296E}">
            <xm:f>NOT(ISERROR(SEARCH("DB",'TC1'!#REF!)))</xm:f>
            <x14:dxf>
              <font>
                <color rgb="FF006100"/>
              </font>
              <fill>
                <patternFill>
                  <bgColor rgb="FFC6EFCE"/>
                </patternFill>
              </fill>
            </x14:dxf>
          </x14:cfRule>
          <x14:cfRule type="containsText" priority="4266" operator="containsText" text="WEB SERVICE" id="{CE509102-1B87-4BFB-851F-C311846C2067}">
            <xm:f>NOT(ISERROR(SEARCH("WEB SERVICE",'TC1'!#REF!)))</xm:f>
            <x14:dxf>
              <font>
                <color rgb="FF9C0006"/>
              </font>
              <fill>
                <patternFill>
                  <bgColor rgb="FFFFC7CE"/>
                </patternFill>
              </fill>
            </x14:dxf>
          </x14:cfRule>
          <xm:sqref>E9:E11</xm:sqref>
        </x14:conditionalFormatting>
        <x14:conditionalFormatting xmlns:xm="http://schemas.microsoft.com/office/excel/2006/main">
          <x14:cfRule type="containsText" priority="4267" operator="containsText" text="DB" id="{973045A0-FC93-4BD7-BE54-299AA4B6296E}">
            <xm:f>NOT(ISERROR(SEARCH("DB",'TC1'!E9)))</xm:f>
            <x14:dxf>
              <font>
                <color rgb="FF006100"/>
              </font>
              <fill>
                <patternFill>
                  <bgColor rgb="FFC6EFCE"/>
                </patternFill>
              </fill>
            </x14:dxf>
          </x14:cfRule>
          <x14:cfRule type="containsText" priority="4268" operator="containsText" text="WEB SERVICE" id="{CE509102-1B87-4BFB-851F-C311846C2067}">
            <xm:f>NOT(ISERROR(SEARCH("WEB SERVICE",'TC1'!E9)))</xm:f>
            <x14:dxf>
              <font>
                <color rgb="FF9C0006"/>
              </font>
              <fill>
                <patternFill>
                  <bgColor rgb="FFFFC7CE"/>
                </patternFill>
              </fill>
            </x14:dxf>
          </x14:cfRule>
          <xm:sqref>E12:E15</xm:sqref>
        </x14:conditionalFormatting>
        <x14:conditionalFormatting xmlns:xm="http://schemas.microsoft.com/office/excel/2006/main">
          <x14:cfRule type="expression" priority="6725" id="{B5AB2401-BD04-4995-A9A8-B80CC02FD658}">
            <xm:f>'TC1'!$B15="HANGUP"</xm:f>
            <x14:dxf>
              <font>
                <b/>
                <i val="0"/>
              </font>
            </x14:dxf>
          </x14:cfRule>
          <x14:cfRule type="expression" priority="6726" id="{C651843E-854F-4E91-8AC9-025542BBA520}">
            <xm:f>'TC1'!$B15="Dial"</xm:f>
            <x14:dxf>
              <font>
                <b/>
                <i val="0"/>
                <color rgb="FFFF0000"/>
              </font>
            </x14:dxf>
          </x14:cfRule>
          <xm:sqref>C16</xm:sqref>
        </x14:conditionalFormatting>
        <x14:conditionalFormatting xmlns:xm="http://schemas.microsoft.com/office/excel/2006/main">
          <x14:cfRule type="expression" priority="6728" id="{4F4C2073-C3AD-4F1C-A579-62812592EA55}">
            <xm:f>'TC1'!$B15="Speak"</xm:f>
            <x14:dxf>
              <font>
                <b/>
                <i val="0"/>
                <color rgb="FFFF0000"/>
              </font>
            </x14:dxf>
          </x14:cfRule>
          <xm:sqref>C16</xm:sqref>
        </x14:conditionalFormatting>
        <x14:conditionalFormatting xmlns:xm="http://schemas.microsoft.com/office/excel/2006/main">
          <x14:cfRule type="containsText" priority="6731" operator="containsText" text="DB" id="{973045A0-FC93-4BD7-BE54-299AA4B6296E}">
            <xm:f>NOT(ISERROR(SEARCH("DB",'TC1'!E15)))</xm:f>
            <x14:dxf>
              <font>
                <color rgb="FF006100"/>
              </font>
              <fill>
                <patternFill>
                  <bgColor rgb="FFC6EFCE"/>
                </patternFill>
              </fill>
            </x14:dxf>
          </x14:cfRule>
          <x14:cfRule type="containsText" priority="6732" operator="containsText" text="WEB SERVICE" id="{CE509102-1B87-4BFB-851F-C311846C2067}">
            <xm:f>NOT(ISERROR(SEARCH("WEB SERVICE",'TC1'!E15)))</xm:f>
            <x14:dxf>
              <font>
                <color rgb="FF9C0006"/>
              </font>
              <fill>
                <patternFill>
                  <bgColor rgb="FFFFC7CE"/>
                </patternFill>
              </fill>
            </x14:dxf>
          </x14:cfRule>
          <xm:sqref>E16</xm:sqref>
        </x14:conditionalFormatting>
        <x14:conditionalFormatting xmlns:xm="http://schemas.microsoft.com/office/excel/2006/main">
          <x14:cfRule type="containsText" priority="9034" operator="containsText" text="Hear" id="{2231DDB7-D54F-498F-AAF7-1CB8BBC44E28}">
            <xm:f>NOT(ISERROR(SEARCH("Hear",'TC26'!#REF!)))</xm:f>
            <x14:dxf>
              <font>
                <color theme="9" tint="-0.24994659260841701"/>
              </font>
              <fill>
                <patternFill>
                  <bgColor theme="9" tint="0.59996337778862885"/>
                </patternFill>
              </fill>
            </x14:dxf>
          </x14:cfRule>
          <xm:sqref>B39</xm:sqref>
        </x14:conditionalFormatting>
      </x14:conditionalFormattings>
    </ext>
  </extLst>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63"/>
  <dimension ref="A1:E42"/>
  <sheetViews>
    <sheetView zoomScaleNormal="100" workbookViewId="0">
      <selection activeCell="A2" sqref="A2"/>
    </sheetView>
  </sheetViews>
  <sheetFormatPr defaultRowHeight="14.5" x14ac:dyDescent="0.35"/>
  <cols>
    <col min="1" max="1" width="14.453125" bestFit="1" customWidth="1"/>
    <col min="2" max="2" width="42.6328125" customWidth="1"/>
    <col min="3" max="3" width="106.1796875" customWidth="1"/>
    <col min="4" max="4" width="21.81640625" bestFit="1" customWidth="1"/>
    <col min="5" max="5" width="20.6328125" customWidth="1"/>
  </cols>
  <sheetData>
    <row r="1" spans="1:5" ht="18.5" x14ac:dyDescent="0.35">
      <c r="A1" s="192" t="s">
        <v>4</v>
      </c>
      <c r="B1" s="192"/>
      <c r="C1" s="105"/>
      <c r="D1" s="111"/>
      <c r="E1" s="97"/>
    </row>
    <row r="2" spans="1:5" x14ac:dyDescent="0.35">
      <c r="A2" s="106" t="s">
        <v>5</v>
      </c>
      <c r="B2" s="107" t="str">
        <f ca="1">MID(CELL("filename",A1),FIND("]",CELL("filename",A1))+1,LEN(CELL("filename",A1))-FIND("]",CELL("filename",A1)))</f>
        <v>TC61</v>
      </c>
      <c r="C2" s="98"/>
      <c r="D2" s="111"/>
      <c r="E2" s="97"/>
    </row>
    <row r="3" spans="1:5" x14ac:dyDescent="0.35">
      <c r="A3" s="104" t="s">
        <v>19</v>
      </c>
      <c r="B3" s="112" t="e">
        <f ca="1">VLOOKUP(B2,Table1[#All],2,FALSE)</f>
        <v>#N/A</v>
      </c>
      <c r="C3" s="98"/>
      <c r="D3" s="111"/>
      <c r="E3" s="97"/>
    </row>
    <row r="4" spans="1:5" ht="29" x14ac:dyDescent="0.35">
      <c r="A4" s="113" t="s">
        <v>20</v>
      </c>
      <c r="B4" s="99" t="e">
        <f ca="1">VLOOKUP(B2,Table1[#All],4,FALSE)</f>
        <v>#N/A</v>
      </c>
      <c r="C4" s="98"/>
      <c r="D4" s="111"/>
      <c r="E4" s="97"/>
    </row>
    <row r="5" spans="1:5" x14ac:dyDescent="0.35">
      <c r="A5" s="104" t="s">
        <v>6</v>
      </c>
      <c r="B5" s="93" t="e">
        <f ca="1">VLOOKUP(B2,Table1[#All],3,FALSE)</f>
        <v>#N/A</v>
      </c>
      <c r="C5" s="98"/>
      <c r="D5" s="111"/>
      <c r="E5" s="97"/>
    </row>
    <row r="6" spans="1:5" x14ac:dyDescent="0.35">
      <c r="A6" s="97"/>
      <c r="B6" s="97"/>
      <c r="C6" s="98"/>
      <c r="D6" s="111"/>
      <c r="E6" s="97"/>
    </row>
    <row r="7" spans="1:5" ht="15.5" x14ac:dyDescent="0.35">
      <c r="A7" s="100" t="s">
        <v>7</v>
      </c>
      <c r="B7" s="101" t="s">
        <v>8</v>
      </c>
      <c r="C7" s="102" t="s">
        <v>9</v>
      </c>
      <c r="D7" s="102" t="s">
        <v>14</v>
      </c>
      <c r="E7" s="103" t="s">
        <v>10</v>
      </c>
    </row>
    <row r="8" spans="1:5" x14ac:dyDescent="0.35">
      <c r="A8" s="118">
        <v>1</v>
      </c>
      <c r="B8" s="114" t="s">
        <v>114</v>
      </c>
      <c r="C8" s="109" t="s">
        <v>125</v>
      </c>
      <c r="D8" s="128"/>
      <c r="E8" s="125" t="s">
        <v>11</v>
      </c>
    </row>
    <row r="9" spans="1:5" x14ac:dyDescent="0.35">
      <c r="A9" s="118">
        <v>2</v>
      </c>
      <c r="B9" s="114" t="s">
        <v>12</v>
      </c>
      <c r="C9" s="109" t="e">
        <f>VLOOKUP(Table25755252691013434446474849565758596315181719224566677172737476777879939495100104109[[#This Row],[PEG]],Table1016[#All],2,FALSE)</f>
        <v>#N/A</v>
      </c>
      <c r="D9" s="128"/>
      <c r="E9" s="125" t="e">
        <f>VLOOKUP(Table25755252691013434446474849565758596315181719224566677172737476777879939495100104109[[#This Row],[PEG]],Table1016[#All],3,FALSE)</f>
        <v>#N/A</v>
      </c>
    </row>
    <row r="10" spans="1:5" x14ac:dyDescent="0.35">
      <c r="A10" s="118">
        <v>3</v>
      </c>
      <c r="B10" s="114" t="s">
        <v>115</v>
      </c>
      <c r="C10" s="109" t="e">
        <f>VLOOKUP(Table25755252691013434446474849565758596315181719224566677172737476777879939495100104109[[#This Row],[PEG]],Table1016[#All],2,FALSE)</f>
        <v>#N/A</v>
      </c>
      <c r="D10" s="128"/>
      <c r="E10" s="125" t="e">
        <f>VLOOKUP(Table25755252691013434446474849565758596315181719224566677172737476777879939495100104109[[#This Row],[PEG]],Table1016[#All],3,FALSE)</f>
        <v>#N/A</v>
      </c>
    </row>
    <row r="11" spans="1:5" x14ac:dyDescent="0.35">
      <c r="A11" s="118">
        <v>4</v>
      </c>
      <c r="B11" s="114" t="s">
        <v>115</v>
      </c>
      <c r="C11" s="109" t="e">
        <f>VLOOKUP(Table25755252691013434446474849565758596315181719224566677172737476777879939495100104109[[#This Row],[PEG]],Table1016[#All],2,FALSE)</f>
        <v>#N/A</v>
      </c>
      <c r="D11" s="128"/>
      <c r="E11" s="125" t="e">
        <f>VLOOKUP(Table25755252691013434446474849565758596315181719224566677172737476777879939495100104109[[#This Row],[PEG]],Table1016[#All],3,FALSE)</f>
        <v>#N/A</v>
      </c>
    </row>
    <row r="12" spans="1:5" x14ac:dyDescent="0.35">
      <c r="A12" s="118">
        <v>5</v>
      </c>
      <c r="B12" s="114" t="s">
        <v>114</v>
      </c>
      <c r="C12" s="109" t="e">
        <f>VLOOKUP(Table25755252691013434446474849565758596315181719224566677172737476777879939495100104109[[#This Row],[PEG]],Table1016[#All],2,FALSE)</f>
        <v>#N/A</v>
      </c>
      <c r="D12" s="128"/>
      <c r="E12" s="125" t="e">
        <f>VLOOKUP(Table25755252691013434446474849565758596315181719224566677172737476777879939495100104109[[#This Row],[PEG]],Table1016[#All],3,FALSE)</f>
        <v>#N/A</v>
      </c>
    </row>
    <row r="13" spans="1:5" x14ac:dyDescent="0.35">
      <c r="A13" s="118">
        <v>6</v>
      </c>
      <c r="B13" s="114" t="s">
        <v>115</v>
      </c>
      <c r="C13" s="109" t="e">
        <f>VLOOKUP(Table25755252691013434446474849565758596315181719224566677172737476777879939495100104109[[#This Row],[PEG]],Table1016[#All],2,FALSE)</f>
        <v>#N/A</v>
      </c>
      <c r="D13" s="128"/>
      <c r="E13" s="125" t="e">
        <f>VLOOKUP(Table25755252691013434446474849565758596315181719224566677172737476777879939495100104109[[#This Row],[PEG]],Table1016[#All],3,FALSE)</f>
        <v>#N/A</v>
      </c>
    </row>
    <row r="14" spans="1:5" x14ac:dyDescent="0.35">
      <c r="A14" s="118">
        <v>7</v>
      </c>
      <c r="B14" s="114" t="s">
        <v>114</v>
      </c>
      <c r="C14" s="109" t="e">
        <f>VLOOKUP(Table25755252691013434446474849565758596315181719224566677172737476777879939495100104109[[#This Row],[PEG]],Table1016[#All],2,FALSE)</f>
        <v>#N/A</v>
      </c>
      <c r="D14" s="128"/>
      <c r="E14" s="125" t="e">
        <f>VLOOKUP(Table25755252691013434446474849565758596315181719224566677172737476777879939495100104109[[#This Row],[PEG]],Table1016[#All],3,FALSE)</f>
        <v>#N/A</v>
      </c>
    </row>
    <row r="15" spans="1:5" x14ac:dyDescent="0.35">
      <c r="A15" s="118">
        <v>8</v>
      </c>
      <c r="B15" s="114" t="s">
        <v>115</v>
      </c>
      <c r="C15" s="109" t="e">
        <f>VLOOKUP(Table25755252691013434446474849565758596315181719224566677172737476777879939495100104109[[#This Row],[PEG]],Table1016[#All],2,FALSE)</f>
        <v>#N/A</v>
      </c>
      <c r="D15" s="116"/>
      <c r="E15" s="125" t="e">
        <f>VLOOKUP(Table25755252691013434446474849565758596315181719224566677172737476777879939495100104109[[#This Row],[PEG]],Table1016[#All],3,FALSE)</f>
        <v>#N/A</v>
      </c>
    </row>
    <row r="16" spans="1:5" x14ac:dyDescent="0.35">
      <c r="A16" s="118">
        <v>9</v>
      </c>
      <c r="B16" s="114" t="s">
        <v>12</v>
      </c>
      <c r="C16" s="109" t="e">
        <f>VLOOKUP(Table25755252691013434446474849565758596315181719224566677172737476777879939495100104109[[#This Row],[PEG]],Table1016[#All],2,FALSE)</f>
        <v>#N/A</v>
      </c>
      <c r="D16" s="116"/>
      <c r="E16" s="125" t="e">
        <f>VLOOKUP(Table25755252691013434446474849565758596315181719224566677172737476777879939495100104109[[#This Row],[PEG]],Table1016[#All],3,FALSE)</f>
        <v>#N/A</v>
      </c>
    </row>
    <row r="17" spans="1:5" x14ac:dyDescent="0.35">
      <c r="A17" s="118">
        <v>10</v>
      </c>
      <c r="B17" s="114" t="s">
        <v>12</v>
      </c>
      <c r="C17" s="109" t="e">
        <f>VLOOKUP(Table25755252691013434446474849565758596315181719224566677172737476777879939495100104109[[#This Row],[PEG]],Table1016[#All],2,FALSE)</f>
        <v>#N/A</v>
      </c>
      <c r="D17" s="117"/>
      <c r="E17" s="125" t="e">
        <f>VLOOKUP(Table25755252691013434446474849565758596315181719224566677172737476777879939495100104109[[#This Row],[PEG]],Table1016[#All],3,FALSE)</f>
        <v>#N/A</v>
      </c>
    </row>
    <row r="18" spans="1:5" x14ac:dyDescent="0.35">
      <c r="A18" s="118">
        <v>11</v>
      </c>
      <c r="B18" s="114" t="s">
        <v>115</v>
      </c>
      <c r="C18" s="109" t="e">
        <f>VLOOKUP(Table25755252691013434446474849565758596315181719224566677172737476777879939495100104109[[#This Row],[PEG]],Table1016[#All],2,FALSE)</f>
        <v>#N/A</v>
      </c>
      <c r="D18" s="117"/>
      <c r="E18" s="125" t="e">
        <f>VLOOKUP(Table25755252691013434446474849565758596315181719224566677172737476777879939495100104109[[#This Row],[PEG]],Table1016[#All],3,FALSE)</f>
        <v>#N/A</v>
      </c>
    </row>
    <row r="19" spans="1:5" x14ac:dyDescent="0.35">
      <c r="A19" s="118">
        <v>12</v>
      </c>
      <c r="B19" s="114" t="s">
        <v>115</v>
      </c>
      <c r="C19" s="109" t="e">
        <f>VLOOKUP(Table25755252691013434446474849565758596315181719224566677172737476777879939495100104109[[#This Row],[PEG]],Table1016[#All],2,FALSE)</f>
        <v>#N/A</v>
      </c>
      <c r="D19" s="117"/>
      <c r="E19" s="125" t="e">
        <f>VLOOKUP(Table25755252691013434446474849565758596315181719224566677172737476777879939495100104109[[#This Row],[PEG]],Table1016[#All],3,FALSE)</f>
        <v>#N/A</v>
      </c>
    </row>
    <row r="20" spans="1:5" x14ac:dyDescent="0.35">
      <c r="A20" s="118">
        <v>13</v>
      </c>
      <c r="B20" s="114" t="s">
        <v>114</v>
      </c>
      <c r="C20" s="109" t="e">
        <f>VLOOKUP(Table25755252691013434446474849565758596315181719224566677172737476777879939495100104109[[#This Row],[PEG]],Table1016[#All],2,FALSE)</f>
        <v>#N/A</v>
      </c>
      <c r="D20" s="117"/>
      <c r="E20" s="125" t="e">
        <f>VLOOKUP(Table25755252691013434446474849565758596315181719224566677172737476777879939495100104109[[#This Row],[PEG]],Table1016[#All],3,FALSE)</f>
        <v>#N/A</v>
      </c>
    </row>
    <row r="21" spans="1:5" x14ac:dyDescent="0.35">
      <c r="A21" s="118">
        <v>14</v>
      </c>
      <c r="B21" s="114" t="s">
        <v>12</v>
      </c>
      <c r="C21" s="109" t="e">
        <f>VLOOKUP(Table25755252691013434446474849565758596315181719224566677172737476777879939495100104109[[#This Row],[PEG]],Table1016[#All],2,FALSE)</f>
        <v>#N/A</v>
      </c>
      <c r="D21" s="117"/>
      <c r="E21" s="125" t="e">
        <f>VLOOKUP(Table25755252691013434446474849565758596315181719224566677172737476777879939495100104109[[#This Row],[PEG]],Table1016[#All],3,FALSE)</f>
        <v>#N/A</v>
      </c>
    </row>
    <row r="22" spans="1:5" x14ac:dyDescent="0.35">
      <c r="A22" s="118">
        <v>15</v>
      </c>
      <c r="B22" s="114" t="s">
        <v>12</v>
      </c>
      <c r="C22" s="109" t="e">
        <f>VLOOKUP(Table25755252691013434446474849565758596315181719224566677172737476777879939495100104109[[#This Row],[PEG]],Table1016[#All],2,FALSE)</f>
        <v>#N/A</v>
      </c>
      <c r="D22" s="117"/>
      <c r="E22" s="125" t="e">
        <f>VLOOKUP(Table25755252691013434446474849565758596315181719224566677172737476777879939495100104109[[#This Row],[PEG]],Table1016[#All],3,FALSE)</f>
        <v>#N/A</v>
      </c>
    </row>
    <row r="23" spans="1:5" x14ac:dyDescent="0.35">
      <c r="A23" s="118">
        <v>16</v>
      </c>
      <c r="B23" s="114" t="s">
        <v>115</v>
      </c>
      <c r="C23" s="109" t="e">
        <f>VLOOKUP(Table25755252691013434446474849565758596315181719224566677172737476777879939495100104109[[#This Row],[PEG]],Table1016[#All],2,FALSE)</f>
        <v>#N/A</v>
      </c>
      <c r="D23" s="117"/>
      <c r="E23" s="125" t="e">
        <f>VLOOKUP(Table25755252691013434446474849565758596315181719224566677172737476777879939495100104109[[#This Row],[PEG]],Table1016[#All],3,FALSE)</f>
        <v>#N/A</v>
      </c>
    </row>
    <row r="24" spans="1:5" x14ac:dyDescent="0.35">
      <c r="A24" s="118">
        <v>17</v>
      </c>
      <c r="B24" s="114" t="s">
        <v>114</v>
      </c>
      <c r="C24" s="109" t="e">
        <f>VLOOKUP(Table25755252691013434446474849565758596315181719224566677172737476777879939495100104109[[#This Row],[PEG]],Table1016[#All],2,FALSE)</f>
        <v>#N/A</v>
      </c>
      <c r="D24" s="117"/>
      <c r="E24" s="125" t="e">
        <f>VLOOKUP(Table25755252691013434446474849565758596315181719224566677172737476777879939495100104109[[#This Row],[PEG]],Table1016[#All],3,FALSE)</f>
        <v>#N/A</v>
      </c>
    </row>
    <row r="25" spans="1:5" x14ac:dyDescent="0.35">
      <c r="A25" s="118">
        <v>18</v>
      </c>
      <c r="B25" s="114" t="s">
        <v>12</v>
      </c>
      <c r="C25" s="109" t="e">
        <f>VLOOKUP(Table25755252691013434446474849565758596315181719224566677172737476777879939495100104109[[#This Row],[PEG]],Table1016[#All],2,FALSE)</f>
        <v>#N/A</v>
      </c>
      <c r="D25" s="117"/>
      <c r="E25" s="125" t="e">
        <f>VLOOKUP(Table25755252691013434446474849565758596315181719224566677172737476777879939495100104109[[#This Row],[PEG]],Table1016[#All],3,FALSE)</f>
        <v>#N/A</v>
      </c>
    </row>
    <row r="26" spans="1:5" x14ac:dyDescent="0.35">
      <c r="A26" s="118">
        <v>19</v>
      </c>
      <c r="B26" s="114" t="s">
        <v>12</v>
      </c>
      <c r="C26" s="109" t="e">
        <f>VLOOKUP(Table25755252691013434446474849565758596315181719224566677172737476777879939495100104109[[#This Row],[PEG]],Table1016[#All],2,FALSE)</f>
        <v>#N/A</v>
      </c>
      <c r="D26" s="117"/>
      <c r="E26" s="125" t="e">
        <f>VLOOKUP(Table25755252691013434446474849565758596315181719224566677172737476777879939495100104109[[#This Row],[PEG]],Table1016[#All],3,FALSE)</f>
        <v>#N/A</v>
      </c>
    </row>
    <row r="27" spans="1:5" x14ac:dyDescent="0.35">
      <c r="A27" s="118">
        <v>20</v>
      </c>
      <c r="B27" s="114" t="s">
        <v>115</v>
      </c>
      <c r="C27" s="109" t="e">
        <f>VLOOKUP(Table25755252691013434446474849565758596315181719224566677172737476777879939495100104109[[#This Row],[PEG]],Table1016[#All],2,FALSE)</f>
        <v>#N/A</v>
      </c>
      <c r="D27" s="117"/>
      <c r="E27" s="125" t="e">
        <f>VLOOKUP(Table25755252691013434446474849565758596315181719224566677172737476777879939495100104109[[#This Row],[PEG]],Table1016[#All],3,FALSE)</f>
        <v>#N/A</v>
      </c>
    </row>
    <row r="28" spans="1:5" x14ac:dyDescent="0.35">
      <c r="A28" s="118">
        <v>21</v>
      </c>
      <c r="B28" s="114" t="s">
        <v>114</v>
      </c>
      <c r="C28" s="109" t="e">
        <f>VLOOKUP(Table25755252691013434446474849565758596315181719224566677172737476777879939495100104109[[#This Row],[PEG]],Table1016[#All],2,FALSE)</f>
        <v>#N/A</v>
      </c>
      <c r="D28" s="117"/>
      <c r="E28" s="125" t="e">
        <f>VLOOKUP(Table25755252691013434446474849565758596315181719224566677172737476777879939495100104109[[#This Row],[PEG]],Table1016[#All],3,FALSE)</f>
        <v>#N/A</v>
      </c>
    </row>
    <row r="29" spans="1:5" x14ac:dyDescent="0.35">
      <c r="A29" s="118">
        <v>22</v>
      </c>
      <c r="B29" s="114" t="s">
        <v>12</v>
      </c>
      <c r="C29" s="109" t="e">
        <f>VLOOKUP(Table25755252691013434446474849565758596315181719224566677172737476777879939495100104109[[#This Row],[PEG]],Table1016[#All],2,FALSE)</f>
        <v>#N/A</v>
      </c>
      <c r="D29" s="117"/>
      <c r="E29" s="125" t="e">
        <f>VLOOKUP(Table25755252691013434446474849565758596315181719224566677172737476777879939495100104109[[#This Row],[PEG]],Table1016[#All],3,FALSE)</f>
        <v>#N/A</v>
      </c>
    </row>
    <row r="30" spans="1:5" x14ac:dyDescent="0.35">
      <c r="A30" s="118">
        <v>23</v>
      </c>
      <c r="B30" s="114" t="s">
        <v>12</v>
      </c>
      <c r="C30" s="109" t="e">
        <f>VLOOKUP(Table25755252691013434446474849565758596315181719224566677172737476777879939495100104109[[#This Row],[PEG]],Table1016[#All],2,FALSE)</f>
        <v>#N/A</v>
      </c>
      <c r="D30" s="117"/>
      <c r="E30" s="125" t="e">
        <f>VLOOKUP(Table25755252691013434446474849565758596315181719224566677172737476777879939495100104109[[#This Row],[PEG]],Table1016[#All],3,FALSE)</f>
        <v>#N/A</v>
      </c>
    </row>
    <row r="31" spans="1:5" x14ac:dyDescent="0.35">
      <c r="A31" s="118">
        <v>24</v>
      </c>
      <c r="B31" s="114" t="s">
        <v>115</v>
      </c>
      <c r="C31" s="109" t="e">
        <f>VLOOKUP(Table25755252691013434446474849565758596315181719224566677172737476777879939495100104109[[#This Row],[PEG]],Table1016[#All],2,FALSE)</f>
        <v>#N/A</v>
      </c>
      <c r="D31" s="117"/>
      <c r="E31" s="125" t="e">
        <f>VLOOKUP(Table25755252691013434446474849565758596315181719224566677172737476777879939495100104109[[#This Row],[PEG]],Table1016[#All],3,FALSE)</f>
        <v>#N/A</v>
      </c>
    </row>
    <row r="32" spans="1:5" x14ac:dyDescent="0.35">
      <c r="A32" s="118">
        <v>25</v>
      </c>
      <c r="B32" s="114" t="s">
        <v>115</v>
      </c>
      <c r="C32" s="109" t="e">
        <f>VLOOKUP(Table25755252691013434446474849565758596315181719224566677172737476777879939495100104109[[#This Row],[PEG]],Table1016[#All],2,FALSE)</f>
        <v>#N/A</v>
      </c>
      <c r="D32" s="117"/>
      <c r="E32" s="125" t="e">
        <f>VLOOKUP(Table25755252691013434446474849565758596315181719224566677172737476777879939495100104109[[#This Row],[PEG]],Table1016[#All],3,FALSE)</f>
        <v>#N/A</v>
      </c>
    </row>
    <row r="33" spans="1:5" x14ac:dyDescent="0.35">
      <c r="A33" s="118">
        <v>26</v>
      </c>
      <c r="B33" s="114" t="s">
        <v>124</v>
      </c>
      <c r="C33" s="109" t="e">
        <f>VLOOKUP(Table25755252691013434446474849565758596315181719224566677172737476777879939495100104109[[#This Row],[PEG]],Table1016[#All],2,FALSE)</f>
        <v>#N/A</v>
      </c>
      <c r="D33" s="117"/>
      <c r="E33" s="125" t="e">
        <f>VLOOKUP(Table25755252691013434446474849565758596315181719224566677172737476777879939495100104109[[#This Row],[PEG]],Table1016[#All],3,FALSE)</f>
        <v>#N/A</v>
      </c>
    </row>
    <row r="34" spans="1:5" x14ac:dyDescent="0.35">
      <c r="A34" s="118">
        <v>27</v>
      </c>
      <c r="B34" s="114" t="s">
        <v>115</v>
      </c>
      <c r="C34" s="109" t="e">
        <f>VLOOKUP(Table25755252691013434446474849565758596315181719224566677172737476777879939495100104109[[#This Row],[PEG]],Table1016[#All],2,FALSE)</f>
        <v>#N/A</v>
      </c>
      <c r="D34" s="117"/>
      <c r="E34" s="125" t="e">
        <f>VLOOKUP(Table25755252691013434446474849565758596315181719224566677172737476777879939495100104109[[#This Row],[PEG]],Table1016[#All],3,FALSE)</f>
        <v>#N/A</v>
      </c>
    </row>
    <row r="35" spans="1:5" x14ac:dyDescent="0.35">
      <c r="A35" s="118">
        <v>28</v>
      </c>
      <c r="B35" s="114" t="s">
        <v>124</v>
      </c>
      <c r="C35" s="109" t="e">
        <f>VLOOKUP(Table25755252691013434446474849565758596315181719224566677172737476777879939495100104109[[#This Row],[PEG]],Table1016[#All],2,FALSE)</f>
        <v>#N/A</v>
      </c>
      <c r="D35" s="117"/>
      <c r="E35" s="125" t="e">
        <f>VLOOKUP(Table25755252691013434446474849565758596315181719224566677172737476777879939495100104109[[#This Row],[PEG]],Table1016[#All],3,FALSE)</f>
        <v>#N/A</v>
      </c>
    </row>
    <row r="36" spans="1:5" x14ac:dyDescent="0.35">
      <c r="A36" s="118">
        <v>29</v>
      </c>
      <c r="B36" s="114" t="s">
        <v>115</v>
      </c>
      <c r="C36" s="109" t="e">
        <f>VLOOKUP(Table25755252691013434446474849565758596315181719224566677172737476777879939495100104109[[#This Row],[PEG]],Table1016[#All],2,FALSE)</f>
        <v>#N/A</v>
      </c>
      <c r="D36" s="117"/>
      <c r="E36" s="125" t="e">
        <f>VLOOKUP(Table25755252691013434446474849565758596315181719224566677172737476777879939495100104109[[#This Row],[PEG]],Table1016[#All],3,FALSE)</f>
        <v>#N/A</v>
      </c>
    </row>
    <row r="37" spans="1:5" x14ac:dyDescent="0.35">
      <c r="A37" s="118">
        <v>30</v>
      </c>
      <c r="B37" s="114" t="s">
        <v>12</v>
      </c>
      <c r="C37" s="109" t="e">
        <f>VLOOKUP(Table25755252691013434446474849565758596315181719224566677172737476777879939495100104109[[#This Row],[PEG]],Table1016[#All],2,FALSE)</f>
        <v>#N/A</v>
      </c>
      <c r="D37" s="117"/>
      <c r="E37" s="125" t="e">
        <f>VLOOKUP(Table25755252691013434446474849565758596315181719224566677172737476777879939495100104109[[#This Row],[PEG]],Table1016[#All],3,FALSE)</f>
        <v>#N/A</v>
      </c>
    </row>
    <row r="38" spans="1:5" x14ac:dyDescent="0.35">
      <c r="A38" s="118">
        <v>31</v>
      </c>
      <c r="B38" s="114" t="s">
        <v>12</v>
      </c>
      <c r="C38" s="109" t="e">
        <f>VLOOKUP(Table25755252691013434446474849565758596315181719224566677172737476777879939495100104109[[#This Row],[PEG]],Table1016[#All],2,FALSE)</f>
        <v>#N/A</v>
      </c>
      <c r="D38" s="117"/>
      <c r="E38" s="125" t="e">
        <f>VLOOKUP(Table25755252691013434446474849565758596315181719224566677172737476777879939495100104109[[#This Row],[PEG]],Table1016[#All],3,FALSE)</f>
        <v>#N/A</v>
      </c>
    </row>
    <row r="39" spans="1:5" x14ac:dyDescent="0.35">
      <c r="A39" s="118">
        <v>32</v>
      </c>
      <c r="B39" s="114" t="s">
        <v>12</v>
      </c>
      <c r="C39" s="109" t="e">
        <f>VLOOKUP(Table25755252691013434446474849565758596315181719224566677172737476777879939495100104109[[#This Row],[PEG]],Table1016[#All],2,FALSE)</f>
        <v>#N/A</v>
      </c>
      <c r="D39" s="117"/>
      <c r="E39" s="125" t="e">
        <f>VLOOKUP(Table25755252691013434446474849565758596315181719224566677172737476777879939495100104109[[#This Row],[PEG]],Table1016[#All],3,FALSE)</f>
        <v>#N/A</v>
      </c>
    </row>
    <row r="40" spans="1:5" x14ac:dyDescent="0.35">
      <c r="A40" s="118">
        <v>33</v>
      </c>
      <c r="B40" s="114" t="s">
        <v>12</v>
      </c>
      <c r="C40" s="109" t="e">
        <f>VLOOKUP(Table25755252691013434446474849565758596315181719224566677172737476777879939495100104109[[#This Row],[PEG]],Table1016[#All],2,FALSE)</f>
        <v>#N/A</v>
      </c>
      <c r="D40" s="117"/>
      <c r="E40" s="125" t="e">
        <f>VLOOKUP(Table25755252691013434446474849565758596315181719224566677172737476777879939495100104109[[#This Row],[PEG]],Table1016[#All],3,FALSE)</f>
        <v>#N/A</v>
      </c>
    </row>
    <row r="41" spans="1:5" x14ac:dyDescent="0.35">
      <c r="A41" s="118">
        <v>34</v>
      </c>
      <c r="B41" s="114" t="s">
        <v>115</v>
      </c>
      <c r="C41" s="109" t="e">
        <f>VLOOKUP(Table25755252691013434446474849565758596315181719224566677172737476777879939495100104109[[#This Row],[PEG]],Table1016[#All],2,FALSE)</f>
        <v>#N/A</v>
      </c>
      <c r="D41" s="117"/>
      <c r="E41" s="125" t="e">
        <f>VLOOKUP(Table25755252691013434446474849565758596315181719224566677172737476777879939495100104109[[#This Row],[PEG]],Table1016[#All],3,FALSE)</f>
        <v>#N/A</v>
      </c>
    </row>
    <row r="42" spans="1:5" x14ac:dyDescent="0.35">
      <c r="A42" s="118">
        <v>35</v>
      </c>
      <c r="B42" s="114" t="s">
        <v>13</v>
      </c>
      <c r="C42" s="18" t="s">
        <v>13</v>
      </c>
      <c r="D42" s="115"/>
      <c r="E42" s="32"/>
    </row>
  </sheetData>
  <mergeCells count="1">
    <mergeCell ref="A1:B1"/>
  </mergeCells>
  <conditionalFormatting sqref="B8:B18">
    <cfRule type="containsText" dxfId="4279" priority="1" operator="containsText" text="Hear">
      <formula>NOT(ISERROR(SEARCH("Hear",B8)))</formula>
    </cfRule>
  </conditionalFormatting>
  <conditionalFormatting sqref="B36:B38 B40:B41">
    <cfRule type="containsText" dxfId="4278" priority="3" operator="containsText" text="Hear">
      <formula>NOT(ISERROR(SEARCH("Hear",B36)))</formula>
    </cfRule>
  </conditionalFormatting>
  <conditionalFormatting sqref="B19:B29 B31:B35 B42">
    <cfRule type="containsText" dxfId="4277" priority="7" operator="containsText" text="Hear">
      <formula>NOT(ISERROR(SEARCH("Hear",B19)))</formula>
    </cfRule>
  </conditionalFormatting>
  <conditionalFormatting sqref="E42">
    <cfRule type="containsText" dxfId="4276" priority="5" operator="containsText" text="WEB SERVICE">
      <formula>NOT(ISERROR(SEARCH("WEB SERVICE",E42)))</formula>
    </cfRule>
    <cfRule type="containsText" dxfId="4275" priority="6" operator="containsText" text="DB">
      <formula>NOT(ISERROR(SEARCH("DB",E42)))</formula>
    </cfRule>
  </conditionalFormatting>
  <conditionalFormatting sqref="C42">
    <cfRule type="expression" dxfId="4274" priority="8">
      <formula>$B42="Dial"</formula>
    </cfRule>
    <cfRule type="expression" dxfId="4273" priority="10">
      <formula>$B42="HANGUP"</formula>
    </cfRule>
  </conditionalFormatting>
  <conditionalFormatting sqref="C42">
    <cfRule type="expression" dxfId="4272" priority="2">
      <formula>$B42="Speak"</formula>
    </cfRule>
  </conditionalFormatting>
  <conditionalFormatting sqref="B30">
    <cfRule type="containsText" dxfId="4271" priority="4" operator="containsText" text="Hear">
      <formula>NOT(ISERROR(SEARCH("Hear",B30)))</formula>
    </cfRule>
  </conditionalFormatting>
  <hyperlinks>
    <hyperlink ref="A1" location="'Test Case Overview'!A1" display="Return to Test Case Overview" xr:uid="{21AEEFC6-1569-41D2-9733-9C95A56EC7D0}"/>
  </hyperlinks>
  <pageMargins left="0.7" right="0.7" top="0.75" bottom="0.75" header="0.3" footer="0.3"/>
  <pageSetup orientation="portrait" verticalDpi="0" r:id="rId1"/>
  <tableParts count="1">
    <tablePart r:id="rId2"/>
  </tableParts>
  <extLst>
    <ext xmlns:x14="http://schemas.microsoft.com/office/spreadsheetml/2009/9/main" uri="{78C0D931-6437-407d-A8EE-F0AAD7539E65}">
      <x14:conditionalFormattings>
        <x14:conditionalFormatting xmlns:xm="http://schemas.microsoft.com/office/excel/2006/main">
          <x14:cfRule type="expression" priority="11" id="{0A44A892-06E1-4743-95D2-654CD21BD019}">
            <xm:f>'TC1'!$B8="HANGUP"</xm:f>
            <x14:dxf>
              <font>
                <b/>
                <i val="0"/>
              </font>
            </x14:dxf>
          </x14:cfRule>
          <x14:cfRule type="expression" priority="12" id="{646FFF0A-D402-43B3-BB25-9863F116B4C7}">
            <xm:f>'TC1'!$B8="Dial"</xm:f>
            <x14:dxf>
              <font>
                <b/>
                <i val="0"/>
                <color rgb="FFFF0000"/>
              </font>
            </x14:dxf>
          </x14:cfRule>
          <xm:sqref>C8</xm:sqref>
        </x14:conditionalFormatting>
        <x14:conditionalFormatting xmlns:xm="http://schemas.microsoft.com/office/excel/2006/main">
          <x14:cfRule type="expression" priority="13" id="{0EECE191-332B-4255-9925-6466EBEE3E9C}">
            <xm:f>'TC1'!$B8="Speak"</xm:f>
            <x14:dxf>
              <font>
                <b/>
                <i val="0"/>
                <color rgb="FFFF0000"/>
              </font>
            </x14:dxf>
          </x14:cfRule>
          <xm:sqref>C8</xm:sqref>
        </x14:conditionalFormatting>
        <x14:conditionalFormatting xmlns:xm="http://schemas.microsoft.com/office/excel/2006/main">
          <x14:cfRule type="containsText" priority="16" operator="containsText" text="Hear" id="{44C0018F-AF09-45CA-9547-AE4D562B17D0}">
            <xm:f>NOT(ISERROR(SEARCH("Hear",'TC3'!B34)))</xm:f>
            <x14:dxf>
              <font>
                <color theme="9" tint="-0.24994659260841701"/>
              </font>
              <fill>
                <patternFill>
                  <bgColor theme="9" tint="0.59996337778862885"/>
                </patternFill>
              </fill>
            </x14:dxf>
          </x14:cfRule>
          <xm:sqref>B41</xm:sqref>
        </x14:conditionalFormatting>
        <x14:conditionalFormatting xmlns:xm="http://schemas.microsoft.com/office/excel/2006/main">
          <x14:cfRule type="expression" priority="1483" id="{0A44A892-06E1-4743-95D2-654CD21BD019}">
            <xm:f>'TC1'!$B16="HANGUP"</xm:f>
            <x14:dxf>
              <font>
                <b/>
                <i val="0"/>
              </font>
            </x14:dxf>
          </x14:cfRule>
          <x14:cfRule type="expression" priority="1484" id="{646FFF0A-D402-43B3-BB25-9863F116B4C7}">
            <xm:f>'TC1'!$B16="Dial"</xm:f>
            <x14:dxf>
              <font>
                <b/>
                <i val="0"/>
                <color rgb="FFFF0000"/>
              </font>
            </x14:dxf>
          </x14:cfRule>
          <xm:sqref>C34:C41</xm:sqref>
        </x14:conditionalFormatting>
        <x14:conditionalFormatting xmlns:xm="http://schemas.microsoft.com/office/excel/2006/main">
          <x14:cfRule type="expression" priority="1485" id="{0A44A892-06E1-4743-95D2-654CD21BD019}">
            <xm:f>'TC1'!#REF!="HANGUP"</xm:f>
            <x14:dxf>
              <font>
                <b/>
                <i val="0"/>
              </font>
            </x14:dxf>
          </x14:cfRule>
          <x14:cfRule type="expression" priority="1486" id="{646FFF0A-D402-43B3-BB25-9863F116B4C7}">
            <xm:f>'TC1'!#REF!="Dial"</xm:f>
            <x14:dxf>
              <font>
                <b/>
                <i val="0"/>
                <color rgb="FFFF0000"/>
              </font>
            </x14:dxf>
          </x14:cfRule>
          <xm:sqref>C17:C33</xm:sqref>
        </x14:conditionalFormatting>
        <x14:conditionalFormatting xmlns:xm="http://schemas.microsoft.com/office/excel/2006/main">
          <x14:cfRule type="expression" priority="1490" id="{0EECE191-332B-4255-9925-6466EBEE3E9C}">
            <xm:f>'TC1'!$B16="Speak"</xm:f>
            <x14:dxf>
              <font>
                <b/>
                <i val="0"/>
                <color rgb="FFFF0000"/>
              </font>
            </x14:dxf>
          </x14:cfRule>
          <xm:sqref>C34:C41</xm:sqref>
        </x14:conditionalFormatting>
        <x14:conditionalFormatting xmlns:xm="http://schemas.microsoft.com/office/excel/2006/main">
          <x14:cfRule type="expression" priority="1491" id="{0EECE191-332B-4255-9925-6466EBEE3E9C}">
            <xm:f>'TC1'!#REF!="Speak"</xm:f>
            <x14:dxf>
              <font>
                <b/>
                <i val="0"/>
                <color rgb="FFFF0000"/>
              </font>
            </x14:dxf>
          </x14:cfRule>
          <xm:sqref>C17:C33</xm:sqref>
        </x14:conditionalFormatting>
        <x14:conditionalFormatting xmlns:xm="http://schemas.microsoft.com/office/excel/2006/main">
          <x14:cfRule type="containsText" priority="1495" operator="containsText" text="DB" id="{C2150B14-A0B4-4B5C-B8EF-AD41E761FD9F}">
            <xm:f>NOT(ISERROR(SEARCH("DB",'TC1'!E16)))</xm:f>
            <x14:dxf>
              <font>
                <color rgb="FF006100"/>
              </font>
              <fill>
                <patternFill>
                  <bgColor rgb="FFC6EFCE"/>
                </patternFill>
              </fill>
            </x14:dxf>
          </x14:cfRule>
          <x14:cfRule type="containsText" priority="1496" operator="containsText" text="WEB SERVICE" id="{F1DFDE55-BEDA-4707-9854-9AC97909BC25}">
            <xm:f>NOT(ISERROR(SEARCH("WEB SERVICE",'TC1'!E16)))</xm:f>
            <x14:dxf>
              <font>
                <color rgb="FF9C0006"/>
              </font>
              <fill>
                <patternFill>
                  <bgColor rgb="FFFFC7CE"/>
                </patternFill>
              </fill>
            </x14:dxf>
          </x14:cfRule>
          <xm:sqref>E34:E41</xm:sqref>
        </x14:conditionalFormatting>
        <x14:conditionalFormatting xmlns:xm="http://schemas.microsoft.com/office/excel/2006/main">
          <x14:cfRule type="containsText" priority="1497" operator="containsText" text="DB" id="{C2150B14-A0B4-4B5C-B8EF-AD41E761FD9F}">
            <xm:f>NOT(ISERROR(SEARCH("DB",'TC1'!#REF!)))</xm:f>
            <x14:dxf>
              <font>
                <color rgb="FF006100"/>
              </font>
              <fill>
                <patternFill>
                  <bgColor rgb="FFC6EFCE"/>
                </patternFill>
              </fill>
            </x14:dxf>
          </x14:cfRule>
          <x14:cfRule type="containsText" priority="1498" operator="containsText" text="WEB SERVICE" id="{F1DFDE55-BEDA-4707-9854-9AC97909BC25}">
            <xm:f>NOT(ISERROR(SEARCH("WEB SERVICE",'TC1'!#REF!)))</xm:f>
            <x14:dxf>
              <font>
                <color rgb="FF9C0006"/>
              </font>
              <fill>
                <patternFill>
                  <bgColor rgb="FFFFC7CE"/>
                </patternFill>
              </fill>
            </x14:dxf>
          </x14:cfRule>
          <xm:sqref>E17:E33</xm:sqref>
        </x14:conditionalFormatting>
        <x14:conditionalFormatting xmlns:xm="http://schemas.microsoft.com/office/excel/2006/main">
          <x14:cfRule type="expression" priority="4273" id="{0A44A892-06E1-4743-95D2-654CD21BD019}">
            <xm:f>'TC1'!$B9="HANGUP"</xm:f>
            <x14:dxf>
              <font>
                <b/>
                <i val="0"/>
              </font>
            </x14:dxf>
          </x14:cfRule>
          <x14:cfRule type="expression" priority="4274" id="{646FFF0A-D402-43B3-BB25-9863F116B4C7}">
            <xm:f>'TC1'!$B9="Dial"</xm:f>
            <x14:dxf>
              <font>
                <b/>
                <i val="0"/>
                <color rgb="FFFF0000"/>
              </font>
            </x14:dxf>
          </x14:cfRule>
          <xm:sqref>C12:C15</xm:sqref>
        </x14:conditionalFormatting>
        <x14:conditionalFormatting xmlns:xm="http://schemas.microsoft.com/office/excel/2006/main">
          <x14:cfRule type="expression" priority="4275" id="{0A44A892-06E1-4743-95D2-654CD21BD019}">
            <xm:f>'TC1'!#REF!="HANGUP"</xm:f>
            <x14:dxf>
              <font>
                <b/>
                <i val="0"/>
              </font>
            </x14:dxf>
          </x14:cfRule>
          <x14:cfRule type="expression" priority="4276" id="{646FFF0A-D402-43B3-BB25-9863F116B4C7}">
            <xm:f>'TC1'!#REF!="Dial"</xm:f>
            <x14:dxf>
              <font>
                <b/>
                <i val="0"/>
                <color rgb="FFFF0000"/>
              </font>
            </x14:dxf>
          </x14:cfRule>
          <xm:sqref>C9:C11</xm:sqref>
        </x14:conditionalFormatting>
        <x14:conditionalFormatting xmlns:xm="http://schemas.microsoft.com/office/excel/2006/main">
          <x14:cfRule type="expression" priority="4280" id="{0EECE191-332B-4255-9925-6466EBEE3E9C}">
            <xm:f>'TC1'!$B9="Speak"</xm:f>
            <x14:dxf>
              <font>
                <b/>
                <i val="0"/>
                <color rgb="FFFF0000"/>
              </font>
            </x14:dxf>
          </x14:cfRule>
          <xm:sqref>C12:C15</xm:sqref>
        </x14:conditionalFormatting>
        <x14:conditionalFormatting xmlns:xm="http://schemas.microsoft.com/office/excel/2006/main">
          <x14:cfRule type="expression" priority="4281" id="{0EECE191-332B-4255-9925-6466EBEE3E9C}">
            <xm:f>'TC1'!#REF!="Speak"</xm:f>
            <x14:dxf>
              <font>
                <b/>
                <i val="0"/>
                <color rgb="FFFF0000"/>
              </font>
            </x14:dxf>
          </x14:cfRule>
          <xm:sqref>C9:C11</xm:sqref>
        </x14:conditionalFormatting>
        <x14:conditionalFormatting xmlns:xm="http://schemas.microsoft.com/office/excel/2006/main">
          <x14:cfRule type="containsText" priority="4283" operator="containsText" text="DB" id="{C2150B14-A0B4-4B5C-B8EF-AD41E761FD9F}">
            <xm:f>NOT(ISERROR(SEARCH("DB",'TC1'!#REF!)))</xm:f>
            <x14:dxf>
              <font>
                <color rgb="FF006100"/>
              </font>
              <fill>
                <patternFill>
                  <bgColor rgb="FFC6EFCE"/>
                </patternFill>
              </fill>
            </x14:dxf>
          </x14:cfRule>
          <x14:cfRule type="containsText" priority="4284" operator="containsText" text="WEB SERVICE" id="{F1DFDE55-BEDA-4707-9854-9AC97909BC25}">
            <xm:f>NOT(ISERROR(SEARCH("WEB SERVICE",'TC1'!#REF!)))</xm:f>
            <x14:dxf>
              <font>
                <color rgb="FF9C0006"/>
              </font>
              <fill>
                <patternFill>
                  <bgColor rgb="FFFFC7CE"/>
                </patternFill>
              </fill>
            </x14:dxf>
          </x14:cfRule>
          <xm:sqref>E9:E11</xm:sqref>
        </x14:conditionalFormatting>
        <x14:conditionalFormatting xmlns:xm="http://schemas.microsoft.com/office/excel/2006/main">
          <x14:cfRule type="containsText" priority="4285" operator="containsText" text="DB" id="{C2150B14-A0B4-4B5C-B8EF-AD41E761FD9F}">
            <xm:f>NOT(ISERROR(SEARCH("DB",'TC1'!E9)))</xm:f>
            <x14:dxf>
              <font>
                <color rgb="FF006100"/>
              </font>
              <fill>
                <patternFill>
                  <bgColor rgb="FFC6EFCE"/>
                </patternFill>
              </fill>
            </x14:dxf>
          </x14:cfRule>
          <x14:cfRule type="containsText" priority="4286" operator="containsText" text="WEB SERVICE" id="{F1DFDE55-BEDA-4707-9854-9AC97909BC25}">
            <xm:f>NOT(ISERROR(SEARCH("WEB SERVICE",'TC1'!E9)))</xm:f>
            <x14:dxf>
              <font>
                <color rgb="FF9C0006"/>
              </font>
              <fill>
                <patternFill>
                  <bgColor rgb="FFFFC7CE"/>
                </patternFill>
              </fill>
            </x14:dxf>
          </x14:cfRule>
          <xm:sqref>E12:E15</xm:sqref>
        </x14:conditionalFormatting>
        <x14:conditionalFormatting xmlns:xm="http://schemas.microsoft.com/office/excel/2006/main">
          <x14:cfRule type="expression" priority="6740" id="{0A44A892-06E1-4743-95D2-654CD21BD019}">
            <xm:f>'TC1'!$B15="HANGUP"</xm:f>
            <x14:dxf>
              <font>
                <b/>
                <i val="0"/>
              </font>
            </x14:dxf>
          </x14:cfRule>
          <x14:cfRule type="expression" priority="6741" id="{646FFF0A-D402-43B3-BB25-9863F116B4C7}">
            <xm:f>'TC1'!$B15="Dial"</xm:f>
            <x14:dxf>
              <font>
                <b/>
                <i val="0"/>
                <color rgb="FFFF0000"/>
              </font>
            </x14:dxf>
          </x14:cfRule>
          <xm:sqref>C16</xm:sqref>
        </x14:conditionalFormatting>
        <x14:conditionalFormatting xmlns:xm="http://schemas.microsoft.com/office/excel/2006/main">
          <x14:cfRule type="expression" priority="6743" id="{0EECE191-332B-4255-9925-6466EBEE3E9C}">
            <xm:f>'TC1'!$B15="Speak"</xm:f>
            <x14:dxf>
              <font>
                <b/>
                <i val="0"/>
                <color rgb="FFFF0000"/>
              </font>
            </x14:dxf>
          </x14:cfRule>
          <xm:sqref>C16</xm:sqref>
        </x14:conditionalFormatting>
        <x14:conditionalFormatting xmlns:xm="http://schemas.microsoft.com/office/excel/2006/main">
          <x14:cfRule type="containsText" priority="6746" operator="containsText" text="DB" id="{C2150B14-A0B4-4B5C-B8EF-AD41E761FD9F}">
            <xm:f>NOT(ISERROR(SEARCH("DB",'TC1'!E15)))</xm:f>
            <x14:dxf>
              <font>
                <color rgb="FF006100"/>
              </font>
              <fill>
                <patternFill>
                  <bgColor rgb="FFC6EFCE"/>
                </patternFill>
              </fill>
            </x14:dxf>
          </x14:cfRule>
          <x14:cfRule type="containsText" priority="6747" operator="containsText" text="WEB SERVICE" id="{F1DFDE55-BEDA-4707-9854-9AC97909BC25}">
            <xm:f>NOT(ISERROR(SEARCH("WEB SERVICE",'TC1'!E15)))</xm:f>
            <x14:dxf>
              <font>
                <color rgb="FF9C0006"/>
              </font>
              <fill>
                <patternFill>
                  <bgColor rgb="FFFFC7CE"/>
                </patternFill>
              </fill>
            </x14:dxf>
          </x14:cfRule>
          <xm:sqref>E16</xm:sqref>
        </x14:conditionalFormatting>
        <x14:conditionalFormatting xmlns:xm="http://schemas.microsoft.com/office/excel/2006/main">
          <x14:cfRule type="containsText" priority="9054" operator="containsText" text="Hear" id="{D81EEEFF-6A7A-4549-B1C2-7C57550B4D74}">
            <xm:f>NOT(ISERROR(SEARCH("Hear",'TC26'!#REF!)))</xm:f>
            <x14:dxf>
              <font>
                <color theme="9" tint="-0.24994659260841701"/>
              </font>
              <fill>
                <patternFill>
                  <bgColor theme="9" tint="0.59996337778862885"/>
                </patternFill>
              </fill>
            </x14:dxf>
          </x14:cfRule>
          <xm:sqref>B39</xm:sqref>
        </x14:conditionalFormatting>
      </x14:conditionalFormattings>
    </ext>
  </extLst>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4"/>
  <dimension ref="A1:E42"/>
  <sheetViews>
    <sheetView zoomScaleNormal="100" workbookViewId="0">
      <selection activeCell="A2" sqref="A2"/>
    </sheetView>
  </sheetViews>
  <sheetFormatPr defaultRowHeight="14.5" x14ac:dyDescent="0.35"/>
  <cols>
    <col min="1" max="1" width="14.453125" bestFit="1" customWidth="1"/>
    <col min="2" max="2" width="42.6328125" customWidth="1"/>
    <col min="3" max="3" width="106.1796875" customWidth="1"/>
    <col min="4" max="4" width="21.81640625" bestFit="1" customWidth="1"/>
    <col min="5" max="5" width="20.6328125" customWidth="1"/>
  </cols>
  <sheetData>
    <row r="1" spans="1:5" ht="18.5" x14ac:dyDescent="0.35">
      <c r="A1" s="192" t="s">
        <v>4</v>
      </c>
      <c r="B1" s="192"/>
      <c r="C1" s="105"/>
      <c r="D1" s="111"/>
      <c r="E1" s="97"/>
    </row>
    <row r="2" spans="1:5" x14ac:dyDescent="0.35">
      <c r="A2" s="106" t="s">
        <v>5</v>
      </c>
      <c r="B2" s="107" t="str">
        <f ca="1">MID(CELL("filename",A1),FIND("]",CELL("filename",A1))+1,LEN(CELL("filename",A1))-FIND("]",CELL("filename",A1)))</f>
        <v>TC62</v>
      </c>
      <c r="C2" s="98"/>
      <c r="D2" s="111"/>
      <c r="E2" s="97"/>
    </row>
    <row r="3" spans="1:5" x14ac:dyDescent="0.35">
      <c r="A3" s="104" t="s">
        <v>19</v>
      </c>
      <c r="B3" s="112" t="e">
        <f ca="1">VLOOKUP(B2,Table1[#All],2,FALSE)</f>
        <v>#N/A</v>
      </c>
      <c r="C3" s="98"/>
      <c r="D3" s="111"/>
      <c r="E3" s="97"/>
    </row>
    <row r="4" spans="1:5" ht="29" x14ac:dyDescent="0.35">
      <c r="A4" s="113" t="s">
        <v>20</v>
      </c>
      <c r="B4" s="99" t="e">
        <f ca="1">VLOOKUP(B2,Table1[#All],4,FALSE)</f>
        <v>#N/A</v>
      </c>
      <c r="C4" s="98"/>
      <c r="D4" s="111"/>
      <c r="E4" s="97"/>
    </row>
    <row r="5" spans="1:5" x14ac:dyDescent="0.35">
      <c r="A5" s="104" t="s">
        <v>6</v>
      </c>
      <c r="B5" s="93" t="e">
        <f ca="1">VLOOKUP(B2,Table1[#All],3,FALSE)</f>
        <v>#N/A</v>
      </c>
      <c r="C5" s="98"/>
      <c r="D5" s="111"/>
      <c r="E5" s="97"/>
    </row>
    <row r="6" spans="1:5" x14ac:dyDescent="0.35">
      <c r="A6" s="97"/>
      <c r="B6" s="97"/>
      <c r="C6" s="98"/>
      <c r="D6" s="111"/>
      <c r="E6" s="97"/>
    </row>
    <row r="7" spans="1:5" ht="15.5" x14ac:dyDescent="0.35">
      <c r="A7" s="100" t="s">
        <v>7</v>
      </c>
      <c r="B7" s="101" t="s">
        <v>8</v>
      </c>
      <c r="C7" s="102" t="s">
        <v>9</v>
      </c>
      <c r="D7" s="102" t="s">
        <v>14</v>
      </c>
      <c r="E7" s="103" t="s">
        <v>10</v>
      </c>
    </row>
    <row r="8" spans="1:5" x14ac:dyDescent="0.35">
      <c r="A8" s="118">
        <v>1</v>
      </c>
      <c r="B8" s="114" t="s">
        <v>114</v>
      </c>
      <c r="C8" s="109" t="s">
        <v>125</v>
      </c>
      <c r="D8" s="128"/>
      <c r="E8" s="125" t="s">
        <v>11</v>
      </c>
    </row>
    <row r="9" spans="1:5" x14ac:dyDescent="0.35">
      <c r="A9" s="118">
        <v>2</v>
      </c>
      <c r="B9" s="114" t="s">
        <v>12</v>
      </c>
      <c r="C9" s="109" t="e">
        <f>VLOOKUP(Table25755252691013434446474849565758596315181719224566677172737476777879939495100104109111[[#This Row],[PEG]],Table1016[#All],2,FALSE)</f>
        <v>#N/A</v>
      </c>
      <c r="D9" s="128"/>
      <c r="E9" s="125" t="e">
        <f>VLOOKUP(Table25755252691013434446474849565758596315181719224566677172737476777879939495100104109111[[#This Row],[PEG]],Table1016[#All],3,FALSE)</f>
        <v>#N/A</v>
      </c>
    </row>
    <row r="10" spans="1:5" x14ac:dyDescent="0.35">
      <c r="A10" s="118">
        <v>3</v>
      </c>
      <c r="B10" s="114" t="s">
        <v>115</v>
      </c>
      <c r="C10" s="109" t="e">
        <f>VLOOKUP(Table25755252691013434446474849565758596315181719224566677172737476777879939495100104109111[[#This Row],[PEG]],Table1016[#All],2,FALSE)</f>
        <v>#N/A</v>
      </c>
      <c r="D10" s="128"/>
      <c r="E10" s="125" t="e">
        <f>VLOOKUP(Table25755252691013434446474849565758596315181719224566677172737476777879939495100104109111[[#This Row],[PEG]],Table1016[#All],3,FALSE)</f>
        <v>#N/A</v>
      </c>
    </row>
    <row r="11" spans="1:5" x14ac:dyDescent="0.35">
      <c r="A11" s="118">
        <v>4</v>
      </c>
      <c r="B11" s="114" t="s">
        <v>115</v>
      </c>
      <c r="C11" s="109" t="e">
        <f>VLOOKUP(Table25755252691013434446474849565758596315181719224566677172737476777879939495100104109111[[#This Row],[PEG]],Table1016[#All],2,FALSE)</f>
        <v>#N/A</v>
      </c>
      <c r="D11" s="128"/>
      <c r="E11" s="125" t="e">
        <f>VLOOKUP(Table25755252691013434446474849565758596315181719224566677172737476777879939495100104109111[[#This Row],[PEG]],Table1016[#All],3,FALSE)</f>
        <v>#N/A</v>
      </c>
    </row>
    <row r="12" spans="1:5" x14ac:dyDescent="0.35">
      <c r="A12" s="118">
        <v>5</v>
      </c>
      <c r="B12" s="114" t="s">
        <v>114</v>
      </c>
      <c r="C12" s="109" t="e">
        <f>VLOOKUP(Table25755252691013434446474849565758596315181719224566677172737476777879939495100104109111[[#This Row],[PEG]],Table1016[#All],2,FALSE)</f>
        <v>#N/A</v>
      </c>
      <c r="D12" s="128"/>
      <c r="E12" s="125" t="e">
        <f>VLOOKUP(Table25755252691013434446474849565758596315181719224566677172737476777879939495100104109111[[#This Row],[PEG]],Table1016[#All],3,FALSE)</f>
        <v>#N/A</v>
      </c>
    </row>
    <row r="13" spans="1:5" x14ac:dyDescent="0.35">
      <c r="A13" s="118">
        <v>6</v>
      </c>
      <c r="B13" s="114" t="s">
        <v>115</v>
      </c>
      <c r="C13" s="109" t="e">
        <f>VLOOKUP(Table25755252691013434446474849565758596315181719224566677172737476777879939495100104109111[[#This Row],[PEG]],Table1016[#All],2,FALSE)</f>
        <v>#N/A</v>
      </c>
      <c r="D13" s="128"/>
      <c r="E13" s="125" t="e">
        <f>VLOOKUP(Table25755252691013434446474849565758596315181719224566677172737476777879939495100104109111[[#This Row],[PEG]],Table1016[#All],3,FALSE)</f>
        <v>#N/A</v>
      </c>
    </row>
    <row r="14" spans="1:5" x14ac:dyDescent="0.35">
      <c r="A14" s="118">
        <v>7</v>
      </c>
      <c r="B14" s="114" t="s">
        <v>114</v>
      </c>
      <c r="C14" s="109" t="e">
        <f>VLOOKUP(Table25755252691013434446474849565758596315181719224566677172737476777879939495100104109111[[#This Row],[PEG]],Table1016[#All],2,FALSE)</f>
        <v>#N/A</v>
      </c>
      <c r="D14" s="128"/>
      <c r="E14" s="125" t="e">
        <f>VLOOKUP(Table25755252691013434446474849565758596315181719224566677172737476777879939495100104109111[[#This Row],[PEG]],Table1016[#All],3,FALSE)</f>
        <v>#N/A</v>
      </c>
    </row>
    <row r="15" spans="1:5" x14ac:dyDescent="0.35">
      <c r="A15" s="118">
        <v>8</v>
      </c>
      <c r="B15" s="114" t="s">
        <v>115</v>
      </c>
      <c r="C15" s="109" t="e">
        <f>VLOOKUP(Table25755252691013434446474849565758596315181719224566677172737476777879939495100104109111[[#This Row],[PEG]],Table1016[#All],2,FALSE)</f>
        <v>#N/A</v>
      </c>
      <c r="D15" s="116"/>
      <c r="E15" s="125" t="e">
        <f>VLOOKUP(Table25755252691013434446474849565758596315181719224566677172737476777879939495100104109111[[#This Row],[PEG]],Table1016[#All],3,FALSE)</f>
        <v>#N/A</v>
      </c>
    </row>
    <row r="16" spans="1:5" x14ac:dyDescent="0.35">
      <c r="A16" s="118">
        <v>9</v>
      </c>
      <c r="B16" s="114" t="s">
        <v>12</v>
      </c>
      <c r="C16" s="109" t="e">
        <f>VLOOKUP(Table25755252691013434446474849565758596315181719224566677172737476777879939495100104109111[[#This Row],[PEG]],Table1016[#All],2,FALSE)</f>
        <v>#N/A</v>
      </c>
      <c r="D16" s="116"/>
      <c r="E16" s="125" t="e">
        <f>VLOOKUP(Table25755252691013434446474849565758596315181719224566677172737476777879939495100104109111[[#This Row],[PEG]],Table1016[#All],3,FALSE)</f>
        <v>#N/A</v>
      </c>
    </row>
    <row r="17" spans="1:5" x14ac:dyDescent="0.35">
      <c r="A17" s="118">
        <v>10</v>
      </c>
      <c r="B17" s="114" t="s">
        <v>12</v>
      </c>
      <c r="C17" s="109" t="e">
        <f>VLOOKUP(Table25755252691013434446474849565758596315181719224566677172737476777879939495100104109111[[#This Row],[PEG]],Table1016[#All],2,FALSE)</f>
        <v>#N/A</v>
      </c>
      <c r="D17" s="117"/>
      <c r="E17" s="125" t="e">
        <f>VLOOKUP(Table25755252691013434446474849565758596315181719224566677172737476777879939495100104109111[[#This Row],[PEG]],Table1016[#All],3,FALSE)</f>
        <v>#N/A</v>
      </c>
    </row>
    <row r="18" spans="1:5" x14ac:dyDescent="0.35">
      <c r="A18" s="118">
        <v>11</v>
      </c>
      <c r="B18" s="114" t="s">
        <v>115</v>
      </c>
      <c r="C18" s="109" t="e">
        <f>VLOOKUP(Table25755252691013434446474849565758596315181719224566677172737476777879939495100104109111[[#This Row],[PEG]],Table1016[#All],2,FALSE)</f>
        <v>#N/A</v>
      </c>
      <c r="D18" s="117"/>
      <c r="E18" s="125" t="e">
        <f>VLOOKUP(Table25755252691013434446474849565758596315181719224566677172737476777879939495100104109111[[#This Row],[PEG]],Table1016[#All],3,FALSE)</f>
        <v>#N/A</v>
      </c>
    </row>
    <row r="19" spans="1:5" x14ac:dyDescent="0.35">
      <c r="A19" s="118">
        <v>12</v>
      </c>
      <c r="B19" s="114" t="s">
        <v>115</v>
      </c>
      <c r="C19" s="109" t="e">
        <f>VLOOKUP(Table25755252691013434446474849565758596315181719224566677172737476777879939495100104109111[[#This Row],[PEG]],Table1016[#All],2,FALSE)</f>
        <v>#N/A</v>
      </c>
      <c r="D19" s="117"/>
      <c r="E19" s="125" t="e">
        <f>VLOOKUP(Table25755252691013434446474849565758596315181719224566677172737476777879939495100104109111[[#This Row],[PEG]],Table1016[#All],3,FALSE)</f>
        <v>#N/A</v>
      </c>
    </row>
    <row r="20" spans="1:5" x14ac:dyDescent="0.35">
      <c r="A20" s="118">
        <v>13</v>
      </c>
      <c r="B20" s="114" t="s">
        <v>114</v>
      </c>
      <c r="C20" s="109" t="e">
        <f>VLOOKUP(Table25755252691013434446474849565758596315181719224566677172737476777879939495100104109111[[#This Row],[PEG]],Table1016[#All],2,FALSE)</f>
        <v>#N/A</v>
      </c>
      <c r="D20" s="117"/>
      <c r="E20" s="125" t="e">
        <f>VLOOKUP(Table25755252691013434446474849565758596315181719224566677172737476777879939495100104109111[[#This Row],[PEG]],Table1016[#All],3,FALSE)</f>
        <v>#N/A</v>
      </c>
    </row>
    <row r="21" spans="1:5" x14ac:dyDescent="0.35">
      <c r="A21" s="118">
        <v>14</v>
      </c>
      <c r="B21" s="114" t="s">
        <v>12</v>
      </c>
      <c r="C21" s="109" t="e">
        <f>VLOOKUP(Table25755252691013434446474849565758596315181719224566677172737476777879939495100104109111[[#This Row],[PEG]],Table1016[#All],2,FALSE)</f>
        <v>#N/A</v>
      </c>
      <c r="D21" s="117"/>
      <c r="E21" s="125" t="e">
        <f>VLOOKUP(Table25755252691013434446474849565758596315181719224566677172737476777879939495100104109111[[#This Row],[PEG]],Table1016[#All],3,FALSE)</f>
        <v>#N/A</v>
      </c>
    </row>
    <row r="22" spans="1:5" x14ac:dyDescent="0.35">
      <c r="A22" s="118">
        <v>15</v>
      </c>
      <c r="B22" s="114" t="s">
        <v>12</v>
      </c>
      <c r="C22" s="109" t="e">
        <f>VLOOKUP(Table25755252691013434446474849565758596315181719224566677172737476777879939495100104109111[[#This Row],[PEG]],Table1016[#All],2,FALSE)</f>
        <v>#N/A</v>
      </c>
      <c r="D22" s="117"/>
      <c r="E22" s="125" t="e">
        <f>VLOOKUP(Table25755252691013434446474849565758596315181719224566677172737476777879939495100104109111[[#This Row],[PEG]],Table1016[#All],3,FALSE)</f>
        <v>#N/A</v>
      </c>
    </row>
    <row r="23" spans="1:5" x14ac:dyDescent="0.35">
      <c r="A23" s="118">
        <v>16</v>
      </c>
      <c r="B23" s="114" t="s">
        <v>115</v>
      </c>
      <c r="C23" s="109" t="e">
        <f>VLOOKUP(Table25755252691013434446474849565758596315181719224566677172737476777879939495100104109111[[#This Row],[PEG]],Table1016[#All],2,FALSE)</f>
        <v>#N/A</v>
      </c>
      <c r="D23" s="117"/>
      <c r="E23" s="125" t="e">
        <f>VLOOKUP(Table25755252691013434446474849565758596315181719224566677172737476777879939495100104109111[[#This Row],[PEG]],Table1016[#All],3,FALSE)</f>
        <v>#N/A</v>
      </c>
    </row>
    <row r="24" spans="1:5" x14ac:dyDescent="0.35">
      <c r="A24" s="118">
        <v>17</v>
      </c>
      <c r="B24" s="114" t="s">
        <v>114</v>
      </c>
      <c r="C24" s="109" t="e">
        <f>VLOOKUP(Table25755252691013434446474849565758596315181719224566677172737476777879939495100104109111[[#This Row],[PEG]],Table1016[#All],2,FALSE)</f>
        <v>#N/A</v>
      </c>
      <c r="D24" s="117"/>
      <c r="E24" s="125" t="e">
        <f>VLOOKUP(Table25755252691013434446474849565758596315181719224566677172737476777879939495100104109111[[#This Row],[PEG]],Table1016[#All],3,FALSE)</f>
        <v>#N/A</v>
      </c>
    </row>
    <row r="25" spans="1:5" x14ac:dyDescent="0.35">
      <c r="A25" s="118">
        <v>18</v>
      </c>
      <c r="B25" s="114" t="s">
        <v>12</v>
      </c>
      <c r="C25" s="109" t="e">
        <f>VLOOKUP(Table25755252691013434446474849565758596315181719224566677172737476777879939495100104109111[[#This Row],[PEG]],Table1016[#All],2,FALSE)</f>
        <v>#N/A</v>
      </c>
      <c r="D25" s="117"/>
      <c r="E25" s="125" t="e">
        <f>VLOOKUP(Table25755252691013434446474849565758596315181719224566677172737476777879939495100104109111[[#This Row],[PEG]],Table1016[#All],3,FALSE)</f>
        <v>#N/A</v>
      </c>
    </row>
    <row r="26" spans="1:5" x14ac:dyDescent="0.35">
      <c r="A26" s="118">
        <v>19</v>
      </c>
      <c r="B26" s="114" t="s">
        <v>12</v>
      </c>
      <c r="C26" s="109" t="e">
        <f>VLOOKUP(Table25755252691013434446474849565758596315181719224566677172737476777879939495100104109111[[#This Row],[PEG]],Table1016[#All],2,FALSE)</f>
        <v>#N/A</v>
      </c>
      <c r="D26" s="117"/>
      <c r="E26" s="125" t="e">
        <f>VLOOKUP(Table25755252691013434446474849565758596315181719224566677172737476777879939495100104109111[[#This Row],[PEG]],Table1016[#All],3,FALSE)</f>
        <v>#N/A</v>
      </c>
    </row>
    <row r="27" spans="1:5" x14ac:dyDescent="0.35">
      <c r="A27" s="118">
        <v>20</v>
      </c>
      <c r="B27" s="114" t="s">
        <v>115</v>
      </c>
      <c r="C27" s="109" t="e">
        <f>VLOOKUP(Table25755252691013434446474849565758596315181719224566677172737476777879939495100104109111[[#This Row],[PEG]],Table1016[#All],2,FALSE)</f>
        <v>#N/A</v>
      </c>
      <c r="D27" s="117"/>
      <c r="E27" s="125" t="e">
        <f>VLOOKUP(Table25755252691013434446474849565758596315181719224566677172737476777879939495100104109111[[#This Row],[PEG]],Table1016[#All],3,FALSE)</f>
        <v>#N/A</v>
      </c>
    </row>
    <row r="28" spans="1:5" x14ac:dyDescent="0.35">
      <c r="A28" s="118">
        <v>21</v>
      </c>
      <c r="B28" s="114" t="s">
        <v>114</v>
      </c>
      <c r="C28" s="109" t="e">
        <f>VLOOKUP(Table25755252691013434446474849565758596315181719224566677172737476777879939495100104109111[[#This Row],[PEG]],Table1016[#All],2,FALSE)</f>
        <v>#N/A</v>
      </c>
      <c r="D28" s="117"/>
      <c r="E28" s="125" t="e">
        <f>VLOOKUP(Table25755252691013434446474849565758596315181719224566677172737476777879939495100104109111[[#This Row],[PEG]],Table1016[#All],3,FALSE)</f>
        <v>#N/A</v>
      </c>
    </row>
    <row r="29" spans="1:5" x14ac:dyDescent="0.35">
      <c r="A29" s="118">
        <v>22</v>
      </c>
      <c r="B29" s="114" t="s">
        <v>12</v>
      </c>
      <c r="C29" s="109" t="e">
        <f>VLOOKUP(Table25755252691013434446474849565758596315181719224566677172737476777879939495100104109111[[#This Row],[PEG]],Table1016[#All],2,FALSE)</f>
        <v>#N/A</v>
      </c>
      <c r="D29" s="117"/>
      <c r="E29" s="125" t="e">
        <f>VLOOKUP(Table25755252691013434446474849565758596315181719224566677172737476777879939495100104109111[[#This Row],[PEG]],Table1016[#All],3,FALSE)</f>
        <v>#N/A</v>
      </c>
    </row>
    <row r="30" spans="1:5" x14ac:dyDescent="0.35">
      <c r="A30" s="118">
        <v>23</v>
      </c>
      <c r="B30" s="114" t="s">
        <v>12</v>
      </c>
      <c r="C30" s="109" t="e">
        <f>VLOOKUP(Table25755252691013434446474849565758596315181719224566677172737476777879939495100104109111[[#This Row],[PEG]],Table1016[#All],2,FALSE)</f>
        <v>#N/A</v>
      </c>
      <c r="D30" s="117"/>
      <c r="E30" s="125" t="e">
        <f>VLOOKUP(Table25755252691013434446474849565758596315181719224566677172737476777879939495100104109111[[#This Row],[PEG]],Table1016[#All],3,FALSE)</f>
        <v>#N/A</v>
      </c>
    </row>
    <row r="31" spans="1:5" x14ac:dyDescent="0.35">
      <c r="A31" s="118">
        <v>24</v>
      </c>
      <c r="B31" s="114" t="s">
        <v>115</v>
      </c>
      <c r="C31" s="109" t="e">
        <f>VLOOKUP(Table25755252691013434446474849565758596315181719224566677172737476777879939495100104109111[[#This Row],[PEG]],Table1016[#All],2,FALSE)</f>
        <v>#N/A</v>
      </c>
      <c r="D31" s="117"/>
      <c r="E31" s="125" t="e">
        <f>VLOOKUP(Table25755252691013434446474849565758596315181719224566677172737476777879939495100104109111[[#This Row],[PEG]],Table1016[#All],3,FALSE)</f>
        <v>#N/A</v>
      </c>
    </row>
    <row r="32" spans="1:5" x14ac:dyDescent="0.35">
      <c r="A32" s="118">
        <v>25</v>
      </c>
      <c r="B32" s="114" t="s">
        <v>115</v>
      </c>
      <c r="C32" s="109" t="e">
        <f>VLOOKUP(Table25755252691013434446474849565758596315181719224566677172737476777879939495100104109111[[#This Row],[PEG]],Table1016[#All],2,FALSE)</f>
        <v>#N/A</v>
      </c>
      <c r="D32" s="117"/>
      <c r="E32" s="125" t="e">
        <f>VLOOKUP(Table25755252691013434446474849565758596315181719224566677172737476777879939495100104109111[[#This Row],[PEG]],Table1016[#All],3,FALSE)</f>
        <v>#N/A</v>
      </c>
    </row>
    <row r="33" spans="1:5" x14ac:dyDescent="0.35">
      <c r="A33" s="118">
        <v>26</v>
      </c>
      <c r="B33" s="114" t="s">
        <v>124</v>
      </c>
      <c r="C33" s="109" t="e">
        <f>VLOOKUP(Table25755252691013434446474849565758596315181719224566677172737476777879939495100104109111[[#This Row],[PEG]],Table1016[#All],2,FALSE)</f>
        <v>#N/A</v>
      </c>
      <c r="D33" s="117"/>
      <c r="E33" s="125" t="e">
        <f>VLOOKUP(Table25755252691013434446474849565758596315181719224566677172737476777879939495100104109111[[#This Row],[PEG]],Table1016[#All],3,FALSE)</f>
        <v>#N/A</v>
      </c>
    </row>
    <row r="34" spans="1:5" x14ac:dyDescent="0.35">
      <c r="A34" s="118">
        <v>27</v>
      </c>
      <c r="B34" s="114" t="s">
        <v>115</v>
      </c>
      <c r="C34" s="109" t="e">
        <f>VLOOKUP(Table25755252691013434446474849565758596315181719224566677172737476777879939495100104109111[[#This Row],[PEG]],Table1016[#All],2,FALSE)</f>
        <v>#N/A</v>
      </c>
      <c r="D34" s="117"/>
      <c r="E34" s="125" t="e">
        <f>VLOOKUP(Table25755252691013434446474849565758596315181719224566677172737476777879939495100104109111[[#This Row],[PEG]],Table1016[#All],3,FALSE)</f>
        <v>#N/A</v>
      </c>
    </row>
    <row r="35" spans="1:5" x14ac:dyDescent="0.35">
      <c r="A35" s="118">
        <v>28</v>
      </c>
      <c r="B35" s="114" t="s">
        <v>124</v>
      </c>
      <c r="C35" s="109" t="e">
        <f>VLOOKUP(Table25755252691013434446474849565758596315181719224566677172737476777879939495100104109111[[#This Row],[PEG]],Table1016[#All],2,FALSE)</f>
        <v>#N/A</v>
      </c>
      <c r="D35" s="117"/>
      <c r="E35" s="125" t="e">
        <f>VLOOKUP(Table25755252691013434446474849565758596315181719224566677172737476777879939495100104109111[[#This Row],[PEG]],Table1016[#All],3,FALSE)</f>
        <v>#N/A</v>
      </c>
    </row>
    <row r="36" spans="1:5" x14ac:dyDescent="0.35">
      <c r="A36" s="118">
        <v>29</v>
      </c>
      <c r="B36" s="114" t="s">
        <v>115</v>
      </c>
      <c r="C36" s="109" t="e">
        <f>VLOOKUP(Table25755252691013434446474849565758596315181719224566677172737476777879939495100104109111[[#This Row],[PEG]],Table1016[#All],2,FALSE)</f>
        <v>#N/A</v>
      </c>
      <c r="D36" s="117"/>
      <c r="E36" s="125" t="e">
        <f>VLOOKUP(Table25755252691013434446474849565758596315181719224566677172737476777879939495100104109111[[#This Row],[PEG]],Table1016[#All],3,FALSE)</f>
        <v>#N/A</v>
      </c>
    </row>
    <row r="37" spans="1:5" x14ac:dyDescent="0.35">
      <c r="A37" s="118">
        <v>30</v>
      </c>
      <c r="B37" s="114" t="s">
        <v>12</v>
      </c>
      <c r="C37" s="109" t="e">
        <f>VLOOKUP(Table25755252691013434446474849565758596315181719224566677172737476777879939495100104109111[[#This Row],[PEG]],Table1016[#All],2,FALSE)</f>
        <v>#N/A</v>
      </c>
      <c r="D37" s="117"/>
      <c r="E37" s="125" t="e">
        <f>VLOOKUP(Table25755252691013434446474849565758596315181719224566677172737476777879939495100104109111[[#This Row],[PEG]],Table1016[#All],3,FALSE)</f>
        <v>#N/A</v>
      </c>
    </row>
    <row r="38" spans="1:5" x14ac:dyDescent="0.35">
      <c r="A38" s="118">
        <v>31</v>
      </c>
      <c r="B38" s="114" t="s">
        <v>12</v>
      </c>
      <c r="C38" s="109" t="e">
        <f>VLOOKUP(Table25755252691013434446474849565758596315181719224566677172737476777879939495100104109111[[#This Row],[PEG]],Table1016[#All],2,FALSE)</f>
        <v>#N/A</v>
      </c>
      <c r="D38" s="117"/>
      <c r="E38" s="125" t="e">
        <f>VLOOKUP(Table25755252691013434446474849565758596315181719224566677172737476777879939495100104109111[[#This Row],[PEG]],Table1016[#All],3,FALSE)</f>
        <v>#N/A</v>
      </c>
    </row>
    <row r="39" spans="1:5" x14ac:dyDescent="0.35">
      <c r="A39" s="118">
        <v>32</v>
      </c>
      <c r="B39" s="114" t="s">
        <v>12</v>
      </c>
      <c r="C39" s="109" t="e">
        <f>VLOOKUP(Table25755252691013434446474849565758596315181719224566677172737476777879939495100104109111[[#This Row],[PEG]],Table1016[#All],2,FALSE)</f>
        <v>#N/A</v>
      </c>
      <c r="D39" s="117"/>
      <c r="E39" s="125" t="e">
        <f>VLOOKUP(Table25755252691013434446474849565758596315181719224566677172737476777879939495100104109111[[#This Row],[PEG]],Table1016[#All],3,FALSE)</f>
        <v>#N/A</v>
      </c>
    </row>
    <row r="40" spans="1:5" x14ac:dyDescent="0.35">
      <c r="A40" s="118">
        <v>33</v>
      </c>
      <c r="B40" s="114" t="s">
        <v>12</v>
      </c>
      <c r="C40" s="109" t="e">
        <f>VLOOKUP(Table25755252691013434446474849565758596315181719224566677172737476777879939495100104109111[[#This Row],[PEG]],Table1016[#All],2,FALSE)</f>
        <v>#N/A</v>
      </c>
      <c r="D40" s="117"/>
      <c r="E40" s="125" t="e">
        <f>VLOOKUP(Table25755252691013434446474849565758596315181719224566677172737476777879939495100104109111[[#This Row],[PEG]],Table1016[#All],3,FALSE)</f>
        <v>#N/A</v>
      </c>
    </row>
    <row r="41" spans="1:5" x14ac:dyDescent="0.35">
      <c r="A41" s="118">
        <v>34</v>
      </c>
      <c r="B41" s="114" t="s">
        <v>115</v>
      </c>
      <c r="C41" s="109" t="e">
        <f>VLOOKUP(Table25755252691013434446474849565758596315181719224566677172737476777879939495100104109111[[#This Row],[PEG]],Table1016[#All],2,FALSE)</f>
        <v>#N/A</v>
      </c>
      <c r="D41" s="117"/>
      <c r="E41" s="125" t="e">
        <f>VLOOKUP(Table25755252691013434446474849565758596315181719224566677172737476777879939495100104109111[[#This Row],[PEG]],Table1016[#All],3,FALSE)</f>
        <v>#N/A</v>
      </c>
    </row>
    <row r="42" spans="1:5" x14ac:dyDescent="0.35">
      <c r="A42" s="118">
        <v>35</v>
      </c>
      <c r="B42" s="114" t="s">
        <v>13</v>
      </c>
      <c r="C42" s="18" t="s">
        <v>13</v>
      </c>
      <c r="D42" s="115"/>
      <c r="E42" s="32"/>
    </row>
  </sheetData>
  <mergeCells count="1">
    <mergeCell ref="A1:B1"/>
  </mergeCells>
  <conditionalFormatting sqref="B8:B18">
    <cfRule type="containsText" dxfId="4240" priority="1" operator="containsText" text="Hear">
      <formula>NOT(ISERROR(SEARCH("Hear",B8)))</formula>
    </cfRule>
  </conditionalFormatting>
  <conditionalFormatting sqref="B36:B38 B40:B41">
    <cfRule type="containsText" dxfId="4239" priority="3" operator="containsText" text="Hear">
      <formula>NOT(ISERROR(SEARCH("Hear",B36)))</formula>
    </cfRule>
  </conditionalFormatting>
  <conditionalFormatting sqref="B19:B29 B31:B35 B42">
    <cfRule type="containsText" dxfId="4238" priority="7" operator="containsText" text="Hear">
      <formula>NOT(ISERROR(SEARCH("Hear",B19)))</formula>
    </cfRule>
  </conditionalFormatting>
  <conditionalFormatting sqref="E42">
    <cfRule type="containsText" dxfId="4237" priority="5" operator="containsText" text="WEB SERVICE">
      <formula>NOT(ISERROR(SEARCH("WEB SERVICE",E42)))</formula>
    </cfRule>
    <cfRule type="containsText" dxfId="4236" priority="6" operator="containsText" text="DB">
      <formula>NOT(ISERROR(SEARCH("DB",E42)))</formula>
    </cfRule>
  </conditionalFormatting>
  <conditionalFormatting sqref="C42">
    <cfRule type="expression" dxfId="4235" priority="10">
      <formula>$B42="HANGUP"</formula>
    </cfRule>
  </conditionalFormatting>
  <conditionalFormatting sqref="B30">
    <cfRule type="containsText" dxfId="4234" priority="4" operator="containsText" text="Hear">
      <formula>NOT(ISERROR(SEARCH("Hear",B30)))</formula>
    </cfRule>
  </conditionalFormatting>
  <hyperlinks>
    <hyperlink ref="A1" location="'Test Case Overview'!A1" display="Return to Test Case Overview" xr:uid="{054C15BB-4B81-40DD-887F-2ECE77A4C9C3}"/>
  </hyperlinks>
  <pageMargins left="0.7" right="0.7" top="0.75" bottom="0.75" header="0.3" footer="0.3"/>
  <pageSetup orientation="portrait" verticalDpi="0" r:id="rId1"/>
  <tableParts count="1">
    <tablePart r:id="rId2"/>
  </tableParts>
  <extLst>
    <ext xmlns:x14="http://schemas.microsoft.com/office/spreadsheetml/2009/9/main" uri="{78C0D931-6437-407d-A8EE-F0AAD7539E65}">
      <x14:conditionalFormattings>
        <x14:conditionalFormatting xmlns:xm="http://schemas.microsoft.com/office/excel/2006/main">
          <x14:cfRule type="expression" priority="11" id="{842F6882-8384-460C-A221-DEB252F35B2D}">
            <xm:f>'TC1'!$B8="HANGUP"</xm:f>
            <x14:dxf>
              <font>
                <b/>
                <i val="0"/>
              </font>
            </x14:dxf>
          </x14:cfRule>
          <x14:cfRule type="expression" priority="12" id="{4ED99FE4-DA7D-4A19-9B87-8DDA8A1FDB72}">
            <xm:f>'TC1'!$B8="Dial"</xm:f>
            <x14:dxf>
              <font>
                <b/>
                <i val="0"/>
                <color rgb="FFFF0000"/>
              </font>
            </x14:dxf>
          </x14:cfRule>
          <xm:sqref>C8</xm:sqref>
        </x14:conditionalFormatting>
        <x14:conditionalFormatting xmlns:xm="http://schemas.microsoft.com/office/excel/2006/main">
          <x14:cfRule type="expression" priority="13" id="{F01F05F0-BA0F-402F-8A4E-15D6D85C5289}">
            <xm:f>'TC1'!$B8="Speak"</xm:f>
            <x14:dxf>
              <font>
                <b/>
                <i val="0"/>
                <color rgb="FFFF0000"/>
              </font>
            </x14:dxf>
          </x14:cfRule>
          <xm:sqref>C8</xm:sqref>
        </x14:conditionalFormatting>
        <x14:conditionalFormatting xmlns:xm="http://schemas.microsoft.com/office/excel/2006/main">
          <x14:cfRule type="containsText" priority="2" operator="containsText" text="Hear" id="{0E5F36E7-2B05-40A2-8299-84561499AC0C}">
            <xm:f>NOT(ISERROR(SEARCH("Hear",'TC3'!B34)))</xm:f>
            <x14:dxf>
              <font>
                <color theme="9" tint="-0.24994659260841701"/>
              </font>
              <fill>
                <patternFill>
                  <bgColor theme="9" tint="0.59996337778862885"/>
                </patternFill>
              </fill>
            </x14:dxf>
          </x14:cfRule>
          <xm:sqref>B41</xm:sqref>
        </x14:conditionalFormatting>
        <x14:conditionalFormatting xmlns:xm="http://schemas.microsoft.com/office/excel/2006/main">
          <x14:cfRule type="expression" priority="1503" id="{842F6882-8384-460C-A221-DEB252F35B2D}">
            <xm:f>'TC1'!$B16="HANGUP"</xm:f>
            <x14:dxf>
              <font>
                <b/>
                <i val="0"/>
              </font>
            </x14:dxf>
          </x14:cfRule>
          <x14:cfRule type="expression" priority="1504" id="{4ED99FE4-DA7D-4A19-9B87-8DDA8A1FDB72}">
            <xm:f>'TC1'!$B16="Dial"</xm:f>
            <x14:dxf>
              <font>
                <b/>
                <i val="0"/>
                <color rgb="FFFF0000"/>
              </font>
            </x14:dxf>
          </x14:cfRule>
          <xm:sqref>C34:C41</xm:sqref>
        </x14:conditionalFormatting>
        <x14:conditionalFormatting xmlns:xm="http://schemas.microsoft.com/office/excel/2006/main">
          <x14:cfRule type="expression" priority="1505" id="{842F6882-8384-460C-A221-DEB252F35B2D}">
            <xm:f>'TC1'!#REF!="HANGUP"</xm:f>
            <x14:dxf>
              <font>
                <b/>
                <i val="0"/>
              </font>
            </x14:dxf>
          </x14:cfRule>
          <x14:cfRule type="expression" priority="1506" id="{4ED99FE4-DA7D-4A19-9B87-8DDA8A1FDB72}">
            <xm:f>'TC1'!#REF!="Dial"</xm:f>
            <x14:dxf>
              <font>
                <b/>
                <i val="0"/>
                <color rgb="FFFF0000"/>
              </font>
            </x14:dxf>
          </x14:cfRule>
          <xm:sqref>C17:C33</xm:sqref>
        </x14:conditionalFormatting>
        <x14:conditionalFormatting xmlns:xm="http://schemas.microsoft.com/office/excel/2006/main">
          <x14:cfRule type="expression" priority="1510" id="{F01F05F0-BA0F-402F-8A4E-15D6D85C5289}">
            <xm:f>'TC1'!$B16="Speak"</xm:f>
            <x14:dxf>
              <font>
                <b/>
                <i val="0"/>
                <color rgb="FFFF0000"/>
              </font>
            </x14:dxf>
          </x14:cfRule>
          <xm:sqref>C34:C41</xm:sqref>
        </x14:conditionalFormatting>
        <x14:conditionalFormatting xmlns:xm="http://schemas.microsoft.com/office/excel/2006/main">
          <x14:cfRule type="expression" priority="1511" id="{F01F05F0-BA0F-402F-8A4E-15D6D85C5289}">
            <xm:f>'TC1'!#REF!="Speak"</xm:f>
            <x14:dxf>
              <font>
                <b/>
                <i val="0"/>
                <color rgb="FFFF0000"/>
              </font>
            </x14:dxf>
          </x14:cfRule>
          <xm:sqref>C17:C33</xm:sqref>
        </x14:conditionalFormatting>
        <x14:conditionalFormatting xmlns:xm="http://schemas.microsoft.com/office/excel/2006/main">
          <x14:cfRule type="containsText" priority="1515" operator="containsText" text="DB" id="{A8EB3954-D080-43E4-AC26-EBF4D19B6E5C}">
            <xm:f>NOT(ISERROR(SEARCH("DB",'TC1'!E16)))</xm:f>
            <x14:dxf>
              <font>
                <color rgb="FF006100"/>
              </font>
              <fill>
                <patternFill>
                  <bgColor rgb="FFC6EFCE"/>
                </patternFill>
              </fill>
            </x14:dxf>
          </x14:cfRule>
          <x14:cfRule type="containsText" priority="1516" operator="containsText" text="WEB SERVICE" id="{1ECF067D-ECD3-4C74-8A2B-F568243A9973}">
            <xm:f>NOT(ISERROR(SEARCH("WEB SERVICE",'TC1'!E16)))</xm:f>
            <x14:dxf>
              <font>
                <color rgb="FF9C0006"/>
              </font>
              <fill>
                <patternFill>
                  <bgColor rgb="FFFFC7CE"/>
                </patternFill>
              </fill>
            </x14:dxf>
          </x14:cfRule>
          <xm:sqref>E34:E41</xm:sqref>
        </x14:conditionalFormatting>
        <x14:conditionalFormatting xmlns:xm="http://schemas.microsoft.com/office/excel/2006/main">
          <x14:cfRule type="containsText" priority="1517" operator="containsText" text="DB" id="{A8EB3954-D080-43E4-AC26-EBF4D19B6E5C}">
            <xm:f>NOT(ISERROR(SEARCH("DB",'TC1'!#REF!)))</xm:f>
            <x14:dxf>
              <font>
                <color rgb="FF006100"/>
              </font>
              <fill>
                <patternFill>
                  <bgColor rgb="FFC6EFCE"/>
                </patternFill>
              </fill>
            </x14:dxf>
          </x14:cfRule>
          <x14:cfRule type="containsText" priority="1518" operator="containsText" text="WEB SERVICE" id="{1ECF067D-ECD3-4C74-8A2B-F568243A9973}">
            <xm:f>NOT(ISERROR(SEARCH("WEB SERVICE",'TC1'!#REF!)))</xm:f>
            <x14:dxf>
              <font>
                <color rgb="FF9C0006"/>
              </font>
              <fill>
                <patternFill>
                  <bgColor rgb="FFFFC7CE"/>
                </patternFill>
              </fill>
            </x14:dxf>
          </x14:cfRule>
          <xm:sqref>E17:E33</xm:sqref>
        </x14:conditionalFormatting>
        <x14:conditionalFormatting xmlns:xm="http://schemas.microsoft.com/office/excel/2006/main">
          <x14:cfRule type="expression" priority="4291" id="{842F6882-8384-460C-A221-DEB252F35B2D}">
            <xm:f>'TC1'!$B9="HANGUP"</xm:f>
            <x14:dxf>
              <font>
                <b/>
                <i val="0"/>
              </font>
            </x14:dxf>
          </x14:cfRule>
          <x14:cfRule type="expression" priority="4292" id="{4ED99FE4-DA7D-4A19-9B87-8DDA8A1FDB72}">
            <xm:f>'TC1'!$B9="Dial"</xm:f>
            <x14:dxf>
              <font>
                <b/>
                <i val="0"/>
                <color rgb="FFFF0000"/>
              </font>
            </x14:dxf>
          </x14:cfRule>
          <xm:sqref>C12:C15</xm:sqref>
        </x14:conditionalFormatting>
        <x14:conditionalFormatting xmlns:xm="http://schemas.microsoft.com/office/excel/2006/main">
          <x14:cfRule type="expression" priority="4293" id="{842F6882-8384-460C-A221-DEB252F35B2D}">
            <xm:f>'TC1'!#REF!="HANGUP"</xm:f>
            <x14:dxf>
              <font>
                <b/>
                <i val="0"/>
              </font>
            </x14:dxf>
          </x14:cfRule>
          <x14:cfRule type="expression" priority="4294" id="{4ED99FE4-DA7D-4A19-9B87-8DDA8A1FDB72}">
            <xm:f>'TC1'!#REF!="Dial"</xm:f>
            <x14:dxf>
              <font>
                <b/>
                <i val="0"/>
                <color rgb="FFFF0000"/>
              </font>
            </x14:dxf>
          </x14:cfRule>
          <xm:sqref>C9:C11</xm:sqref>
        </x14:conditionalFormatting>
        <x14:conditionalFormatting xmlns:xm="http://schemas.microsoft.com/office/excel/2006/main">
          <x14:cfRule type="expression" priority="4298" id="{F01F05F0-BA0F-402F-8A4E-15D6D85C5289}">
            <xm:f>'TC1'!$B9="Speak"</xm:f>
            <x14:dxf>
              <font>
                <b/>
                <i val="0"/>
                <color rgb="FFFF0000"/>
              </font>
            </x14:dxf>
          </x14:cfRule>
          <xm:sqref>C12:C15</xm:sqref>
        </x14:conditionalFormatting>
        <x14:conditionalFormatting xmlns:xm="http://schemas.microsoft.com/office/excel/2006/main">
          <x14:cfRule type="expression" priority="4299" id="{F01F05F0-BA0F-402F-8A4E-15D6D85C5289}">
            <xm:f>'TC1'!#REF!="Speak"</xm:f>
            <x14:dxf>
              <font>
                <b/>
                <i val="0"/>
                <color rgb="FFFF0000"/>
              </font>
            </x14:dxf>
          </x14:cfRule>
          <xm:sqref>C9:C11</xm:sqref>
        </x14:conditionalFormatting>
        <x14:conditionalFormatting xmlns:xm="http://schemas.microsoft.com/office/excel/2006/main">
          <x14:cfRule type="containsText" priority="4301" operator="containsText" text="DB" id="{A8EB3954-D080-43E4-AC26-EBF4D19B6E5C}">
            <xm:f>NOT(ISERROR(SEARCH("DB",'TC1'!#REF!)))</xm:f>
            <x14:dxf>
              <font>
                <color rgb="FF006100"/>
              </font>
              <fill>
                <patternFill>
                  <bgColor rgb="FFC6EFCE"/>
                </patternFill>
              </fill>
            </x14:dxf>
          </x14:cfRule>
          <x14:cfRule type="containsText" priority="4302" operator="containsText" text="WEB SERVICE" id="{1ECF067D-ECD3-4C74-8A2B-F568243A9973}">
            <xm:f>NOT(ISERROR(SEARCH("WEB SERVICE",'TC1'!#REF!)))</xm:f>
            <x14:dxf>
              <font>
                <color rgb="FF9C0006"/>
              </font>
              <fill>
                <patternFill>
                  <bgColor rgb="FFFFC7CE"/>
                </patternFill>
              </fill>
            </x14:dxf>
          </x14:cfRule>
          <xm:sqref>E9:E11</xm:sqref>
        </x14:conditionalFormatting>
        <x14:conditionalFormatting xmlns:xm="http://schemas.microsoft.com/office/excel/2006/main">
          <x14:cfRule type="containsText" priority="4303" operator="containsText" text="DB" id="{A8EB3954-D080-43E4-AC26-EBF4D19B6E5C}">
            <xm:f>NOT(ISERROR(SEARCH("DB",'TC1'!E9)))</xm:f>
            <x14:dxf>
              <font>
                <color rgb="FF006100"/>
              </font>
              <fill>
                <patternFill>
                  <bgColor rgb="FFC6EFCE"/>
                </patternFill>
              </fill>
            </x14:dxf>
          </x14:cfRule>
          <x14:cfRule type="containsText" priority="4304" operator="containsText" text="WEB SERVICE" id="{1ECF067D-ECD3-4C74-8A2B-F568243A9973}">
            <xm:f>NOT(ISERROR(SEARCH("WEB SERVICE",'TC1'!E9)))</xm:f>
            <x14:dxf>
              <font>
                <color rgb="FF9C0006"/>
              </font>
              <fill>
                <patternFill>
                  <bgColor rgb="FFFFC7CE"/>
                </patternFill>
              </fill>
            </x14:dxf>
          </x14:cfRule>
          <xm:sqref>E12:E15</xm:sqref>
        </x14:conditionalFormatting>
        <x14:conditionalFormatting xmlns:xm="http://schemas.microsoft.com/office/excel/2006/main">
          <x14:cfRule type="expression" priority="6755" id="{842F6882-8384-460C-A221-DEB252F35B2D}">
            <xm:f>'TC1'!$B15="HANGUP"</xm:f>
            <x14:dxf>
              <font>
                <b/>
                <i val="0"/>
              </font>
            </x14:dxf>
          </x14:cfRule>
          <x14:cfRule type="expression" priority="6756" id="{4ED99FE4-DA7D-4A19-9B87-8DDA8A1FDB72}">
            <xm:f>'TC1'!$B15="Dial"</xm:f>
            <x14:dxf>
              <font>
                <b/>
                <i val="0"/>
                <color rgb="FFFF0000"/>
              </font>
            </x14:dxf>
          </x14:cfRule>
          <xm:sqref>C16</xm:sqref>
        </x14:conditionalFormatting>
        <x14:conditionalFormatting xmlns:xm="http://schemas.microsoft.com/office/excel/2006/main">
          <x14:cfRule type="expression" priority="6758" id="{F01F05F0-BA0F-402F-8A4E-15D6D85C5289}">
            <xm:f>'TC1'!$B15="Speak"</xm:f>
            <x14:dxf>
              <font>
                <b/>
                <i val="0"/>
                <color rgb="FFFF0000"/>
              </font>
            </x14:dxf>
          </x14:cfRule>
          <xm:sqref>C16</xm:sqref>
        </x14:conditionalFormatting>
        <x14:conditionalFormatting xmlns:xm="http://schemas.microsoft.com/office/excel/2006/main">
          <x14:cfRule type="containsText" priority="6761" operator="containsText" text="DB" id="{A8EB3954-D080-43E4-AC26-EBF4D19B6E5C}">
            <xm:f>NOT(ISERROR(SEARCH("DB",'TC1'!E15)))</xm:f>
            <x14:dxf>
              <font>
                <color rgb="FF006100"/>
              </font>
              <fill>
                <patternFill>
                  <bgColor rgb="FFC6EFCE"/>
                </patternFill>
              </fill>
            </x14:dxf>
          </x14:cfRule>
          <x14:cfRule type="containsText" priority="6762" operator="containsText" text="WEB SERVICE" id="{1ECF067D-ECD3-4C74-8A2B-F568243A9973}">
            <xm:f>NOT(ISERROR(SEARCH("WEB SERVICE",'TC1'!E15)))</xm:f>
            <x14:dxf>
              <font>
                <color rgb="FF9C0006"/>
              </font>
              <fill>
                <patternFill>
                  <bgColor rgb="FFFFC7CE"/>
                </patternFill>
              </fill>
            </x14:dxf>
          </x14:cfRule>
          <xm:sqref>E16</xm:sqref>
        </x14:conditionalFormatting>
        <x14:conditionalFormatting xmlns:xm="http://schemas.microsoft.com/office/excel/2006/main">
          <x14:cfRule type="containsText" priority="9074" operator="containsText" text="Hear" id="{BDD12EEA-ED81-4ADF-B578-1B4ECF934DF6}">
            <xm:f>NOT(ISERROR(SEARCH("Hear",'TC26'!#REF!)))</xm:f>
            <x14:dxf>
              <font>
                <color theme="9" tint="-0.24994659260841701"/>
              </font>
              <fill>
                <patternFill>
                  <bgColor theme="9" tint="0.59996337778862885"/>
                </patternFill>
              </fill>
            </x14:dxf>
          </x14:cfRule>
          <xm:sqref>B39</xm:sqref>
        </x14:conditionalFormatting>
      </x14:conditionalFormattings>
    </ext>
  </extLst>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5"/>
  <dimension ref="A1:E42"/>
  <sheetViews>
    <sheetView zoomScaleNormal="100" workbookViewId="0">
      <selection activeCell="A2" sqref="A2"/>
    </sheetView>
  </sheetViews>
  <sheetFormatPr defaultRowHeight="14.5" x14ac:dyDescent="0.35"/>
  <cols>
    <col min="1" max="1" width="14.453125" bestFit="1" customWidth="1"/>
    <col min="2" max="2" width="42.6328125" customWidth="1"/>
    <col min="3" max="3" width="106.1796875" customWidth="1"/>
    <col min="4" max="4" width="21.81640625" bestFit="1" customWidth="1"/>
    <col min="5" max="5" width="20.6328125" customWidth="1"/>
  </cols>
  <sheetData>
    <row r="1" spans="1:5" ht="18.5" x14ac:dyDescent="0.35">
      <c r="A1" s="192" t="s">
        <v>4</v>
      </c>
      <c r="B1" s="192"/>
      <c r="C1" s="105"/>
      <c r="D1" s="111"/>
      <c r="E1" s="97"/>
    </row>
    <row r="2" spans="1:5" x14ac:dyDescent="0.35">
      <c r="A2" s="106" t="s">
        <v>5</v>
      </c>
      <c r="B2" s="107" t="str">
        <f ca="1">MID(CELL("filename",A1),FIND("]",CELL("filename",A1))+1,LEN(CELL("filename",A1))-FIND("]",CELL("filename",A1)))</f>
        <v>TC63</v>
      </c>
      <c r="C2" s="98"/>
      <c r="D2" s="111"/>
      <c r="E2" s="97"/>
    </row>
    <row r="3" spans="1:5" x14ac:dyDescent="0.35">
      <c r="A3" s="104" t="s">
        <v>19</v>
      </c>
      <c r="B3" s="112" t="e">
        <f ca="1">VLOOKUP(B2,Table1[#All],2,FALSE)</f>
        <v>#N/A</v>
      </c>
      <c r="C3" s="98"/>
      <c r="D3" s="111"/>
      <c r="E3" s="97"/>
    </row>
    <row r="4" spans="1:5" ht="29" x14ac:dyDescent="0.35">
      <c r="A4" s="113" t="s">
        <v>20</v>
      </c>
      <c r="B4" s="99" t="e">
        <f ca="1">VLOOKUP(B2,Table1[#All],4,FALSE)</f>
        <v>#N/A</v>
      </c>
      <c r="C4" s="98"/>
      <c r="D4" s="111"/>
      <c r="E4" s="97"/>
    </row>
    <row r="5" spans="1:5" x14ac:dyDescent="0.35">
      <c r="A5" s="104" t="s">
        <v>6</v>
      </c>
      <c r="B5" s="93" t="e">
        <f ca="1">VLOOKUP(B2,Table1[#All],3,FALSE)</f>
        <v>#N/A</v>
      </c>
      <c r="C5" s="98"/>
      <c r="D5" s="111"/>
      <c r="E5" s="97"/>
    </row>
    <row r="6" spans="1:5" x14ac:dyDescent="0.35">
      <c r="A6" s="97"/>
      <c r="B6" s="97"/>
      <c r="C6" s="98"/>
      <c r="D6" s="111"/>
      <c r="E6" s="97"/>
    </row>
    <row r="7" spans="1:5" ht="15.5" x14ac:dyDescent="0.35">
      <c r="A7" s="100" t="s">
        <v>7</v>
      </c>
      <c r="B7" s="101" t="s">
        <v>8</v>
      </c>
      <c r="C7" s="102" t="s">
        <v>9</v>
      </c>
      <c r="D7" s="102" t="s">
        <v>14</v>
      </c>
      <c r="E7" s="103" t="s">
        <v>10</v>
      </c>
    </row>
    <row r="8" spans="1:5" x14ac:dyDescent="0.35">
      <c r="A8" s="118">
        <v>1</v>
      </c>
      <c r="B8" s="114" t="s">
        <v>114</v>
      </c>
      <c r="C8" s="109" t="s">
        <v>125</v>
      </c>
      <c r="D8" s="128"/>
      <c r="E8" s="125" t="s">
        <v>11</v>
      </c>
    </row>
    <row r="9" spans="1:5" x14ac:dyDescent="0.35">
      <c r="A9" s="118">
        <v>2</v>
      </c>
      <c r="B9" s="114" t="s">
        <v>12</v>
      </c>
      <c r="C9" s="109" t="e">
        <f>VLOOKUP(Table25755252691013434446474849565758596315181719224566677172737476777879939495100104109111113[[#This Row],[PEG]],Table1016[#All],2,FALSE)</f>
        <v>#N/A</v>
      </c>
      <c r="D9" s="128"/>
      <c r="E9" s="125" t="e">
        <f>VLOOKUP(Table25755252691013434446474849565758596315181719224566677172737476777879939495100104109111113[[#This Row],[PEG]],Table1016[#All],3,FALSE)</f>
        <v>#N/A</v>
      </c>
    </row>
    <row r="10" spans="1:5" x14ac:dyDescent="0.35">
      <c r="A10" s="118">
        <v>3</v>
      </c>
      <c r="B10" s="114" t="s">
        <v>115</v>
      </c>
      <c r="C10" s="109" t="e">
        <f>VLOOKUP(Table25755252691013434446474849565758596315181719224566677172737476777879939495100104109111113[[#This Row],[PEG]],Table1016[#All],2,FALSE)</f>
        <v>#N/A</v>
      </c>
      <c r="D10" s="128"/>
      <c r="E10" s="125" t="e">
        <f>VLOOKUP(Table25755252691013434446474849565758596315181719224566677172737476777879939495100104109111113[[#This Row],[PEG]],Table1016[#All],3,FALSE)</f>
        <v>#N/A</v>
      </c>
    </row>
    <row r="11" spans="1:5" x14ac:dyDescent="0.35">
      <c r="A11" s="118">
        <v>4</v>
      </c>
      <c r="B11" s="114" t="s">
        <v>115</v>
      </c>
      <c r="C11" s="109" t="e">
        <f>VLOOKUP(Table25755252691013434446474849565758596315181719224566677172737476777879939495100104109111113[[#This Row],[PEG]],Table1016[#All],2,FALSE)</f>
        <v>#N/A</v>
      </c>
      <c r="D11" s="128"/>
      <c r="E11" s="125" t="e">
        <f>VLOOKUP(Table25755252691013434446474849565758596315181719224566677172737476777879939495100104109111113[[#This Row],[PEG]],Table1016[#All],3,FALSE)</f>
        <v>#N/A</v>
      </c>
    </row>
    <row r="12" spans="1:5" x14ac:dyDescent="0.35">
      <c r="A12" s="118">
        <v>5</v>
      </c>
      <c r="B12" s="114" t="s">
        <v>114</v>
      </c>
      <c r="C12" s="109" t="e">
        <f>VLOOKUP(Table25755252691013434446474849565758596315181719224566677172737476777879939495100104109111113[[#This Row],[PEG]],Table1016[#All],2,FALSE)</f>
        <v>#N/A</v>
      </c>
      <c r="D12" s="128"/>
      <c r="E12" s="125" t="e">
        <f>VLOOKUP(Table25755252691013434446474849565758596315181719224566677172737476777879939495100104109111113[[#This Row],[PEG]],Table1016[#All],3,FALSE)</f>
        <v>#N/A</v>
      </c>
    </row>
    <row r="13" spans="1:5" x14ac:dyDescent="0.35">
      <c r="A13" s="118">
        <v>6</v>
      </c>
      <c r="B13" s="114" t="s">
        <v>115</v>
      </c>
      <c r="C13" s="109" t="e">
        <f>VLOOKUP(Table25755252691013434446474849565758596315181719224566677172737476777879939495100104109111113[[#This Row],[PEG]],Table1016[#All],2,FALSE)</f>
        <v>#N/A</v>
      </c>
      <c r="D13" s="128"/>
      <c r="E13" s="125" t="e">
        <f>VLOOKUP(Table25755252691013434446474849565758596315181719224566677172737476777879939495100104109111113[[#This Row],[PEG]],Table1016[#All],3,FALSE)</f>
        <v>#N/A</v>
      </c>
    </row>
    <row r="14" spans="1:5" x14ac:dyDescent="0.35">
      <c r="A14" s="118">
        <v>7</v>
      </c>
      <c r="B14" s="114" t="s">
        <v>114</v>
      </c>
      <c r="C14" s="109" t="e">
        <f>VLOOKUP(Table25755252691013434446474849565758596315181719224566677172737476777879939495100104109111113[[#This Row],[PEG]],Table1016[#All],2,FALSE)</f>
        <v>#N/A</v>
      </c>
      <c r="D14" s="128"/>
      <c r="E14" s="125" t="e">
        <f>VLOOKUP(Table25755252691013434446474849565758596315181719224566677172737476777879939495100104109111113[[#This Row],[PEG]],Table1016[#All],3,FALSE)</f>
        <v>#N/A</v>
      </c>
    </row>
    <row r="15" spans="1:5" x14ac:dyDescent="0.35">
      <c r="A15" s="118">
        <v>8</v>
      </c>
      <c r="B15" s="114" t="s">
        <v>115</v>
      </c>
      <c r="C15" s="109" t="e">
        <f>VLOOKUP(Table25755252691013434446474849565758596315181719224566677172737476777879939495100104109111113[[#This Row],[PEG]],Table1016[#All],2,FALSE)</f>
        <v>#N/A</v>
      </c>
      <c r="D15" s="116"/>
      <c r="E15" s="125" t="e">
        <f>VLOOKUP(Table25755252691013434446474849565758596315181719224566677172737476777879939495100104109111113[[#This Row],[PEG]],Table1016[#All],3,FALSE)</f>
        <v>#N/A</v>
      </c>
    </row>
    <row r="16" spans="1:5" x14ac:dyDescent="0.35">
      <c r="A16" s="118">
        <v>9</v>
      </c>
      <c r="B16" s="114" t="s">
        <v>12</v>
      </c>
      <c r="C16" s="109" t="e">
        <f>VLOOKUP(Table25755252691013434446474849565758596315181719224566677172737476777879939495100104109111113[[#This Row],[PEG]],Table1016[#All],2,FALSE)</f>
        <v>#N/A</v>
      </c>
      <c r="D16" s="116"/>
      <c r="E16" s="125" t="e">
        <f>VLOOKUP(Table25755252691013434446474849565758596315181719224566677172737476777879939495100104109111113[[#This Row],[PEG]],Table1016[#All],3,FALSE)</f>
        <v>#N/A</v>
      </c>
    </row>
    <row r="17" spans="1:5" x14ac:dyDescent="0.35">
      <c r="A17" s="118">
        <v>10</v>
      </c>
      <c r="B17" s="114" t="s">
        <v>12</v>
      </c>
      <c r="C17" s="109" t="e">
        <f>VLOOKUP(Table25755252691013434446474849565758596315181719224566677172737476777879939495100104109111113[[#This Row],[PEG]],Table1016[#All],2,FALSE)</f>
        <v>#N/A</v>
      </c>
      <c r="D17" s="117"/>
      <c r="E17" s="125" t="e">
        <f>VLOOKUP(Table25755252691013434446474849565758596315181719224566677172737476777879939495100104109111113[[#This Row],[PEG]],Table1016[#All],3,FALSE)</f>
        <v>#N/A</v>
      </c>
    </row>
    <row r="18" spans="1:5" x14ac:dyDescent="0.35">
      <c r="A18" s="118">
        <v>11</v>
      </c>
      <c r="B18" s="114" t="s">
        <v>115</v>
      </c>
      <c r="C18" s="109" t="e">
        <f>VLOOKUP(Table25755252691013434446474849565758596315181719224566677172737476777879939495100104109111113[[#This Row],[PEG]],Table1016[#All],2,FALSE)</f>
        <v>#N/A</v>
      </c>
      <c r="D18" s="117"/>
      <c r="E18" s="125" t="e">
        <f>VLOOKUP(Table25755252691013434446474849565758596315181719224566677172737476777879939495100104109111113[[#This Row],[PEG]],Table1016[#All],3,FALSE)</f>
        <v>#N/A</v>
      </c>
    </row>
    <row r="19" spans="1:5" x14ac:dyDescent="0.35">
      <c r="A19" s="118">
        <v>12</v>
      </c>
      <c r="B19" s="114" t="s">
        <v>115</v>
      </c>
      <c r="C19" s="109" t="e">
        <f>VLOOKUP(Table25755252691013434446474849565758596315181719224566677172737476777879939495100104109111113[[#This Row],[PEG]],Table1016[#All],2,FALSE)</f>
        <v>#N/A</v>
      </c>
      <c r="D19" s="117"/>
      <c r="E19" s="125" t="e">
        <f>VLOOKUP(Table25755252691013434446474849565758596315181719224566677172737476777879939495100104109111113[[#This Row],[PEG]],Table1016[#All],3,FALSE)</f>
        <v>#N/A</v>
      </c>
    </row>
    <row r="20" spans="1:5" x14ac:dyDescent="0.35">
      <c r="A20" s="118">
        <v>13</v>
      </c>
      <c r="B20" s="114" t="s">
        <v>114</v>
      </c>
      <c r="C20" s="109" t="e">
        <f>VLOOKUP(Table25755252691013434446474849565758596315181719224566677172737476777879939495100104109111113[[#This Row],[PEG]],Table1016[#All],2,FALSE)</f>
        <v>#N/A</v>
      </c>
      <c r="D20" s="117"/>
      <c r="E20" s="125" t="e">
        <f>VLOOKUP(Table25755252691013434446474849565758596315181719224566677172737476777879939495100104109111113[[#This Row],[PEG]],Table1016[#All],3,FALSE)</f>
        <v>#N/A</v>
      </c>
    </row>
    <row r="21" spans="1:5" x14ac:dyDescent="0.35">
      <c r="A21" s="118">
        <v>14</v>
      </c>
      <c r="B21" s="114" t="s">
        <v>12</v>
      </c>
      <c r="C21" s="109" t="e">
        <f>VLOOKUP(Table25755252691013434446474849565758596315181719224566677172737476777879939495100104109111113[[#This Row],[PEG]],Table1016[#All],2,FALSE)</f>
        <v>#N/A</v>
      </c>
      <c r="D21" s="117"/>
      <c r="E21" s="125" t="e">
        <f>VLOOKUP(Table25755252691013434446474849565758596315181719224566677172737476777879939495100104109111113[[#This Row],[PEG]],Table1016[#All],3,FALSE)</f>
        <v>#N/A</v>
      </c>
    </row>
    <row r="22" spans="1:5" x14ac:dyDescent="0.35">
      <c r="A22" s="118">
        <v>15</v>
      </c>
      <c r="B22" s="114" t="s">
        <v>12</v>
      </c>
      <c r="C22" s="109" t="e">
        <f>VLOOKUP(Table25755252691013434446474849565758596315181719224566677172737476777879939495100104109111113[[#This Row],[PEG]],Table1016[#All],2,FALSE)</f>
        <v>#N/A</v>
      </c>
      <c r="D22" s="117"/>
      <c r="E22" s="125" t="e">
        <f>VLOOKUP(Table25755252691013434446474849565758596315181719224566677172737476777879939495100104109111113[[#This Row],[PEG]],Table1016[#All],3,FALSE)</f>
        <v>#N/A</v>
      </c>
    </row>
    <row r="23" spans="1:5" x14ac:dyDescent="0.35">
      <c r="A23" s="118">
        <v>16</v>
      </c>
      <c r="B23" s="114" t="s">
        <v>115</v>
      </c>
      <c r="C23" s="109" t="e">
        <f>VLOOKUP(Table25755252691013434446474849565758596315181719224566677172737476777879939495100104109111113[[#This Row],[PEG]],Table1016[#All],2,FALSE)</f>
        <v>#N/A</v>
      </c>
      <c r="D23" s="117"/>
      <c r="E23" s="125" t="e">
        <f>VLOOKUP(Table25755252691013434446474849565758596315181719224566677172737476777879939495100104109111113[[#This Row],[PEG]],Table1016[#All],3,FALSE)</f>
        <v>#N/A</v>
      </c>
    </row>
    <row r="24" spans="1:5" x14ac:dyDescent="0.35">
      <c r="A24" s="118">
        <v>17</v>
      </c>
      <c r="B24" s="114" t="s">
        <v>114</v>
      </c>
      <c r="C24" s="109" t="e">
        <f>VLOOKUP(Table25755252691013434446474849565758596315181719224566677172737476777879939495100104109111113[[#This Row],[PEG]],Table1016[#All],2,FALSE)</f>
        <v>#N/A</v>
      </c>
      <c r="D24" s="117"/>
      <c r="E24" s="125" t="e">
        <f>VLOOKUP(Table25755252691013434446474849565758596315181719224566677172737476777879939495100104109111113[[#This Row],[PEG]],Table1016[#All],3,FALSE)</f>
        <v>#N/A</v>
      </c>
    </row>
    <row r="25" spans="1:5" x14ac:dyDescent="0.35">
      <c r="A25" s="118">
        <v>18</v>
      </c>
      <c r="B25" s="114" t="s">
        <v>12</v>
      </c>
      <c r="C25" s="109" t="e">
        <f>VLOOKUP(Table25755252691013434446474849565758596315181719224566677172737476777879939495100104109111113[[#This Row],[PEG]],Table1016[#All],2,FALSE)</f>
        <v>#N/A</v>
      </c>
      <c r="D25" s="117"/>
      <c r="E25" s="125" t="e">
        <f>VLOOKUP(Table25755252691013434446474849565758596315181719224566677172737476777879939495100104109111113[[#This Row],[PEG]],Table1016[#All],3,FALSE)</f>
        <v>#N/A</v>
      </c>
    </row>
    <row r="26" spans="1:5" x14ac:dyDescent="0.35">
      <c r="A26" s="118">
        <v>19</v>
      </c>
      <c r="B26" s="114" t="s">
        <v>12</v>
      </c>
      <c r="C26" s="109" t="e">
        <f>VLOOKUP(Table25755252691013434446474849565758596315181719224566677172737476777879939495100104109111113[[#This Row],[PEG]],Table1016[#All],2,FALSE)</f>
        <v>#N/A</v>
      </c>
      <c r="D26" s="117"/>
      <c r="E26" s="125" t="e">
        <f>VLOOKUP(Table25755252691013434446474849565758596315181719224566677172737476777879939495100104109111113[[#This Row],[PEG]],Table1016[#All],3,FALSE)</f>
        <v>#N/A</v>
      </c>
    </row>
    <row r="27" spans="1:5" x14ac:dyDescent="0.35">
      <c r="A27" s="118">
        <v>20</v>
      </c>
      <c r="B27" s="114" t="s">
        <v>115</v>
      </c>
      <c r="C27" s="109" t="e">
        <f>VLOOKUP(Table25755252691013434446474849565758596315181719224566677172737476777879939495100104109111113[[#This Row],[PEG]],Table1016[#All],2,FALSE)</f>
        <v>#N/A</v>
      </c>
      <c r="D27" s="117"/>
      <c r="E27" s="125" t="e">
        <f>VLOOKUP(Table25755252691013434446474849565758596315181719224566677172737476777879939495100104109111113[[#This Row],[PEG]],Table1016[#All],3,FALSE)</f>
        <v>#N/A</v>
      </c>
    </row>
    <row r="28" spans="1:5" x14ac:dyDescent="0.35">
      <c r="A28" s="118">
        <v>21</v>
      </c>
      <c r="B28" s="114" t="s">
        <v>114</v>
      </c>
      <c r="C28" s="109" t="e">
        <f>VLOOKUP(Table25755252691013434446474849565758596315181719224566677172737476777879939495100104109111113[[#This Row],[PEG]],Table1016[#All],2,FALSE)</f>
        <v>#N/A</v>
      </c>
      <c r="D28" s="117"/>
      <c r="E28" s="125" t="e">
        <f>VLOOKUP(Table25755252691013434446474849565758596315181719224566677172737476777879939495100104109111113[[#This Row],[PEG]],Table1016[#All],3,FALSE)</f>
        <v>#N/A</v>
      </c>
    </row>
    <row r="29" spans="1:5" x14ac:dyDescent="0.35">
      <c r="A29" s="118">
        <v>22</v>
      </c>
      <c r="B29" s="114" t="s">
        <v>12</v>
      </c>
      <c r="C29" s="109" t="e">
        <f>VLOOKUP(Table25755252691013434446474849565758596315181719224566677172737476777879939495100104109111113[[#This Row],[PEG]],Table1016[#All],2,FALSE)</f>
        <v>#N/A</v>
      </c>
      <c r="D29" s="117"/>
      <c r="E29" s="125" t="e">
        <f>VLOOKUP(Table25755252691013434446474849565758596315181719224566677172737476777879939495100104109111113[[#This Row],[PEG]],Table1016[#All],3,FALSE)</f>
        <v>#N/A</v>
      </c>
    </row>
    <row r="30" spans="1:5" x14ac:dyDescent="0.35">
      <c r="A30" s="118">
        <v>23</v>
      </c>
      <c r="B30" s="114" t="s">
        <v>12</v>
      </c>
      <c r="C30" s="109" t="e">
        <f>VLOOKUP(Table25755252691013434446474849565758596315181719224566677172737476777879939495100104109111113[[#This Row],[PEG]],Table1016[#All],2,FALSE)</f>
        <v>#N/A</v>
      </c>
      <c r="D30" s="117"/>
      <c r="E30" s="125" t="e">
        <f>VLOOKUP(Table25755252691013434446474849565758596315181719224566677172737476777879939495100104109111113[[#This Row],[PEG]],Table1016[#All],3,FALSE)</f>
        <v>#N/A</v>
      </c>
    </row>
    <row r="31" spans="1:5" x14ac:dyDescent="0.35">
      <c r="A31" s="118">
        <v>24</v>
      </c>
      <c r="B31" s="114" t="s">
        <v>115</v>
      </c>
      <c r="C31" s="109" t="e">
        <f>VLOOKUP(Table25755252691013434446474849565758596315181719224566677172737476777879939495100104109111113[[#This Row],[PEG]],Table1016[#All],2,FALSE)</f>
        <v>#N/A</v>
      </c>
      <c r="D31" s="117"/>
      <c r="E31" s="125" t="e">
        <f>VLOOKUP(Table25755252691013434446474849565758596315181719224566677172737476777879939495100104109111113[[#This Row],[PEG]],Table1016[#All],3,FALSE)</f>
        <v>#N/A</v>
      </c>
    </row>
    <row r="32" spans="1:5" x14ac:dyDescent="0.35">
      <c r="A32" s="118">
        <v>25</v>
      </c>
      <c r="B32" s="114" t="s">
        <v>115</v>
      </c>
      <c r="C32" s="109" t="e">
        <f>VLOOKUP(Table25755252691013434446474849565758596315181719224566677172737476777879939495100104109111113[[#This Row],[PEG]],Table1016[#All],2,FALSE)</f>
        <v>#N/A</v>
      </c>
      <c r="D32" s="117"/>
      <c r="E32" s="125" t="e">
        <f>VLOOKUP(Table25755252691013434446474849565758596315181719224566677172737476777879939495100104109111113[[#This Row],[PEG]],Table1016[#All],3,FALSE)</f>
        <v>#N/A</v>
      </c>
    </row>
    <row r="33" spans="1:5" x14ac:dyDescent="0.35">
      <c r="A33" s="118">
        <v>26</v>
      </c>
      <c r="B33" s="114" t="s">
        <v>124</v>
      </c>
      <c r="C33" s="109" t="e">
        <f>VLOOKUP(Table25755252691013434446474849565758596315181719224566677172737476777879939495100104109111113[[#This Row],[PEG]],Table1016[#All],2,FALSE)</f>
        <v>#N/A</v>
      </c>
      <c r="D33" s="117"/>
      <c r="E33" s="125" t="e">
        <f>VLOOKUP(Table25755252691013434446474849565758596315181719224566677172737476777879939495100104109111113[[#This Row],[PEG]],Table1016[#All],3,FALSE)</f>
        <v>#N/A</v>
      </c>
    </row>
    <row r="34" spans="1:5" x14ac:dyDescent="0.35">
      <c r="A34" s="118">
        <v>27</v>
      </c>
      <c r="B34" s="114" t="s">
        <v>115</v>
      </c>
      <c r="C34" s="109" t="e">
        <f>VLOOKUP(Table25755252691013434446474849565758596315181719224566677172737476777879939495100104109111113[[#This Row],[PEG]],Table1016[#All],2,FALSE)</f>
        <v>#N/A</v>
      </c>
      <c r="D34" s="117"/>
      <c r="E34" s="125" t="e">
        <f>VLOOKUP(Table25755252691013434446474849565758596315181719224566677172737476777879939495100104109111113[[#This Row],[PEG]],Table1016[#All],3,FALSE)</f>
        <v>#N/A</v>
      </c>
    </row>
    <row r="35" spans="1:5" x14ac:dyDescent="0.35">
      <c r="A35" s="118">
        <v>28</v>
      </c>
      <c r="B35" s="114" t="s">
        <v>124</v>
      </c>
      <c r="C35" s="109" t="e">
        <f>VLOOKUP(Table25755252691013434446474849565758596315181719224566677172737476777879939495100104109111113[[#This Row],[PEG]],Table1016[#All],2,FALSE)</f>
        <v>#N/A</v>
      </c>
      <c r="D35" s="117"/>
      <c r="E35" s="125" t="e">
        <f>VLOOKUP(Table25755252691013434446474849565758596315181719224566677172737476777879939495100104109111113[[#This Row],[PEG]],Table1016[#All],3,FALSE)</f>
        <v>#N/A</v>
      </c>
    </row>
    <row r="36" spans="1:5" x14ac:dyDescent="0.35">
      <c r="A36" s="118">
        <v>29</v>
      </c>
      <c r="B36" s="114" t="s">
        <v>115</v>
      </c>
      <c r="C36" s="109" t="e">
        <f>VLOOKUP(Table25755252691013434446474849565758596315181719224566677172737476777879939495100104109111113[[#This Row],[PEG]],Table1016[#All],2,FALSE)</f>
        <v>#N/A</v>
      </c>
      <c r="D36" s="117"/>
      <c r="E36" s="125" t="e">
        <f>VLOOKUP(Table25755252691013434446474849565758596315181719224566677172737476777879939495100104109111113[[#This Row],[PEG]],Table1016[#All],3,FALSE)</f>
        <v>#N/A</v>
      </c>
    </row>
    <row r="37" spans="1:5" x14ac:dyDescent="0.35">
      <c r="A37" s="118">
        <v>30</v>
      </c>
      <c r="B37" s="114" t="s">
        <v>12</v>
      </c>
      <c r="C37" s="109" t="e">
        <f>VLOOKUP(Table25755252691013434446474849565758596315181719224566677172737476777879939495100104109111113[[#This Row],[PEG]],Table1016[#All],2,FALSE)</f>
        <v>#N/A</v>
      </c>
      <c r="D37" s="117"/>
      <c r="E37" s="125" t="e">
        <f>VLOOKUP(Table25755252691013434446474849565758596315181719224566677172737476777879939495100104109111113[[#This Row],[PEG]],Table1016[#All],3,FALSE)</f>
        <v>#N/A</v>
      </c>
    </row>
    <row r="38" spans="1:5" x14ac:dyDescent="0.35">
      <c r="A38" s="118">
        <v>31</v>
      </c>
      <c r="B38" s="114" t="s">
        <v>12</v>
      </c>
      <c r="C38" s="109" t="e">
        <f>VLOOKUP(Table25755252691013434446474849565758596315181719224566677172737476777879939495100104109111113[[#This Row],[PEG]],Table1016[#All],2,FALSE)</f>
        <v>#N/A</v>
      </c>
      <c r="D38" s="117"/>
      <c r="E38" s="125" t="e">
        <f>VLOOKUP(Table25755252691013434446474849565758596315181719224566677172737476777879939495100104109111113[[#This Row],[PEG]],Table1016[#All],3,FALSE)</f>
        <v>#N/A</v>
      </c>
    </row>
    <row r="39" spans="1:5" x14ac:dyDescent="0.35">
      <c r="A39" s="118">
        <v>32</v>
      </c>
      <c r="B39" s="114" t="s">
        <v>12</v>
      </c>
      <c r="C39" s="109" t="e">
        <f>VLOOKUP(Table25755252691013434446474849565758596315181719224566677172737476777879939495100104109111113[[#This Row],[PEG]],Table1016[#All],2,FALSE)</f>
        <v>#N/A</v>
      </c>
      <c r="D39" s="117"/>
      <c r="E39" s="125" t="e">
        <f>VLOOKUP(Table25755252691013434446474849565758596315181719224566677172737476777879939495100104109111113[[#This Row],[PEG]],Table1016[#All],3,FALSE)</f>
        <v>#N/A</v>
      </c>
    </row>
    <row r="40" spans="1:5" x14ac:dyDescent="0.35">
      <c r="A40" s="118">
        <v>33</v>
      </c>
      <c r="B40" s="114" t="s">
        <v>12</v>
      </c>
      <c r="C40" s="109" t="e">
        <f>VLOOKUP(Table25755252691013434446474849565758596315181719224566677172737476777879939495100104109111113[[#This Row],[PEG]],Table1016[#All],2,FALSE)</f>
        <v>#N/A</v>
      </c>
      <c r="D40" s="117"/>
      <c r="E40" s="125" t="e">
        <f>VLOOKUP(Table25755252691013434446474849565758596315181719224566677172737476777879939495100104109111113[[#This Row],[PEG]],Table1016[#All],3,FALSE)</f>
        <v>#N/A</v>
      </c>
    </row>
    <row r="41" spans="1:5" x14ac:dyDescent="0.35">
      <c r="A41" s="118">
        <v>34</v>
      </c>
      <c r="B41" s="114" t="s">
        <v>115</v>
      </c>
      <c r="C41" s="109" t="e">
        <f>VLOOKUP(Table25755252691013434446474849565758596315181719224566677172737476777879939495100104109111113[[#This Row],[PEG]],Table1016[#All],2,FALSE)</f>
        <v>#N/A</v>
      </c>
      <c r="D41" s="117"/>
      <c r="E41" s="125" t="e">
        <f>VLOOKUP(Table25755252691013434446474849565758596315181719224566677172737476777879939495100104109111113[[#This Row],[PEG]],Table1016[#All],3,FALSE)</f>
        <v>#N/A</v>
      </c>
    </row>
    <row r="42" spans="1:5" x14ac:dyDescent="0.35">
      <c r="A42" s="118">
        <v>35</v>
      </c>
      <c r="B42" s="114" t="s">
        <v>13</v>
      </c>
      <c r="C42" s="18" t="s">
        <v>13</v>
      </c>
      <c r="D42" s="115"/>
      <c r="E42" s="32"/>
    </row>
  </sheetData>
  <mergeCells count="1">
    <mergeCell ref="A1:B1"/>
  </mergeCells>
  <conditionalFormatting sqref="B8:B18">
    <cfRule type="containsText" dxfId="4203" priority="1" operator="containsText" text="Hear">
      <formula>NOT(ISERROR(SEARCH("Hear",B8)))</formula>
    </cfRule>
  </conditionalFormatting>
  <conditionalFormatting sqref="B36:B38 B40:B41">
    <cfRule type="containsText" dxfId="4202" priority="3" operator="containsText" text="Hear">
      <formula>NOT(ISERROR(SEARCH("Hear",B36)))</formula>
    </cfRule>
  </conditionalFormatting>
  <conditionalFormatting sqref="B19:B29 B31:B35 B42">
    <cfRule type="containsText" dxfId="4201" priority="7" operator="containsText" text="Hear">
      <formula>NOT(ISERROR(SEARCH("Hear",B19)))</formula>
    </cfRule>
  </conditionalFormatting>
  <conditionalFormatting sqref="E42">
    <cfRule type="containsText" dxfId="4200" priority="5" operator="containsText" text="WEB SERVICE">
      <formula>NOT(ISERROR(SEARCH("WEB SERVICE",E42)))</formula>
    </cfRule>
    <cfRule type="containsText" dxfId="4199" priority="6" operator="containsText" text="DB">
      <formula>NOT(ISERROR(SEARCH("DB",E42)))</formula>
    </cfRule>
  </conditionalFormatting>
  <conditionalFormatting sqref="C42">
    <cfRule type="expression" dxfId="4198" priority="8">
      <formula>$B42="Dial"</formula>
    </cfRule>
    <cfRule type="expression" dxfId="4197" priority="10">
      <formula>$B42="HANGUP"</formula>
    </cfRule>
  </conditionalFormatting>
  <conditionalFormatting sqref="C42">
    <cfRule type="expression" dxfId="4196" priority="2">
      <formula>$B42="Speak"</formula>
    </cfRule>
  </conditionalFormatting>
  <conditionalFormatting sqref="B30">
    <cfRule type="containsText" dxfId="4195" priority="4" operator="containsText" text="Hear">
      <formula>NOT(ISERROR(SEARCH("Hear",B30)))</formula>
    </cfRule>
  </conditionalFormatting>
  <hyperlinks>
    <hyperlink ref="A1" location="'Test Case Overview'!A1" display="Return to Test Case Overview" xr:uid="{74252E76-BC60-49F8-BA70-1339167F2D57}"/>
  </hyperlinks>
  <pageMargins left="0.7" right="0.7" top="0.75" bottom="0.75" header="0.3" footer="0.3"/>
  <pageSetup orientation="portrait" verticalDpi="0" r:id="rId1"/>
  <tableParts count="1">
    <tablePart r:id="rId2"/>
  </tableParts>
  <extLst>
    <ext xmlns:x14="http://schemas.microsoft.com/office/spreadsheetml/2009/9/main" uri="{78C0D931-6437-407d-A8EE-F0AAD7539E65}">
      <x14:conditionalFormattings>
        <x14:conditionalFormatting xmlns:xm="http://schemas.microsoft.com/office/excel/2006/main">
          <x14:cfRule type="expression" priority="11" id="{D9868C18-8065-4AC6-9538-7F54A50334C3}">
            <xm:f>'TC1'!$B8="HANGUP"</xm:f>
            <x14:dxf>
              <font>
                <b/>
                <i val="0"/>
              </font>
            </x14:dxf>
          </x14:cfRule>
          <x14:cfRule type="expression" priority="12" id="{F265DE1B-AE71-4D7C-96FD-7FCAEA423CCC}">
            <xm:f>'TC1'!$B8="Dial"</xm:f>
            <x14:dxf>
              <font>
                <b/>
                <i val="0"/>
                <color rgb="FFFF0000"/>
              </font>
            </x14:dxf>
          </x14:cfRule>
          <xm:sqref>C8</xm:sqref>
        </x14:conditionalFormatting>
        <x14:conditionalFormatting xmlns:xm="http://schemas.microsoft.com/office/excel/2006/main">
          <x14:cfRule type="expression" priority="13" id="{63597B58-7004-4E3D-860E-58DBDDB3E648}">
            <xm:f>'TC1'!$B8="Speak"</xm:f>
            <x14:dxf>
              <font>
                <b/>
                <i val="0"/>
                <color rgb="FFFF0000"/>
              </font>
            </x14:dxf>
          </x14:cfRule>
          <xm:sqref>C8</xm:sqref>
        </x14:conditionalFormatting>
        <x14:conditionalFormatting xmlns:xm="http://schemas.microsoft.com/office/excel/2006/main">
          <x14:cfRule type="containsText" priority="16" operator="containsText" text="Hear" id="{C2D5760B-B196-423A-AF2F-42A08065C469}">
            <xm:f>NOT(ISERROR(SEARCH("Hear",'TC3'!B34)))</xm:f>
            <x14:dxf>
              <font>
                <color theme="9" tint="-0.24994659260841701"/>
              </font>
              <fill>
                <patternFill>
                  <bgColor theme="9" tint="0.59996337778862885"/>
                </patternFill>
              </fill>
            </x14:dxf>
          </x14:cfRule>
          <xm:sqref>B41</xm:sqref>
        </x14:conditionalFormatting>
        <x14:conditionalFormatting xmlns:xm="http://schemas.microsoft.com/office/excel/2006/main">
          <x14:cfRule type="expression" priority="1523" id="{D9868C18-8065-4AC6-9538-7F54A50334C3}">
            <xm:f>'TC1'!$B16="HANGUP"</xm:f>
            <x14:dxf>
              <font>
                <b/>
                <i val="0"/>
              </font>
            </x14:dxf>
          </x14:cfRule>
          <x14:cfRule type="expression" priority="1524" id="{F265DE1B-AE71-4D7C-96FD-7FCAEA423CCC}">
            <xm:f>'TC1'!$B16="Dial"</xm:f>
            <x14:dxf>
              <font>
                <b/>
                <i val="0"/>
                <color rgb="FFFF0000"/>
              </font>
            </x14:dxf>
          </x14:cfRule>
          <xm:sqref>C34:C41</xm:sqref>
        </x14:conditionalFormatting>
        <x14:conditionalFormatting xmlns:xm="http://schemas.microsoft.com/office/excel/2006/main">
          <x14:cfRule type="expression" priority="1525" id="{D9868C18-8065-4AC6-9538-7F54A50334C3}">
            <xm:f>'TC1'!#REF!="HANGUP"</xm:f>
            <x14:dxf>
              <font>
                <b/>
                <i val="0"/>
              </font>
            </x14:dxf>
          </x14:cfRule>
          <x14:cfRule type="expression" priority="1526" id="{F265DE1B-AE71-4D7C-96FD-7FCAEA423CCC}">
            <xm:f>'TC1'!#REF!="Dial"</xm:f>
            <x14:dxf>
              <font>
                <b/>
                <i val="0"/>
                <color rgb="FFFF0000"/>
              </font>
            </x14:dxf>
          </x14:cfRule>
          <xm:sqref>C17:C33</xm:sqref>
        </x14:conditionalFormatting>
        <x14:conditionalFormatting xmlns:xm="http://schemas.microsoft.com/office/excel/2006/main">
          <x14:cfRule type="expression" priority="1530" id="{63597B58-7004-4E3D-860E-58DBDDB3E648}">
            <xm:f>'TC1'!$B16="Speak"</xm:f>
            <x14:dxf>
              <font>
                <b/>
                <i val="0"/>
                <color rgb="FFFF0000"/>
              </font>
            </x14:dxf>
          </x14:cfRule>
          <xm:sqref>C34:C41</xm:sqref>
        </x14:conditionalFormatting>
        <x14:conditionalFormatting xmlns:xm="http://schemas.microsoft.com/office/excel/2006/main">
          <x14:cfRule type="expression" priority="1531" id="{63597B58-7004-4E3D-860E-58DBDDB3E648}">
            <xm:f>'TC1'!#REF!="Speak"</xm:f>
            <x14:dxf>
              <font>
                <b/>
                <i val="0"/>
                <color rgb="FFFF0000"/>
              </font>
            </x14:dxf>
          </x14:cfRule>
          <xm:sqref>C17:C33</xm:sqref>
        </x14:conditionalFormatting>
        <x14:conditionalFormatting xmlns:xm="http://schemas.microsoft.com/office/excel/2006/main">
          <x14:cfRule type="containsText" priority="1535" operator="containsText" text="DB" id="{688F8D66-190F-46C5-9D43-9549E6E78013}">
            <xm:f>NOT(ISERROR(SEARCH("DB",'TC1'!E16)))</xm:f>
            <x14:dxf>
              <font>
                <color rgb="FF006100"/>
              </font>
              <fill>
                <patternFill>
                  <bgColor rgb="FFC6EFCE"/>
                </patternFill>
              </fill>
            </x14:dxf>
          </x14:cfRule>
          <x14:cfRule type="containsText" priority="1536" operator="containsText" text="WEB SERVICE" id="{56585F14-0302-4086-9E10-F50DABA8940A}">
            <xm:f>NOT(ISERROR(SEARCH("WEB SERVICE",'TC1'!E16)))</xm:f>
            <x14:dxf>
              <font>
                <color rgb="FF9C0006"/>
              </font>
              <fill>
                <patternFill>
                  <bgColor rgb="FFFFC7CE"/>
                </patternFill>
              </fill>
            </x14:dxf>
          </x14:cfRule>
          <xm:sqref>E34:E41</xm:sqref>
        </x14:conditionalFormatting>
        <x14:conditionalFormatting xmlns:xm="http://schemas.microsoft.com/office/excel/2006/main">
          <x14:cfRule type="containsText" priority="1537" operator="containsText" text="DB" id="{688F8D66-190F-46C5-9D43-9549E6E78013}">
            <xm:f>NOT(ISERROR(SEARCH("DB",'TC1'!#REF!)))</xm:f>
            <x14:dxf>
              <font>
                <color rgb="FF006100"/>
              </font>
              <fill>
                <patternFill>
                  <bgColor rgb="FFC6EFCE"/>
                </patternFill>
              </fill>
            </x14:dxf>
          </x14:cfRule>
          <x14:cfRule type="containsText" priority="1538" operator="containsText" text="WEB SERVICE" id="{56585F14-0302-4086-9E10-F50DABA8940A}">
            <xm:f>NOT(ISERROR(SEARCH("WEB SERVICE",'TC1'!#REF!)))</xm:f>
            <x14:dxf>
              <font>
                <color rgb="FF9C0006"/>
              </font>
              <fill>
                <patternFill>
                  <bgColor rgb="FFFFC7CE"/>
                </patternFill>
              </fill>
            </x14:dxf>
          </x14:cfRule>
          <xm:sqref>E17:E33</xm:sqref>
        </x14:conditionalFormatting>
        <x14:conditionalFormatting xmlns:xm="http://schemas.microsoft.com/office/excel/2006/main">
          <x14:cfRule type="expression" priority="4309" id="{D9868C18-8065-4AC6-9538-7F54A50334C3}">
            <xm:f>'TC1'!$B9="HANGUP"</xm:f>
            <x14:dxf>
              <font>
                <b/>
                <i val="0"/>
              </font>
            </x14:dxf>
          </x14:cfRule>
          <x14:cfRule type="expression" priority="4310" id="{F265DE1B-AE71-4D7C-96FD-7FCAEA423CCC}">
            <xm:f>'TC1'!$B9="Dial"</xm:f>
            <x14:dxf>
              <font>
                <b/>
                <i val="0"/>
                <color rgb="FFFF0000"/>
              </font>
            </x14:dxf>
          </x14:cfRule>
          <xm:sqref>C12:C15</xm:sqref>
        </x14:conditionalFormatting>
        <x14:conditionalFormatting xmlns:xm="http://schemas.microsoft.com/office/excel/2006/main">
          <x14:cfRule type="expression" priority="4311" id="{D9868C18-8065-4AC6-9538-7F54A50334C3}">
            <xm:f>'TC1'!#REF!="HANGUP"</xm:f>
            <x14:dxf>
              <font>
                <b/>
                <i val="0"/>
              </font>
            </x14:dxf>
          </x14:cfRule>
          <x14:cfRule type="expression" priority="4312" id="{F265DE1B-AE71-4D7C-96FD-7FCAEA423CCC}">
            <xm:f>'TC1'!#REF!="Dial"</xm:f>
            <x14:dxf>
              <font>
                <b/>
                <i val="0"/>
                <color rgb="FFFF0000"/>
              </font>
            </x14:dxf>
          </x14:cfRule>
          <xm:sqref>C9:C11</xm:sqref>
        </x14:conditionalFormatting>
        <x14:conditionalFormatting xmlns:xm="http://schemas.microsoft.com/office/excel/2006/main">
          <x14:cfRule type="expression" priority="4316" id="{63597B58-7004-4E3D-860E-58DBDDB3E648}">
            <xm:f>'TC1'!$B9="Speak"</xm:f>
            <x14:dxf>
              <font>
                <b/>
                <i val="0"/>
                <color rgb="FFFF0000"/>
              </font>
            </x14:dxf>
          </x14:cfRule>
          <xm:sqref>C12:C15</xm:sqref>
        </x14:conditionalFormatting>
        <x14:conditionalFormatting xmlns:xm="http://schemas.microsoft.com/office/excel/2006/main">
          <x14:cfRule type="expression" priority="4317" id="{63597B58-7004-4E3D-860E-58DBDDB3E648}">
            <xm:f>'TC1'!#REF!="Speak"</xm:f>
            <x14:dxf>
              <font>
                <b/>
                <i val="0"/>
                <color rgb="FFFF0000"/>
              </font>
            </x14:dxf>
          </x14:cfRule>
          <xm:sqref>C9:C11</xm:sqref>
        </x14:conditionalFormatting>
        <x14:conditionalFormatting xmlns:xm="http://schemas.microsoft.com/office/excel/2006/main">
          <x14:cfRule type="containsText" priority="4319" operator="containsText" text="DB" id="{688F8D66-190F-46C5-9D43-9549E6E78013}">
            <xm:f>NOT(ISERROR(SEARCH("DB",'TC1'!#REF!)))</xm:f>
            <x14:dxf>
              <font>
                <color rgb="FF006100"/>
              </font>
              <fill>
                <patternFill>
                  <bgColor rgb="FFC6EFCE"/>
                </patternFill>
              </fill>
            </x14:dxf>
          </x14:cfRule>
          <x14:cfRule type="containsText" priority="4320" operator="containsText" text="WEB SERVICE" id="{56585F14-0302-4086-9E10-F50DABA8940A}">
            <xm:f>NOT(ISERROR(SEARCH("WEB SERVICE",'TC1'!#REF!)))</xm:f>
            <x14:dxf>
              <font>
                <color rgb="FF9C0006"/>
              </font>
              <fill>
                <patternFill>
                  <bgColor rgb="FFFFC7CE"/>
                </patternFill>
              </fill>
            </x14:dxf>
          </x14:cfRule>
          <xm:sqref>E9:E11</xm:sqref>
        </x14:conditionalFormatting>
        <x14:conditionalFormatting xmlns:xm="http://schemas.microsoft.com/office/excel/2006/main">
          <x14:cfRule type="containsText" priority="4321" operator="containsText" text="DB" id="{688F8D66-190F-46C5-9D43-9549E6E78013}">
            <xm:f>NOT(ISERROR(SEARCH("DB",'TC1'!E9)))</xm:f>
            <x14:dxf>
              <font>
                <color rgb="FF006100"/>
              </font>
              <fill>
                <patternFill>
                  <bgColor rgb="FFC6EFCE"/>
                </patternFill>
              </fill>
            </x14:dxf>
          </x14:cfRule>
          <x14:cfRule type="containsText" priority="4322" operator="containsText" text="WEB SERVICE" id="{56585F14-0302-4086-9E10-F50DABA8940A}">
            <xm:f>NOT(ISERROR(SEARCH("WEB SERVICE",'TC1'!E9)))</xm:f>
            <x14:dxf>
              <font>
                <color rgb="FF9C0006"/>
              </font>
              <fill>
                <patternFill>
                  <bgColor rgb="FFFFC7CE"/>
                </patternFill>
              </fill>
            </x14:dxf>
          </x14:cfRule>
          <xm:sqref>E12:E15</xm:sqref>
        </x14:conditionalFormatting>
        <x14:conditionalFormatting xmlns:xm="http://schemas.microsoft.com/office/excel/2006/main">
          <x14:cfRule type="expression" priority="6770" id="{D9868C18-8065-4AC6-9538-7F54A50334C3}">
            <xm:f>'TC1'!$B15="HANGUP"</xm:f>
            <x14:dxf>
              <font>
                <b/>
                <i val="0"/>
              </font>
            </x14:dxf>
          </x14:cfRule>
          <x14:cfRule type="expression" priority="6771" id="{F265DE1B-AE71-4D7C-96FD-7FCAEA423CCC}">
            <xm:f>'TC1'!$B15="Dial"</xm:f>
            <x14:dxf>
              <font>
                <b/>
                <i val="0"/>
                <color rgb="FFFF0000"/>
              </font>
            </x14:dxf>
          </x14:cfRule>
          <xm:sqref>C16</xm:sqref>
        </x14:conditionalFormatting>
        <x14:conditionalFormatting xmlns:xm="http://schemas.microsoft.com/office/excel/2006/main">
          <x14:cfRule type="expression" priority="6773" id="{63597B58-7004-4E3D-860E-58DBDDB3E648}">
            <xm:f>'TC1'!$B15="Speak"</xm:f>
            <x14:dxf>
              <font>
                <b/>
                <i val="0"/>
                <color rgb="FFFF0000"/>
              </font>
            </x14:dxf>
          </x14:cfRule>
          <xm:sqref>C16</xm:sqref>
        </x14:conditionalFormatting>
        <x14:conditionalFormatting xmlns:xm="http://schemas.microsoft.com/office/excel/2006/main">
          <x14:cfRule type="containsText" priority="6776" operator="containsText" text="DB" id="{688F8D66-190F-46C5-9D43-9549E6E78013}">
            <xm:f>NOT(ISERROR(SEARCH("DB",'TC1'!E15)))</xm:f>
            <x14:dxf>
              <font>
                <color rgb="FF006100"/>
              </font>
              <fill>
                <patternFill>
                  <bgColor rgb="FFC6EFCE"/>
                </patternFill>
              </fill>
            </x14:dxf>
          </x14:cfRule>
          <x14:cfRule type="containsText" priority="6777" operator="containsText" text="WEB SERVICE" id="{56585F14-0302-4086-9E10-F50DABA8940A}">
            <xm:f>NOT(ISERROR(SEARCH("WEB SERVICE",'TC1'!E15)))</xm:f>
            <x14:dxf>
              <font>
                <color rgb="FF9C0006"/>
              </font>
              <fill>
                <patternFill>
                  <bgColor rgb="FFFFC7CE"/>
                </patternFill>
              </fill>
            </x14:dxf>
          </x14:cfRule>
          <xm:sqref>E16</xm:sqref>
        </x14:conditionalFormatting>
        <x14:conditionalFormatting xmlns:xm="http://schemas.microsoft.com/office/excel/2006/main">
          <x14:cfRule type="containsText" priority="9094" operator="containsText" text="Hear" id="{0432B066-1810-417B-A46D-B16036F2E03B}">
            <xm:f>NOT(ISERROR(SEARCH("Hear",'TC26'!#REF!)))</xm:f>
            <x14:dxf>
              <font>
                <color theme="9" tint="-0.24994659260841701"/>
              </font>
              <fill>
                <patternFill>
                  <bgColor theme="9" tint="0.59996337778862885"/>
                </patternFill>
              </fill>
            </x14:dxf>
          </x14:cfRule>
          <xm:sqref>B39</xm:sqref>
        </x14:conditionalFormatting>
      </x14:conditionalFormattings>
    </ext>
  </extLst>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6"/>
  <dimension ref="A1:E42"/>
  <sheetViews>
    <sheetView zoomScaleNormal="100" workbookViewId="0">
      <selection activeCell="A2" sqref="A2"/>
    </sheetView>
  </sheetViews>
  <sheetFormatPr defaultRowHeight="14.5" x14ac:dyDescent="0.35"/>
  <cols>
    <col min="1" max="1" width="14.453125" bestFit="1" customWidth="1"/>
    <col min="2" max="2" width="42.6328125" customWidth="1"/>
    <col min="3" max="3" width="106.1796875" customWidth="1"/>
    <col min="4" max="4" width="21.81640625" bestFit="1" customWidth="1"/>
    <col min="5" max="5" width="20.6328125" customWidth="1"/>
  </cols>
  <sheetData>
    <row r="1" spans="1:5" ht="18.5" x14ac:dyDescent="0.35">
      <c r="A1" s="192" t="s">
        <v>4</v>
      </c>
      <c r="B1" s="192"/>
      <c r="C1" s="105"/>
      <c r="D1" s="111"/>
      <c r="E1" s="97"/>
    </row>
    <row r="2" spans="1:5" x14ac:dyDescent="0.35">
      <c r="A2" s="106" t="s">
        <v>5</v>
      </c>
      <c r="B2" s="107" t="str">
        <f ca="1">MID(CELL("filename",A1),FIND("]",CELL("filename",A1))+1,LEN(CELL("filename",A1))-FIND("]",CELL("filename",A1)))</f>
        <v>TC64</v>
      </c>
      <c r="C2" s="98"/>
      <c r="D2" s="111"/>
      <c r="E2" s="97"/>
    </row>
    <row r="3" spans="1:5" x14ac:dyDescent="0.35">
      <c r="A3" s="104" t="s">
        <v>19</v>
      </c>
      <c r="B3" s="112" t="e">
        <f ca="1">VLOOKUP(B2,Table1[#All],2,FALSE)</f>
        <v>#N/A</v>
      </c>
      <c r="C3" s="98"/>
      <c r="D3" s="111"/>
      <c r="E3" s="97"/>
    </row>
    <row r="4" spans="1:5" ht="29" x14ac:dyDescent="0.35">
      <c r="A4" s="113" t="s">
        <v>20</v>
      </c>
      <c r="B4" s="99" t="e">
        <f ca="1">VLOOKUP(B2,Table1[#All],4,FALSE)</f>
        <v>#N/A</v>
      </c>
      <c r="C4" s="98"/>
      <c r="D4" s="111"/>
      <c r="E4" s="97"/>
    </row>
    <row r="5" spans="1:5" x14ac:dyDescent="0.35">
      <c r="A5" s="104" t="s">
        <v>6</v>
      </c>
      <c r="B5" s="93" t="e">
        <f ca="1">VLOOKUP(B2,Table1[#All],3,FALSE)</f>
        <v>#N/A</v>
      </c>
      <c r="C5" s="98"/>
      <c r="D5" s="111"/>
      <c r="E5" s="97"/>
    </row>
    <row r="6" spans="1:5" x14ac:dyDescent="0.35">
      <c r="A6" s="97"/>
      <c r="B6" s="97"/>
      <c r="C6" s="98"/>
      <c r="D6" s="111"/>
      <c r="E6" s="97"/>
    </row>
    <row r="7" spans="1:5" ht="15.5" x14ac:dyDescent="0.35">
      <c r="A7" s="100" t="s">
        <v>7</v>
      </c>
      <c r="B7" s="101" t="s">
        <v>8</v>
      </c>
      <c r="C7" s="102" t="s">
        <v>9</v>
      </c>
      <c r="D7" s="102" t="s">
        <v>14</v>
      </c>
      <c r="E7" s="103" t="s">
        <v>10</v>
      </c>
    </row>
    <row r="8" spans="1:5" x14ac:dyDescent="0.35">
      <c r="A8" s="118">
        <v>1</v>
      </c>
      <c r="B8" s="114" t="s">
        <v>114</v>
      </c>
      <c r="C8" s="109" t="s">
        <v>125</v>
      </c>
      <c r="D8" s="128"/>
      <c r="E8" s="125" t="s">
        <v>11</v>
      </c>
    </row>
    <row r="9" spans="1:5" x14ac:dyDescent="0.35">
      <c r="A9" s="118">
        <v>2</v>
      </c>
      <c r="B9" s="114" t="s">
        <v>12</v>
      </c>
      <c r="C9" s="109" t="e">
        <f>VLOOKUP(Table25755252691013434446474849565758596315181719224566677172737476777879939495100104109111113115[[#This Row],[PEG]],Table1016[#All],2,FALSE)</f>
        <v>#N/A</v>
      </c>
      <c r="D9" s="128"/>
      <c r="E9" s="125" t="e">
        <f>VLOOKUP(Table25755252691013434446474849565758596315181719224566677172737476777879939495100104109111113115[[#This Row],[PEG]],Table1016[#All],3,FALSE)</f>
        <v>#N/A</v>
      </c>
    </row>
    <row r="10" spans="1:5" x14ac:dyDescent="0.35">
      <c r="A10" s="118">
        <v>3</v>
      </c>
      <c r="B10" s="114" t="s">
        <v>115</v>
      </c>
      <c r="C10" s="109" t="e">
        <f>VLOOKUP(Table25755252691013434446474849565758596315181719224566677172737476777879939495100104109111113115[[#This Row],[PEG]],Table1016[#All],2,FALSE)</f>
        <v>#N/A</v>
      </c>
      <c r="D10" s="128"/>
      <c r="E10" s="125" t="e">
        <f>VLOOKUP(Table25755252691013434446474849565758596315181719224566677172737476777879939495100104109111113115[[#This Row],[PEG]],Table1016[#All],3,FALSE)</f>
        <v>#N/A</v>
      </c>
    </row>
    <row r="11" spans="1:5" x14ac:dyDescent="0.35">
      <c r="A11" s="118">
        <v>4</v>
      </c>
      <c r="B11" s="114" t="s">
        <v>115</v>
      </c>
      <c r="C11" s="109" t="e">
        <f>VLOOKUP(Table25755252691013434446474849565758596315181719224566677172737476777879939495100104109111113115[[#This Row],[PEG]],Table1016[#All],2,FALSE)</f>
        <v>#N/A</v>
      </c>
      <c r="D11" s="128"/>
      <c r="E11" s="125" t="e">
        <f>VLOOKUP(Table25755252691013434446474849565758596315181719224566677172737476777879939495100104109111113115[[#This Row],[PEG]],Table1016[#All],3,FALSE)</f>
        <v>#N/A</v>
      </c>
    </row>
    <row r="12" spans="1:5" x14ac:dyDescent="0.35">
      <c r="A12" s="118">
        <v>5</v>
      </c>
      <c r="B12" s="114" t="s">
        <v>114</v>
      </c>
      <c r="C12" s="109" t="e">
        <f>VLOOKUP(Table25755252691013434446474849565758596315181719224566677172737476777879939495100104109111113115[[#This Row],[PEG]],Table1016[#All],2,FALSE)</f>
        <v>#N/A</v>
      </c>
      <c r="D12" s="128"/>
      <c r="E12" s="125" t="e">
        <f>VLOOKUP(Table25755252691013434446474849565758596315181719224566677172737476777879939495100104109111113115[[#This Row],[PEG]],Table1016[#All],3,FALSE)</f>
        <v>#N/A</v>
      </c>
    </row>
    <row r="13" spans="1:5" x14ac:dyDescent="0.35">
      <c r="A13" s="118">
        <v>6</v>
      </c>
      <c r="B13" s="114" t="s">
        <v>115</v>
      </c>
      <c r="C13" s="109" t="e">
        <f>VLOOKUP(Table25755252691013434446474849565758596315181719224566677172737476777879939495100104109111113115[[#This Row],[PEG]],Table1016[#All],2,FALSE)</f>
        <v>#N/A</v>
      </c>
      <c r="D13" s="128"/>
      <c r="E13" s="125" t="e">
        <f>VLOOKUP(Table25755252691013434446474849565758596315181719224566677172737476777879939495100104109111113115[[#This Row],[PEG]],Table1016[#All],3,FALSE)</f>
        <v>#N/A</v>
      </c>
    </row>
    <row r="14" spans="1:5" x14ac:dyDescent="0.35">
      <c r="A14" s="118">
        <v>7</v>
      </c>
      <c r="B14" s="114" t="s">
        <v>114</v>
      </c>
      <c r="C14" s="109" t="e">
        <f>VLOOKUP(Table25755252691013434446474849565758596315181719224566677172737476777879939495100104109111113115[[#This Row],[PEG]],Table1016[#All],2,FALSE)</f>
        <v>#N/A</v>
      </c>
      <c r="D14" s="128"/>
      <c r="E14" s="125" t="e">
        <f>VLOOKUP(Table25755252691013434446474849565758596315181719224566677172737476777879939495100104109111113115[[#This Row],[PEG]],Table1016[#All],3,FALSE)</f>
        <v>#N/A</v>
      </c>
    </row>
    <row r="15" spans="1:5" x14ac:dyDescent="0.35">
      <c r="A15" s="118">
        <v>8</v>
      </c>
      <c r="B15" s="114" t="s">
        <v>115</v>
      </c>
      <c r="C15" s="109" t="e">
        <f>VLOOKUP(Table25755252691013434446474849565758596315181719224566677172737476777879939495100104109111113115[[#This Row],[PEG]],Table1016[#All],2,FALSE)</f>
        <v>#N/A</v>
      </c>
      <c r="D15" s="116"/>
      <c r="E15" s="125" t="e">
        <f>VLOOKUP(Table25755252691013434446474849565758596315181719224566677172737476777879939495100104109111113115[[#This Row],[PEG]],Table1016[#All],3,FALSE)</f>
        <v>#N/A</v>
      </c>
    </row>
    <row r="16" spans="1:5" x14ac:dyDescent="0.35">
      <c r="A16" s="118">
        <v>9</v>
      </c>
      <c r="B16" s="114" t="s">
        <v>12</v>
      </c>
      <c r="C16" s="109" t="e">
        <f>VLOOKUP(Table25755252691013434446474849565758596315181719224566677172737476777879939495100104109111113115[[#This Row],[PEG]],Table1016[#All],2,FALSE)</f>
        <v>#N/A</v>
      </c>
      <c r="D16" s="116"/>
      <c r="E16" s="125" t="e">
        <f>VLOOKUP(Table25755252691013434446474849565758596315181719224566677172737476777879939495100104109111113115[[#This Row],[PEG]],Table1016[#All],3,FALSE)</f>
        <v>#N/A</v>
      </c>
    </row>
    <row r="17" spans="1:5" x14ac:dyDescent="0.35">
      <c r="A17" s="118">
        <v>10</v>
      </c>
      <c r="B17" s="114" t="s">
        <v>12</v>
      </c>
      <c r="C17" s="109" t="e">
        <f>VLOOKUP(Table25755252691013434446474849565758596315181719224566677172737476777879939495100104109111113115[[#This Row],[PEG]],Table1016[#All],2,FALSE)</f>
        <v>#N/A</v>
      </c>
      <c r="D17" s="117"/>
      <c r="E17" s="125" t="e">
        <f>VLOOKUP(Table25755252691013434446474849565758596315181719224566677172737476777879939495100104109111113115[[#This Row],[PEG]],Table1016[#All],3,FALSE)</f>
        <v>#N/A</v>
      </c>
    </row>
    <row r="18" spans="1:5" x14ac:dyDescent="0.35">
      <c r="A18" s="118">
        <v>11</v>
      </c>
      <c r="B18" s="114" t="s">
        <v>115</v>
      </c>
      <c r="C18" s="109" t="e">
        <f>VLOOKUP(Table25755252691013434446474849565758596315181719224566677172737476777879939495100104109111113115[[#This Row],[PEG]],Table1016[#All],2,FALSE)</f>
        <v>#N/A</v>
      </c>
      <c r="D18" s="117"/>
      <c r="E18" s="125" t="e">
        <f>VLOOKUP(Table25755252691013434446474849565758596315181719224566677172737476777879939495100104109111113115[[#This Row],[PEG]],Table1016[#All],3,FALSE)</f>
        <v>#N/A</v>
      </c>
    </row>
    <row r="19" spans="1:5" x14ac:dyDescent="0.35">
      <c r="A19" s="118">
        <v>12</v>
      </c>
      <c r="B19" s="114" t="s">
        <v>115</v>
      </c>
      <c r="C19" s="109" t="e">
        <f>VLOOKUP(Table25755252691013434446474849565758596315181719224566677172737476777879939495100104109111113115[[#This Row],[PEG]],Table1016[#All],2,FALSE)</f>
        <v>#N/A</v>
      </c>
      <c r="D19" s="117"/>
      <c r="E19" s="125" t="e">
        <f>VLOOKUP(Table25755252691013434446474849565758596315181719224566677172737476777879939495100104109111113115[[#This Row],[PEG]],Table1016[#All],3,FALSE)</f>
        <v>#N/A</v>
      </c>
    </row>
    <row r="20" spans="1:5" x14ac:dyDescent="0.35">
      <c r="A20" s="118">
        <v>13</v>
      </c>
      <c r="B20" s="114" t="s">
        <v>114</v>
      </c>
      <c r="C20" s="109" t="e">
        <f>VLOOKUP(Table25755252691013434446474849565758596315181719224566677172737476777879939495100104109111113115[[#This Row],[PEG]],Table1016[#All],2,FALSE)</f>
        <v>#N/A</v>
      </c>
      <c r="D20" s="117"/>
      <c r="E20" s="125" t="e">
        <f>VLOOKUP(Table25755252691013434446474849565758596315181719224566677172737476777879939495100104109111113115[[#This Row],[PEG]],Table1016[#All],3,FALSE)</f>
        <v>#N/A</v>
      </c>
    </row>
    <row r="21" spans="1:5" x14ac:dyDescent="0.35">
      <c r="A21" s="118">
        <v>14</v>
      </c>
      <c r="B21" s="114" t="s">
        <v>12</v>
      </c>
      <c r="C21" s="109" t="e">
        <f>VLOOKUP(Table25755252691013434446474849565758596315181719224566677172737476777879939495100104109111113115[[#This Row],[PEG]],Table1016[#All],2,FALSE)</f>
        <v>#N/A</v>
      </c>
      <c r="D21" s="117"/>
      <c r="E21" s="125" t="e">
        <f>VLOOKUP(Table25755252691013434446474849565758596315181719224566677172737476777879939495100104109111113115[[#This Row],[PEG]],Table1016[#All],3,FALSE)</f>
        <v>#N/A</v>
      </c>
    </row>
    <row r="22" spans="1:5" x14ac:dyDescent="0.35">
      <c r="A22" s="118">
        <v>15</v>
      </c>
      <c r="B22" s="114" t="s">
        <v>12</v>
      </c>
      <c r="C22" s="109" t="e">
        <f>VLOOKUP(Table25755252691013434446474849565758596315181719224566677172737476777879939495100104109111113115[[#This Row],[PEG]],Table1016[#All],2,FALSE)</f>
        <v>#N/A</v>
      </c>
      <c r="D22" s="117"/>
      <c r="E22" s="125" t="e">
        <f>VLOOKUP(Table25755252691013434446474849565758596315181719224566677172737476777879939495100104109111113115[[#This Row],[PEG]],Table1016[#All],3,FALSE)</f>
        <v>#N/A</v>
      </c>
    </row>
    <row r="23" spans="1:5" x14ac:dyDescent="0.35">
      <c r="A23" s="118">
        <v>16</v>
      </c>
      <c r="B23" s="114" t="s">
        <v>115</v>
      </c>
      <c r="C23" s="109" t="e">
        <f>VLOOKUP(Table25755252691013434446474849565758596315181719224566677172737476777879939495100104109111113115[[#This Row],[PEG]],Table1016[#All],2,FALSE)</f>
        <v>#N/A</v>
      </c>
      <c r="D23" s="117"/>
      <c r="E23" s="125" t="e">
        <f>VLOOKUP(Table25755252691013434446474849565758596315181719224566677172737476777879939495100104109111113115[[#This Row],[PEG]],Table1016[#All],3,FALSE)</f>
        <v>#N/A</v>
      </c>
    </row>
    <row r="24" spans="1:5" x14ac:dyDescent="0.35">
      <c r="A24" s="118">
        <v>17</v>
      </c>
      <c r="B24" s="114" t="s">
        <v>114</v>
      </c>
      <c r="C24" s="109" t="e">
        <f>VLOOKUP(Table25755252691013434446474849565758596315181719224566677172737476777879939495100104109111113115[[#This Row],[PEG]],Table1016[#All],2,FALSE)</f>
        <v>#N/A</v>
      </c>
      <c r="D24" s="117"/>
      <c r="E24" s="125" t="e">
        <f>VLOOKUP(Table25755252691013434446474849565758596315181719224566677172737476777879939495100104109111113115[[#This Row],[PEG]],Table1016[#All],3,FALSE)</f>
        <v>#N/A</v>
      </c>
    </row>
    <row r="25" spans="1:5" x14ac:dyDescent="0.35">
      <c r="A25" s="118">
        <v>18</v>
      </c>
      <c r="B25" s="114" t="s">
        <v>12</v>
      </c>
      <c r="C25" s="109" t="e">
        <f>VLOOKUP(Table25755252691013434446474849565758596315181719224566677172737476777879939495100104109111113115[[#This Row],[PEG]],Table1016[#All],2,FALSE)</f>
        <v>#N/A</v>
      </c>
      <c r="D25" s="117"/>
      <c r="E25" s="125" t="e">
        <f>VLOOKUP(Table25755252691013434446474849565758596315181719224566677172737476777879939495100104109111113115[[#This Row],[PEG]],Table1016[#All],3,FALSE)</f>
        <v>#N/A</v>
      </c>
    </row>
    <row r="26" spans="1:5" x14ac:dyDescent="0.35">
      <c r="A26" s="118">
        <v>19</v>
      </c>
      <c r="B26" s="114" t="s">
        <v>12</v>
      </c>
      <c r="C26" s="109" t="e">
        <f>VLOOKUP(Table25755252691013434446474849565758596315181719224566677172737476777879939495100104109111113115[[#This Row],[PEG]],Table1016[#All],2,FALSE)</f>
        <v>#N/A</v>
      </c>
      <c r="D26" s="117"/>
      <c r="E26" s="125" t="e">
        <f>VLOOKUP(Table25755252691013434446474849565758596315181719224566677172737476777879939495100104109111113115[[#This Row],[PEG]],Table1016[#All],3,FALSE)</f>
        <v>#N/A</v>
      </c>
    </row>
    <row r="27" spans="1:5" x14ac:dyDescent="0.35">
      <c r="A27" s="118">
        <v>20</v>
      </c>
      <c r="B27" s="114" t="s">
        <v>115</v>
      </c>
      <c r="C27" s="109" t="e">
        <f>VLOOKUP(Table25755252691013434446474849565758596315181719224566677172737476777879939495100104109111113115[[#This Row],[PEG]],Table1016[#All],2,FALSE)</f>
        <v>#N/A</v>
      </c>
      <c r="D27" s="117"/>
      <c r="E27" s="125" t="e">
        <f>VLOOKUP(Table25755252691013434446474849565758596315181719224566677172737476777879939495100104109111113115[[#This Row],[PEG]],Table1016[#All],3,FALSE)</f>
        <v>#N/A</v>
      </c>
    </row>
    <row r="28" spans="1:5" x14ac:dyDescent="0.35">
      <c r="A28" s="118">
        <v>21</v>
      </c>
      <c r="B28" s="114" t="s">
        <v>114</v>
      </c>
      <c r="C28" s="109" t="e">
        <f>VLOOKUP(Table25755252691013434446474849565758596315181719224566677172737476777879939495100104109111113115[[#This Row],[PEG]],Table1016[#All],2,FALSE)</f>
        <v>#N/A</v>
      </c>
      <c r="D28" s="117"/>
      <c r="E28" s="125" t="e">
        <f>VLOOKUP(Table25755252691013434446474849565758596315181719224566677172737476777879939495100104109111113115[[#This Row],[PEG]],Table1016[#All],3,FALSE)</f>
        <v>#N/A</v>
      </c>
    </row>
    <row r="29" spans="1:5" x14ac:dyDescent="0.35">
      <c r="A29" s="118">
        <v>22</v>
      </c>
      <c r="B29" s="114" t="s">
        <v>12</v>
      </c>
      <c r="C29" s="109" t="e">
        <f>VLOOKUP(Table25755252691013434446474849565758596315181719224566677172737476777879939495100104109111113115[[#This Row],[PEG]],Table1016[#All],2,FALSE)</f>
        <v>#N/A</v>
      </c>
      <c r="D29" s="117"/>
      <c r="E29" s="125" t="e">
        <f>VLOOKUP(Table25755252691013434446474849565758596315181719224566677172737476777879939495100104109111113115[[#This Row],[PEG]],Table1016[#All],3,FALSE)</f>
        <v>#N/A</v>
      </c>
    </row>
    <row r="30" spans="1:5" x14ac:dyDescent="0.35">
      <c r="A30" s="118">
        <v>23</v>
      </c>
      <c r="B30" s="114" t="s">
        <v>12</v>
      </c>
      <c r="C30" s="109" t="e">
        <f>VLOOKUP(Table25755252691013434446474849565758596315181719224566677172737476777879939495100104109111113115[[#This Row],[PEG]],Table1016[#All],2,FALSE)</f>
        <v>#N/A</v>
      </c>
      <c r="D30" s="117"/>
      <c r="E30" s="125" t="e">
        <f>VLOOKUP(Table25755252691013434446474849565758596315181719224566677172737476777879939495100104109111113115[[#This Row],[PEG]],Table1016[#All],3,FALSE)</f>
        <v>#N/A</v>
      </c>
    </row>
    <row r="31" spans="1:5" x14ac:dyDescent="0.35">
      <c r="A31" s="118">
        <v>24</v>
      </c>
      <c r="B31" s="114" t="s">
        <v>115</v>
      </c>
      <c r="C31" s="109" t="e">
        <f>VLOOKUP(Table25755252691013434446474849565758596315181719224566677172737476777879939495100104109111113115[[#This Row],[PEG]],Table1016[#All],2,FALSE)</f>
        <v>#N/A</v>
      </c>
      <c r="D31" s="117"/>
      <c r="E31" s="125" t="e">
        <f>VLOOKUP(Table25755252691013434446474849565758596315181719224566677172737476777879939495100104109111113115[[#This Row],[PEG]],Table1016[#All],3,FALSE)</f>
        <v>#N/A</v>
      </c>
    </row>
    <row r="32" spans="1:5" x14ac:dyDescent="0.35">
      <c r="A32" s="118">
        <v>25</v>
      </c>
      <c r="B32" s="114" t="s">
        <v>115</v>
      </c>
      <c r="C32" s="109" t="e">
        <f>VLOOKUP(Table25755252691013434446474849565758596315181719224566677172737476777879939495100104109111113115[[#This Row],[PEG]],Table1016[#All],2,FALSE)</f>
        <v>#N/A</v>
      </c>
      <c r="D32" s="117"/>
      <c r="E32" s="125" t="e">
        <f>VLOOKUP(Table25755252691013434446474849565758596315181719224566677172737476777879939495100104109111113115[[#This Row],[PEG]],Table1016[#All],3,FALSE)</f>
        <v>#N/A</v>
      </c>
    </row>
    <row r="33" spans="1:5" x14ac:dyDescent="0.35">
      <c r="A33" s="118">
        <v>26</v>
      </c>
      <c r="B33" s="114" t="s">
        <v>124</v>
      </c>
      <c r="C33" s="109" t="e">
        <f>VLOOKUP(Table25755252691013434446474849565758596315181719224566677172737476777879939495100104109111113115[[#This Row],[PEG]],Table1016[#All],2,FALSE)</f>
        <v>#N/A</v>
      </c>
      <c r="D33" s="117"/>
      <c r="E33" s="125" t="e">
        <f>VLOOKUP(Table25755252691013434446474849565758596315181719224566677172737476777879939495100104109111113115[[#This Row],[PEG]],Table1016[#All],3,FALSE)</f>
        <v>#N/A</v>
      </c>
    </row>
    <row r="34" spans="1:5" x14ac:dyDescent="0.35">
      <c r="A34" s="118">
        <v>27</v>
      </c>
      <c r="B34" s="114" t="s">
        <v>115</v>
      </c>
      <c r="C34" s="109" t="e">
        <f>VLOOKUP(Table25755252691013434446474849565758596315181719224566677172737476777879939495100104109111113115[[#This Row],[PEG]],Table1016[#All],2,FALSE)</f>
        <v>#N/A</v>
      </c>
      <c r="D34" s="117"/>
      <c r="E34" s="125" t="e">
        <f>VLOOKUP(Table25755252691013434446474849565758596315181719224566677172737476777879939495100104109111113115[[#This Row],[PEG]],Table1016[#All],3,FALSE)</f>
        <v>#N/A</v>
      </c>
    </row>
    <row r="35" spans="1:5" x14ac:dyDescent="0.35">
      <c r="A35" s="118">
        <v>28</v>
      </c>
      <c r="B35" s="114" t="s">
        <v>124</v>
      </c>
      <c r="C35" s="109" t="e">
        <f>VLOOKUP(Table25755252691013434446474849565758596315181719224566677172737476777879939495100104109111113115[[#This Row],[PEG]],Table1016[#All],2,FALSE)</f>
        <v>#N/A</v>
      </c>
      <c r="D35" s="117"/>
      <c r="E35" s="125" t="e">
        <f>VLOOKUP(Table25755252691013434446474849565758596315181719224566677172737476777879939495100104109111113115[[#This Row],[PEG]],Table1016[#All],3,FALSE)</f>
        <v>#N/A</v>
      </c>
    </row>
    <row r="36" spans="1:5" x14ac:dyDescent="0.35">
      <c r="A36" s="118">
        <v>29</v>
      </c>
      <c r="B36" s="114" t="s">
        <v>115</v>
      </c>
      <c r="C36" s="109" t="e">
        <f>VLOOKUP(Table25755252691013434446474849565758596315181719224566677172737476777879939495100104109111113115[[#This Row],[PEG]],Table1016[#All],2,FALSE)</f>
        <v>#N/A</v>
      </c>
      <c r="D36" s="117"/>
      <c r="E36" s="125" t="e">
        <f>VLOOKUP(Table25755252691013434446474849565758596315181719224566677172737476777879939495100104109111113115[[#This Row],[PEG]],Table1016[#All],3,FALSE)</f>
        <v>#N/A</v>
      </c>
    </row>
    <row r="37" spans="1:5" x14ac:dyDescent="0.35">
      <c r="A37" s="118">
        <v>30</v>
      </c>
      <c r="B37" s="114" t="s">
        <v>12</v>
      </c>
      <c r="C37" s="109" t="e">
        <f>VLOOKUP(Table25755252691013434446474849565758596315181719224566677172737476777879939495100104109111113115[[#This Row],[PEG]],Table1016[#All],2,FALSE)</f>
        <v>#N/A</v>
      </c>
      <c r="D37" s="117"/>
      <c r="E37" s="125" t="e">
        <f>VLOOKUP(Table25755252691013434446474849565758596315181719224566677172737476777879939495100104109111113115[[#This Row],[PEG]],Table1016[#All],3,FALSE)</f>
        <v>#N/A</v>
      </c>
    </row>
    <row r="38" spans="1:5" x14ac:dyDescent="0.35">
      <c r="A38" s="118">
        <v>31</v>
      </c>
      <c r="B38" s="114" t="s">
        <v>12</v>
      </c>
      <c r="C38" s="109" t="e">
        <f>VLOOKUP(Table25755252691013434446474849565758596315181719224566677172737476777879939495100104109111113115[[#This Row],[PEG]],Table1016[#All],2,FALSE)</f>
        <v>#N/A</v>
      </c>
      <c r="D38" s="117"/>
      <c r="E38" s="125" t="e">
        <f>VLOOKUP(Table25755252691013434446474849565758596315181719224566677172737476777879939495100104109111113115[[#This Row],[PEG]],Table1016[#All],3,FALSE)</f>
        <v>#N/A</v>
      </c>
    </row>
    <row r="39" spans="1:5" x14ac:dyDescent="0.35">
      <c r="A39" s="118">
        <v>32</v>
      </c>
      <c r="B39" s="114" t="s">
        <v>12</v>
      </c>
      <c r="C39" s="109" t="e">
        <f>VLOOKUP(Table25755252691013434446474849565758596315181719224566677172737476777879939495100104109111113115[[#This Row],[PEG]],Table1016[#All],2,FALSE)</f>
        <v>#N/A</v>
      </c>
      <c r="D39" s="117"/>
      <c r="E39" s="125" t="e">
        <f>VLOOKUP(Table25755252691013434446474849565758596315181719224566677172737476777879939495100104109111113115[[#This Row],[PEG]],Table1016[#All],3,FALSE)</f>
        <v>#N/A</v>
      </c>
    </row>
    <row r="40" spans="1:5" x14ac:dyDescent="0.35">
      <c r="A40" s="118">
        <v>33</v>
      </c>
      <c r="B40" s="114" t="s">
        <v>12</v>
      </c>
      <c r="C40" s="109" t="e">
        <f>VLOOKUP(Table25755252691013434446474849565758596315181719224566677172737476777879939495100104109111113115[[#This Row],[PEG]],Table1016[#All],2,FALSE)</f>
        <v>#N/A</v>
      </c>
      <c r="D40" s="117"/>
      <c r="E40" s="125" t="e">
        <f>VLOOKUP(Table25755252691013434446474849565758596315181719224566677172737476777879939495100104109111113115[[#This Row],[PEG]],Table1016[#All],3,FALSE)</f>
        <v>#N/A</v>
      </c>
    </row>
    <row r="41" spans="1:5" x14ac:dyDescent="0.35">
      <c r="A41" s="118">
        <v>34</v>
      </c>
      <c r="B41" s="114" t="s">
        <v>115</v>
      </c>
      <c r="C41" s="109" t="e">
        <f>VLOOKUP(Table25755252691013434446474849565758596315181719224566677172737476777879939495100104109111113115[[#This Row],[PEG]],Table1016[#All],2,FALSE)</f>
        <v>#N/A</v>
      </c>
      <c r="D41" s="117"/>
      <c r="E41" s="125" t="e">
        <f>VLOOKUP(Table25755252691013434446474849565758596315181719224566677172737476777879939495100104109111113115[[#This Row],[PEG]],Table1016[#All],3,FALSE)</f>
        <v>#N/A</v>
      </c>
    </row>
    <row r="42" spans="1:5" x14ac:dyDescent="0.35">
      <c r="A42" s="118">
        <v>35</v>
      </c>
      <c r="B42" s="114" t="s">
        <v>13</v>
      </c>
      <c r="C42" s="18" t="s">
        <v>13</v>
      </c>
      <c r="D42" s="115"/>
      <c r="E42" s="32"/>
    </row>
  </sheetData>
  <mergeCells count="1">
    <mergeCell ref="A1:B1"/>
  </mergeCells>
  <conditionalFormatting sqref="B8:B18">
    <cfRule type="containsText" dxfId="4164" priority="1" operator="containsText" text="Hear">
      <formula>NOT(ISERROR(SEARCH("Hear",B8)))</formula>
    </cfRule>
  </conditionalFormatting>
  <conditionalFormatting sqref="B36:B38 B40:B41">
    <cfRule type="containsText" dxfId="4163" priority="3" operator="containsText" text="Hear">
      <formula>NOT(ISERROR(SEARCH("Hear",B36)))</formula>
    </cfRule>
  </conditionalFormatting>
  <conditionalFormatting sqref="B19:B29 B31:B35 B42">
    <cfRule type="containsText" dxfId="4162" priority="7" operator="containsText" text="Hear">
      <formula>NOT(ISERROR(SEARCH("Hear",B19)))</formula>
    </cfRule>
  </conditionalFormatting>
  <conditionalFormatting sqref="E42">
    <cfRule type="containsText" dxfId="4161" priority="5" operator="containsText" text="WEB SERVICE">
      <formula>NOT(ISERROR(SEARCH("WEB SERVICE",E42)))</formula>
    </cfRule>
    <cfRule type="containsText" dxfId="4160" priority="6" operator="containsText" text="DB">
      <formula>NOT(ISERROR(SEARCH("DB",E42)))</formula>
    </cfRule>
  </conditionalFormatting>
  <conditionalFormatting sqref="C42">
    <cfRule type="expression" dxfId="4159" priority="10">
      <formula>$B42="HANGUP"</formula>
    </cfRule>
  </conditionalFormatting>
  <conditionalFormatting sqref="B30">
    <cfRule type="containsText" dxfId="4158" priority="4" operator="containsText" text="Hear">
      <formula>NOT(ISERROR(SEARCH("Hear",B30)))</formula>
    </cfRule>
  </conditionalFormatting>
  <hyperlinks>
    <hyperlink ref="A1" location="'Test Case Overview'!A1" display="Return to Test Case Overview" xr:uid="{3E8E1953-65B2-44F2-9EB7-A790AA5A0A35}"/>
  </hyperlinks>
  <pageMargins left="0.7" right="0.7" top="0.75" bottom="0.75" header="0.3" footer="0.3"/>
  <pageSetup orientation="portrait" verticalDpi="0" r:id="rId1"/>
  <tableParts count="1">
    <tablePart r:id="rId2"/>
  </tableParts>
  <extLst>
    <ext xmlns:x14="http://schemas.microsoft.com/office/spreadsheetml/2009/9/main" uri="{78C0D931-6437-407d-A8EE-F0AAD7539E65}">
      <x14:conditionalFormattings>
        <x14:conditionalFormatting xmlns:xm="http://schemas.microsoft.com/office/excel/2006/main">
          <x14:cfRule type="expression" priority="11" id="{0FBCFE03-A690-4A7B-962E-C82EF588F255}">
            <xm:f>'TC1'!$B8="HANGUP"</xm:f>
            <x14:dxf>
              <font>
                <b/>
                <i val="0"/>
              </font>
            </x14:dxf>
          </x14:cfRule>
          <x14:cfRule type="expression" priority="12" id="{5872C411-63B7-42EE-9449-714E7B50C9F6}">
            <xm:f>'TC1'!$B8="Dial"</xm:f>
            <x14:dxf>
              <font>
                <b/>
                <i val="0"/>
                <color rgb="FFFF0000"/>
              </font>
            </x14:dxf>
          </x14:cfRule>
          <xm:sqref>C8</xm:sqref>
        </x14:conditionalFormatting>
        <x14:conditionalFormatting xmlns:xm="http://schemas.microsoft.com/office/excel/2006/main">
          <x14:cfRule type="expression" priority="13" id="{0D79EABC-446A-4D0C-A0E9-18C4B8D83550}">
            <xm:f>'TC1'!$B8="Speak"</xm:f>
            <x14:dxf>
              <font>
                <b/>
                <i val="0"/>
                <color rgb="FFFF0000"/>
              </font>
            </x14:dxf>
          </x14:cfRule>
          <xm:sqref>C8</xm:sqref>
        </x14:conditionalFormatting>
        <x14:conditionalFormatting xmlns:xm="http://schemas.microsoft.com/office/excel/2006/main">
          <x14:cfRule type="containsText" priority="2" operator="containsText" text="Hear" id="{F65AB5F2-8ABD-475A-B9AA-BA89CFA41570}">
            <xm:f>NOT(ISERROR(SEARCH("Hear",'TC3'!B34)))</xm:f>
            <x14:dxf>
              <font>
                <color theme="9" tint="-0.24994659260841701"/>
              </font>
              <fill>
                <patternFill>
                  <bgColor theme="9" tint="0.59996337778862885"/>
                </patternFill>
              </fill>
            </x14:dxf>
          </x14:cfRule>
          <xm:sqref>B41</xm:sqref>
        </x14:conditionalFormatting>
        <x14:conditionalFormatting xmlns:xm="http://schemas.microsoft.com/office/excel/2006/main">
          <x14:cfRule type="expression" priority="1543" id="{0FBCFE03-A690-4A7B-962E-C82EF588F255}">
            <xm:f>'TC1'!$B16="HANGUP"</xm:f>
            <x14:dxf>
              <font>
                <b/>
                <i val="0"/>
              </font>
            </x14:dxf>
          </x14:cfRule>
          <x14:cfRule type="expression" priority="1544" id="{5872C411-63B7-42EE-9449-714E7B50C9F6}">
            <xm:f>'TC1'!$B16="Dial"</xm:f>
            <x14:dxf>
              <font>
                <b/>
                <i val="0"/>
                <color rgb="FFFF0000"/>
              </font>
            </x14:dxf>
          </x14:cfRule>
          <xm:sqref>C34:C41</xm:sqref>
        </x14:conditionalFormatting>
        <x14:conditionalFormatting xmlns:xm="http://schemas.microsoft.com/office/excel/2006/main">
          <x14:cfRule type="expression" priority="1545" id="{0FBCFE03-A690-4A7B-962E-C82EF588F255}">
            <xm:f>'TC1'!#REF!="HANGUP"</xm:f>
            <x14:dxf>
              <font>
                <b/>
                <i val="0"/>
              </font>
            </x14:dxf>
          </x14:cfRule>
          <x14:cfRule type="expression" priority="1546" id="{5872C411-63B7-42EE-9449-714E7B50C9F6}">
            <xm:f>'TC1'!#REF!="Dial"</xm:f>
            <x14:dxf>
              <font>
                <b/>
                <i val="0"/>
                <color rgb="FFFF0000"/>
              </font>
            </x14:dxf>
          </x14:cfRule>
          <xm:sqref>C17:C33</xm:sqref>
        </x14:conditionalFormatting>
        <x14:conditionalFormatting xmlns:xm="http://schemas.microsoft.com/office/excel/2006/main">
          <x14:cfRule type="expression" priority="1550" id="{0D79EABC-446A-4D0C-A0E9-18C4B8D83550}">
            <xm:f>'TC1'!$B16="Speak"</xm:f>
            <x14:dxf>
              <font>
                <b/>
                <i val="0"/>
                <color rgb="FFFF0000"/>
              </font>
            </x14:dxf>
          </x14:cfRule>
          <xm:sqref>C34:C41</xm:sqref>
        </x14:conditionalFormatting>
        <x14:conditionalFormatting xmlns:xm="http://schemas.microsoft.com/office/excel/2006/main">
          <x14:cfRule type="expression" priority="1551" id="{0D79EABC-446A-4D0C-A0E9-18C4B8D83550}">
            <xm:f>'TC1'!#REF!="Speak"</xm:f>
            <x14:dxf>
              <font>
                <b/>
                <i val="0"/>
                <color rgb="FFFF0000"/>
              </font>
            </x14:dxf>
          </x14:cfRule>
          <xm:sqref>C17:C33</xm:sqref>
        </x14:conditionalFormatting>
        <x14:conditionalFormatting xmlns:xm="http://schemas.microsoft.com/office/excel/2006/main">
          <x14:cfRule type="containsText" priority="1555" operator="containsText" text="DB" id="{D162B6CB-5A24-46F2-AFFC-3892065576C1}">
            <xm:f>NOT(ISERROR(SEARCH("DB",'TC1'!E16)))</xm:f>
            <x14:dxf>
              <font>
                <color rgb="FF006100"/>
              </font>
              <fill>
                <patternFill>
                  <bgColor rgb="FFC6EFCE"/>
                </patternFill>
              </fill>
            </x14:dxf>
          </x14:cfRule>
          <x14:cfRule type="containsText" priority="1556" operator="containsText" text="WEB SERVICE" id="{8E176BB0-ACB0-47DC-8F7C-DE16E36804C5}">
            <xm:f>NOT(ISERROR(SEARCH("WEB SERVICE",'TC1'!E16)))</xm:f>
            <x14:dxf>
              <font>
                <color rgb="FF9C0006"/>
              </font>
              <fill>
                <patternFill>
                  <bgColor rgb="FFFFC7CE"/>
                </patternFill>
              </fill>
            </x14:dxf>
          </x14:cfRule>
          <xm:sqref>E34:E41</xm:sqref>
        </x14:conditionalFormatting>
        <x14:conditionalFormatting xmlns:xm="http://schemas.microsoft.com/office/excel/2006/main">
          <x14:cfRule type="containsText" priority="1557" operator="containsText" text="DB" id="{D162B6CB-5A24-46F2-AFFC-3892065576C1}">
            <xm:f>NOT(ISERROR(SEARCH("DB",'TC1'!#REF!)))</xm:f>
            <x14:dxf>
              <font>
                <color rgb="FF006100"/>
              </font>
              <fill>
                <patternFill>
                  <bgColor rgb="FFC6EFCE"/>
                </patternFill>
              </fill>
            </x14:dxf>
          </x14:cfRule>
          <x14:cfRule type="containsText" priority="1558" operator="containsText" text="WEB SERVICE" id="{8E176BB0-ACB0-47DC-8F7C-DE16E36804C5}">
            <xm:f>NOT(ISERROR(SEARCH("WEB SERVICE",'TC1'!#REF!)))</xm:f>
            <x14:dxf>
              <font>
                <color rgb="FF9C0006"/>
              </font>
              <fill>
                <patternFill>
                  <bgColor rgb="FFFFC7CE"/>
                </patternFill>
              </fill>
            </x14:dxf>
          </x14:cfRule>
          <xm:sqref>E17:E33</xm:sqref>
        </x14:conditionalFormatting>
        <x14:conditionalFormatting xmlns:xm="http://schemas.microsoft.com/office/excel/2006/main">
          <x14:cfRule type="expression" priority="4327" id="{0FBCFE03-A690-4A7B-962E-C82EF588F255}">
            <xm:f>'TC1'!$B9="HANGUP"</xm:f>
            <x14:dxf>
              <font>
                <b/>
                <i val="0"/>
              </font>
            </x14:dxf>
          </x14:cfRule>
          <x14:cfRule type="expression" priority="4328" id="{5872C411-63B7-42EE-9449-714E7B50C9F6}">
            <xm:f>'TC1'!$B9="Dial"</xm:f>
            <x14:dxf>
              <font>
                <b/>
                <i val="0"/>
                <color rgb="FFFF0000"/>
              </font>
            </x14:dxf>
          </x14:cfRule>
          <xm:sqref>C12:C15</xm:sqref>
        </x14:conditionalFormatting>
        <x14:conditionalFormatting xmlns:xm="http://schemas.microsoft.com/office/excel/2006/main">
          <x14:cfRule type="expression" priority="4329" id="{0FBCFE03-A690-4A7B-962E-C82EF588F255}">
            <xm:f>'TC1'!#REF!="HANGUP"</xm:f>
            <x14:dxf>
              <font>
                <b/>
                <i val="0"/>
              </font>
            </x14:dxf>
          </x14:cfRule>
          <x14:cfRule type="expression" priority="4330" id="{5872C411-63B7-42EE-9449-714E7B50C9F6}">
            <xm:f>'TC1'!#REF!="Dial"</xm:f>
            <x14:dxf>
              <font>
                <b/>
                <i val="0"/>
                <color rgb="FFFF0000"/>
              </font>
            </x14:dxf>
          </x14:cfRule>
          <xm:sqref>C9:C11</xm:sqref>
        </x14:conditionalFormatting>
        <x14:conditionalFormatting xmlns:xm="http://schemas.microsoft.com/office/excel/2006/main">
          <x14:cfRule type="expression" priority="4334" id="{0D79EABC-446A-4D0C-A0E9-18C4B8D83550}">
            <xm:f>'TC1'!$B9="Speak"</xm:f>
            <x14:dxf>
              <font>
                <b/>
                <i val="0"/>
                <color rgb="FFFF0000"/>
              </font>
            </x14:dxf>
          </x14:cfRule>
          <xm:sqref>C12:C15</xm:sqref>
        </x14:conditionalFormatting>
        <x14:conditionalFormatting xmlns:xm="http://schemas.microsoft.com/office/excel/2006/main">
          <x14:cfRule type="expression" priority="4335" id="{0D79EABC-446A-4D0C-A0E9-18C4B8D83550}">
            <xm:f>'TC1'!#REF!="Speak"</xm:f>
            <x14:dxf>
              <font>
                <b/>
                <i val="0"/>
                <color rgb="FFFF0000"/>
              </font>
            </x14:dxf>
          </x14:cfRule>
          <xm:sqref>C9:C11</xm:sqref>
        </x14:conditionalFormatting>
        <x14:conditionalFormatting xmlns:xm="http://schemas.microsoft.com/office/excel/2006/main">
          <x14:cfRule type="containsText" priority="4337" operator="containsText" text="DB" id="{D162B6CB-5A24-46F2-AFFC-3892065576C1}">
            <xm:f>NOT(ISERROR(SEARCH("DB",'TC1'!#REF!)))</xm:f>
            <x14:dxf>
              <font>
                <color rgb="FF006100"/>
              </font>
              <fill>
                <patternFill>
                  <bgColor rgb="FFC6EFCE"/>
                </patternFill>
              </fill>
            </x14:dxf>
          </x14:cfRule>
          <x14:cfRule type="containsText" priority="4338" operator="containsText" text="WEB SERVICE" id="{8E176BB0-ACB0-47DC-8F7C-DE16E36804C5}">
            <xm:f>NOT(ISERROR(SEARCH("WEB SERVICE",'TC1'!#REF!)))</xm:f>
            <x14:dxf>
              <font>
                <color rgb="FF9C0006"/>
              </font>
              <fill>
                <patternFill>
                  <bgColor rgb="FFFFC7CE"/>
                </patternFill>
              </fill>
            </x14:dxf>
          </x14:cfRule>
          <xm:sqref>E9:E11</xm:sqref>
        </x14:conditionalFormatting>
        <x14:conditionalFormatting xmlns:xm="http://schemas.microsoft.com/office/excel/2006/main">
          <x14:cfRule type="containsText" priority="4339" operator="containsText" text="DB" id="{D162B6CB-5A24-46F2-AFFC-3892065576C1}">
            <xm:f>NOT(ISERROR(SEARCH("DB",'TC1'!E9)))</xm:f>
            <x14:dxf>
              <font>
                <color rgb="FF006100"/>
              </font>
              <fill>
                <patternFill>
                  <bgColor rgb="FFC6EFCE"/>
                </patternFill>
              </fill>
            </x14:dxf>
          </x14:cfRule>
          <x14:cfRule type="containsText" priority="4340" operator="containsText" text="WEB SERVICE" id="{8E176BB0-ACB0-47DC-8F7C-DE16E36804C5}">
            <xm:f>NOT(ISERROR(SEARCH("WEB SERVICE",'TC1'!E9)))</xm:f>
            <x14:dxf>
              <font>
                <color rgb="FF9C0006"/>
              </font>
              <fill>
                <patternFill>
                  <bgColor rgb="FFFFC7CE"/>
                </patternFill>
              </fill>
            </x14:dxf>
          </x14:cfRule>
          <xm:sqref>E12:E15</xm:sqref>
        </x14:conditionalFormatting>
        <x14:conditionalFormatting xmlns:xm="http://schemas.microsoft.com/office/excel/2006/main">
          <x14:cfRule type="expression" priority="6785" id="{0FBCFE03-A690-4A7B-962E-C82EF588F255}">
            <xm:f>'TC1'!$B15="HANGUP"</xm:f>
            <x14:dxf>
              <font>
                <b/>
                <i val="0"/>
              </font>
            </x14:dxf>
          </x14:cfRule>
          <x14:cfRule type="expression" priority="6786" id="{5872C411-63B7-42EE-9449-714E7B50C9F6}">
            <xm:f>'TC1'!$B15="Dial"</xm:f>
            <x14:dxf>
              <font>
                <b/>
                <i val="0"/>
                <color rgb="FFFF0000"/>
              </font>
            </x14:dxf>
          </x14:cfRule>
          <xm:sqref>C16</xm:sqref>
        </x14:conditionalFormatting>
        <x14:conditionalFormatting xmlns:xm="http://schemas.microsoft.com/office/excel/2006/main">
          <x14:cfRule type="expression" priority="6788" id="{0D79EABC-446A-4D0C-A0E9-18C4B8D83550}">
            <xm:f>'TC1'!$B15="Speak"</xm:f>
            <x14:dxf>
              <font>
                <b/>
                <i val="0"/>
                <color rgb="FFFF0000"/>
              </font>
            </x14:dxf>
          </x14:cfRule>
          <xm:sqref>C16</xm:sqref>
        </x14:conditionalFormatting>
        <x14:conditionalFormatting xmlns:xm="http://schemas.microsoft.com/office/excel/2006/main">
          <x14:cfRule type="containsText" priority="6791" operator="containsText" text="DB" id="{D162B6CB-5A24-46F2-AFFC-3892065576C1}">
            <xm:f>NOT(ISERROR(SEARCH("DB",'TC1'!E15)))</xm:f>
            <x14:dxf>
              <font>
                <color rgb="FF006100"/>
              </font>
              <fill>
                <patternFill>
                  <bgColor rgb="FFC6EFCE"/>
                </patternFill>
              </fill>
            </x14:dxf>
          </x14:cfRule>
          <x14:cfRule type="containsText" priority="6792" operator="containsText" text="WEB SERVICE" id="{8E176BB0-ACB0-47DC-8F7C-DE16E36804C5}">
            <xm:f>NOT(ISERROR(SEARCH("WEB SERVICE",'TC1'!E15)))</xm:f>
            <x14:dxf>
              <font>
                <color rgb="FF9C0006"/>
              </font>
              <fill>
                <patternFill>
                  <bgColor rgb="FFFFC7CE"/>
                </patternFill>
              </fill>
            </x14:dxf>
          </x14:cfRule>
          <xm:sqref>E16</xm:sqref>
        </x14:conditionalFormatting>
        <x14:conditionalFormatting xmlns:xm="http://schemas.microsoft.com/office/excel/2006/main">
          <x14:cfRule type="containsText" priority="9114" operator="containsText" text="Hear" id="{C127224E-CE5C-475A-AE12-600CF1ED8048}">
            <xm:f>NOT(ISERROR(SEARCH("Hear",'TC26'!#REF!)))</xm:f>
            <x14:dxf>
              <font>
                <color theme="9" tint="-0.24994659260841701"/>
              </font>
              <fill>
                <patternFill>
                  <bgColor theme="9" tint="0.59996337778862885"/>
                </patternFill>
              </fill>
            </x14:dxf>
          </x14:cfRule>
          <xm:sqref>B39</xm:sqref>
        </x14:conditionalFormatting>
      </x14:conditionalFormattings>
    </ext>
  </extLst>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7"/>
  <dimension ref="A1:E42"/>
  <sheetViews>
    <sheetView zoomScaleNormal="100" workbookViewId="0">
      <selection activeCell="A2" sqref="A2"/>
    </sheetView>
  </sheetViews>
  <sheetFormatPr defaultRowHeight="14.5" x14ac:dyDescent="0.35"/>
  <cols>
    <col min="1" max="1" width="14.453125" bestFit="1" customWidth="1"/>
    <col min="2" max="2" width="42.6328125" customWidth="1"/>
    <col min="3" max="3" width="106.1796875" customWidth="1"/>
    <col min="4" max="4" width="21.81640625" bestFit="1" customWidth="1"/>
    <col min="5" max="5" width="20.6328125" customWidth="1"/>
  </cols>
  <sheetData>
    <row r="1" spans="1:5" ht="18.5" x14ac:dyDescent="0.35">
      <c r="A1" s="192" t="s">
        <v>4</v>
      </c>
      <c r="B1" s="192"/>
      <c r="C1" s="105"/>
      <c r="D1" s="111"/>
      <c r="E1" s="97"/>
    </row>
    <row r="2" spans="1:5" x14ac:dyDescent="0.35">
      <c r="A2" s="106" t="s">
        <v>5</v>
      </c>
      <c r="B2" s="107" t="str">
        <f ca="1">MID(CELL("filename",A1),FIND("]",CELL("filename",A1))+1,LEN(CELL("filename",A1))-FIND("]",CELL("filename",A1)))</f>
        <v>TC65</v>
      </c>
      <c r="C2" s="98"/>
      <c r="D2" s="111"/>
      <c r="E2" s="97"/>
    </row>
    <row r="3" spans="1:5" x14ac:dyDescent="0.35">
      <c r="A3" s="104" t="s">
        <v>19</v>
      </c>
      <c r="B3" s="112" t="e">
        <f ca="1">VLOOKUP(B2,Table1[#All],2,FALSE)</f>
        <v>#N/A</v>
      </c>
      <c r="C3" s="98"/>
      <c r="D3" s="111"/>
      <c r="E3" s="97"/>
    </row>
    <row r="4" spans="1:5" ht="29" x14ac:dyDescent="0.35">
      <c r="A4" s="113" t="s">
        <v>20</v>
      </c>
      <c r="B4" s="99" t="e">
        <f ca="1">VLOOKUP(B2,Table1[#All],4,FALSE)</f>
        <v>#N/A</v>
      </c>
      <c r="C4" s="98"/>
      <c r="D4" s="111"/>
      <c r="E4" s="97"/>
    </row>
    <row r="5" spans="1:5" x14ac:dyDescent="0.35">
      <c r="A5" s="104" t="s">
        <v>6</v>
      </c>
      <c r="B5" s="93" t="e">
        <f ca="1">VLOOKUP(B2,Table1[#All],3,FALSE)</f>
        <v>#N/A</v>
      </c>
      <c r="C5" s="98"/>
      <c r="D5" s="111"/>
      <c r="E5" s="97"/>
    </row>
    <row r="6" spans="1:5" x14ac:dyDescent="0.35">
      <c r="A6" s="97"/>
      <c r="B6" s="97"/>
      <c r="C6" s="98"/>
      <c r="D6" s="111"/>
      <c r="E6" s="97"/>
    </row>
    <row r="7" spans="1:5" ht="15.5" x14ac:dyDescent="0.35">
      <c r="A7" s="100" t="s">
        <v>7</v>
      </c>
      <c r="B7" s="101" t="s">
        <v>8</v>
      </c>
      <c r="C7" s="102" t="s">
        <v>9</v>
      </c>
      <c r="D7" s="102" t="s">
        <v>14</v>
      </c>
      <c r="E7" s="103" t="s">
        <v>10</v>
      </c>
    </row>
    <row r="8" spans="1:5" x14ac:dyDescent="0.35">
      <c r="A8" s="118">
        <v>1</v>
      </c>
      <c r="B8" s="114" t="s">
        <v>114</v>
      </c>
      <c r="C8" s="109" t="s">
        <v>125</v>
      </c>
      <c r="D8" s="128"/>
      <c r="E8" s="125" t="s">
        <v>11</v>
      </c>
    </row>
    <row r="9" spans="1:5" x14ac:dyDescent="0.35">
      <c r="A9" s="118">
        <v>2</v>
      </c>
      <c r="B9" s="114" t="s">
        <v>12</v>
      </c>
      <c r="C9" s="109" t="e">
        <f>VLOOKUP(Table25755252691013434446474849565758596315181719224566677172737476777879939495100104109111113115117[[#This Row],[PEG]],Table1016[#All],2,FALSE)</f>
        <v>#N/A</v>
      </c>
      <c r="D9" s="128"/>
      <c r="E9" s="125" t="e">
        <f>VLOOKUP(Table25755252691013434446474849565758596315181719224566677172737476777879939495100104109111113115117[[#This Row],[PEG]],Table1016[#All],3,FALSE)</f>
        <v>#N/A</v>
      </c>
    </row>
    <row r="10" spans="1:5" x14ac:dyDescent="0.35">
      <c r="A10" s="118">
        <v>3</v>
      </c>
      <c r="B10" s="114" t="s">
        <v>115</v>
      </c>
      <c r="C10" s="109" t="e">
        <f>VLOOKUP(Table25755252691013434446474849565758596315181719224566677172737476777879939495100104109111113115117[[#This Row],[PEG]],Table1016[#All],2,FALSE)</f>
        <v>#N/A</v>
      </c>
      <c r="D10" s="128"/>
      <c r="E10" s="125" t="e">
        <f>VLOOKUP(Table25755252691013434446474849565758596315181719224566677172737476777879939495100104109111113115117[[#This Row],[PEG]],Table1016[#All],3,FALSE)</f>
        <v>#N/A</v>
      </c>
    </row>
    <row r="11" spans="1:5" x14ac:dyDescent="0.35">
      <c r="A11" s="118">
        <v>4</v>
      </c>
      <c r="B11" s="114" t="s">
        <v>115</v>
      </c>
      <c r="C11" s="109" t="e">
        <f>VLOOKUP(Table25755252691013434446474849565758596315181719224566677172737476777879939495100104109111113115117[[#This Row],[PEG]],Table1016[#All],2,FALSE)</f>
        <v>#N/A</v>
      </c>
      <c r="D11" s="128"/>
      <c r="E11" s="125" t="e">
        <f>VLOOKUP(Table25755252691013434446474849565758596315181719224566677172737476777879939495100104109111113115117[[#This Row],[PEG]],Table1016[#All],3,FALSE)</f>
        <v>#N/A</v>
      </c>
    </row>
    <row r="12" spans="1:5" x14ac:dyDescent="0.35">
      <c r="A12" s="118">
        <v>5</v>
      </c>
      <c r="B12" s="114" t="s">
        <v>114</v>
      </c>
      <c r="C12" s="109" t="e">
        <f>VLOOKUP(Table25755252691013434446474849565758596315181719224566677172737476777879939495100104109111113115117[[#This Row],[PEG]],Table1016[#All],2,FALSE)</f>
        <v>#N/A</v>
      </c>
      <c r="D12" s="128"/>
      <c r="E12" s="125" t="e">
        <f>VLOOKUP(Table25755252691013434446474849565758596315181719224566677172737476777879939495100104109111113115117[[#This Row],[PEG]],Table1016[#All],3,FALSE)</f>
        <v>#N/A</v>
      </c>
    </row>
    <row r="13" spans="1:5" x14ac:dyDescent="0.35">
      <c r="A13" s="118">
        <v>6</v>
      </c>
      <c r="B13" s="114" t="s">
        <v>115</v>
      </c>
      <c r="C13" s="109" t="e">
        <f>VLOOKUP(Table25755252691013434446474849565758596315181719224566677172737476777879939495100104109111113115117[[#This Row],[PEG]],Table1016[#All],2,FALSE)</f>
        <v>#N/A</v>
      </c>
      <c r="D13" s="128"/>
      <c r="E13" s="125" t="e">
        <f>VLOOKUP(Table25755252691013434446474849565758596315181719224566677172737476777879939495100104109111113115117[[#This Row],[PEG]],Table1016[#All],3,FALSE)</f>
        <v>#N/A</v>
      </c>
    </row>
    <row r="14" spans="1:5" x14ac:dyDescent="0.35">
      <c r="A14" s="118">
        <v>7</v>
      </c>
      <c r="B14" s="114" t="s">
        <v>114</v>
      </c>
      <c r="C14" s="109" t="e">
        <f>VLOOKUP(Table25755252691013434446474849565758596315181719224566677172737476777879939495100104109111113115117[[#This Row],[PEG]],Table1016[#All],2,FALSE)</f>
        <v>#N/A</v>
      </c>
      <c r="D14" s="128"/>
      <c r="E14" s="125" t="e">
        <f>VLOOKUP(Table25755252691013434446474849565758596315181719224566677172737476777879939495100104109111113115117[[#This Row],[PEG]],Table1016[#All],3,FALSE)</f>
        <v>#N/A</v>
      </c>
    </row>
    <row r="15" spans="1:5" x14ac:dyDescent="0.35">
      <c r="A15" s="118">
        <v>8</v>
      </c>
      <c r="B15" s="114" t="s">
        <v>115</v>
      </c>
      <c r="C15" s="109" t="e">
        <f>VLOOKUP(Table25755252691013434446474849565758596315181719224566677172737476777879939495100104109111113115117[[#This Row],[PEG]],Table1016[#All],2,FALSE)</f>
        <v>#N/A</v>
      </c>
      <c r="D15" s="116"/>
      <c r="E15" s="125" t="e">
        <f>VLOOKUP(Table25755252691013434446474849565758596315181719224566677172737476777879939495100104109111113115117[[#This Row],[PEG]],Table1016[#All],3,FALSE)</f>
        <v>#N/A</v>
      </c>
    </row>
    <row r="16" spans="1:5" x14ac:dyDescent="0.35">
      <c r="A16" s="118">
        <v>9</v>
      </c>
      <c r="B16" s="114" t="s">
        <v>12</v>
      </c>
      <c r="C16" s="109" t="e">
        <f>VLOOKUP(Table25755252691013434446474849565758596315181719224566677172737476777879939495100104109111113115117[[#This Row],[PEG]],Table1016[#All],2,FALSE)</f>
        <v>#N/A</v>
      </c>
      <c r="D16" s="116"/>
      <c r="E16" s="125" t="e">
        <f>VLOOKUP(Table25755252691013434446474849565758596315181719224566677172737476777879939495100104109111113115117[[#This Row],[PEG]],Table1016[#All],3,FALSE)</f>
        <v>#N/A</v>
      </c>
    </row>
    <row r="17" spans="1:5" x14ac:dyDescent="0.35">
      <c r="A17" s="118">
        <v>10</v>
      </c>
      <c r="B17" s="114" t="s">
        <v>12</v>
      </c>
      <c r="C17" s="109" t="e">
        <f>VLOOKUP(Table25755252691013434446474849565758596315181719224566677172737476777879939495100104109111113115117[[#This Row],[PEG]],Table1016[#All],2,FALSE)</f>
        <v>#N/A</v>
      </c>
      <c r="D17" s="117"/>
      <c r="E17" s="125" t="e">
        <f>VLOOKUP(Table25755252691013434446474849565758596315181719224566677172737476777879939495100104109111113115117[[#This Row],[PEG]],Table1016[#All],3,FALSE)</f>
        <v>#N/A</v>
      </c>
    </row>
    <row r="18" spans="1:5" x14ac:dyDescent="0.35">
      <c r="A18" s="118">
        <v>11</v>
      </c>
      <c r="B18" s="114" t="s">
        <v>115</v>
      </c>
      <c r="C18" s="109" t="e">
        <f>VLOOKUP(Table25755252691013434446474849565758596315181719224566677172737476777879939495100104109111113115117[[#This Row],[PEG]],Table1016[#All],2,FALSE)</f>
        <v>#N/A</v>
      </c>
      <c r="D18" s="117"/>
      <c r="E18" s="125" t="e">
        <f>VLOOKUP(Table25755252691013434446474849565758596315181719224566677172737476777879939495100104109111113115117[[#This Row],[PEG]],Table1016[#All],3,FALSE)</f>
        <v>#N/A</v>
      </c>
    </row>
    <row r="19" spans="1:5" x14ac:dyDescent="0.35">
      <c r="A19" s="118">
        <v>12</v>
      </c>
      <c r="B19" s="114" t="s">
        <v>115</v>
      </c>
      <c r="C19" s="109" t="e">
        <f>VLOOKUP(Table25755252691013434446474849565758596315181719224566677172737476777879939495100104109111113115117[[#This Row],[PEG]],Table1016[#All],2,FALSE)</f>
        <v>#N/A</v>
      </c>
      <c r="D19" s="117"/>
      <c r="E19" s="125" t="e">
        <f>VLOOKUP(Table25755252691013434446474849565758596315181719224566677172737476777879939495100104109111113115117[[#This Row],[PEG]],Table1016[#All],3,FALSE)</f>
        <v>#N/A</v>
      </c>
    </row>
    <row r="20" spans="1:5" x14ac:dyDescent="0.35">
      <c r="A20" s="118">
        <v>13</v>
      </c>
      <c r="B20" s="114" t="s">
        <v>114</v>
      </c>
      <c r="C20" s="109" t="e">
        <f>VLOOKUP(Table25755252691013434446474849565758596315181719224566677172737476777879939495100104109111113115117[[#This Row],[PEG]],Table1016[#All],2,FALSE)</f>
        <v>#N/A</v>
      </c>
      <c r="D20" s="117"/>
      <c r="E20" s="125" t="e">
        <f>VLOOKUP(Table25755252691013434446474849565758596315181719224566677172737476777879939495100104109111113115117[[#This Row],[PEG]],Table1016[#All],3,FALSE)</f>
        <v>#N/A</v>
      </c>
    </row>
    <row r="21" spans="1:5" x14ac:dyDescent="0.35">
      <c r="A21" s="118">
        <v>14</v>
      </c>
      <c r="B21" s="114" t="s">
        <v>12</v>
      </c>
      <c r="C21" s="109" t="e">
        <f>VLOOKUP(Table25755252691013434446474849565758596315181719224566677172737476777879939495100104109111113115117[[#This Row],[PEG]],Table1016[#All],2,FALSE)</f>
        <v>#N/A</v>
      </c>
      <c r="D21" s="117"/>
      <c r="E21" s="125" t="e">
        <f>VLOOKUP(Table25755252691013434446474849565758596315181719224566677172737476777879939495100104109111113115117[[#This Row],[PEG]],Table1016[#All],3,FALSE)</f>
        <v>#N/A</v>
      </c>
    </row>
    <row r="22" spans="1:5" x14ac:dyDescent="0.35">
      <c r="A22" s="118">
        <v>15</v>
      </c>
      <c r="B22" s="114" t="s">
        <v>12</v>
      </c>
      <c r="C22" s="109" t="e">
        <f>VLOOKUP(Table25755252691013434446474849565758596315181719224566677172737476777879939495100104109111113115117[[#This Row],[PEG]],Table1016[#All],2,FALSE)</f>
        <v>#N/A</v>
      </c>
      <c r="D22" s="117"/>
      <c r="E22" s="125" t="e">
        <f>VLOOKUP(Table25755252691013434446474849565758596315181719224566677172737476777879939495100104109111113115117[[#This Row],[PEG]],Table1016[#All],3,FALSE)</f>
        <v>#N/A</v>
      </c>
    </row>
    <row r="23" spans="1:5" x14ac:dyDescent="0.35">
      <c r="A23" s="118">
        <v>16</v>
      </c>
      <c r="B23" s="114" t="s">
        <v>115</v>
      </c>
      <c r="C23" s="109" t="e">
        <f>VLOOKUP(Table25755252691013434446474849565758596315181719224566677172737476777879939495100104109111113115117[[#This Row],[PEG]],Table1016[#All],2,FALSE)</f>
        <v>#N/A</v>
      </c>
      <c r="D23" s="117"/>
      <c r="E23" s="125" t="e">
        <f>VLOOKUP(Table25755252691013434446474849565758596315181719224566677172737476777879939495100104109111113115117[[#This Row],[PEG]],Table1016[#All],3,FALSE)</f>
        <v>#N/A</v>
      </c>
    </row>
    <row r="24" spans="1:5" x14ac:dyDescent="0.35">
      <c r="A24" s="118">
        <v>17</v>
      </c>
      <c r="B24" s="114" t="s">
        <v>114</v>
      </c>
      <c r="C24" s="109" t="e">
        <f>VLOOKUP(Table25755252691013434446474849565758596315181719224566677172737476777879939495100104109111113115117[[#This Row],[PEG]],Table1016[#All],2,FALSE)</f>
        <v>#N/A</v>
      </c>
      <c r="D24" s="117"/>
      <c r="E24" s="125" t="e">
        <f>VLOOKUP(Table25755252691013434446474849565758596315181719224566677172737476777879939495100104109111113115117[[#This Row],[PEG]],Table1016[#All],3,FALSE)</f>
        <v>#N/A</v>
      </c>
    </row>
    <row r="25" spans="1:5" x14ac:dyDescent="0.35">
      <c r="A25" s="118">
        <v>18</v>
      </c>
      <c r="B25" s="114" t="s">
        <v>12</v>
      </c>
      <c r="C25" s="109" t="e">
        <f>VLOOKUP(Table25755252691013434446474849565758596315181719224566677172737476777879939495100104109111113115117[[#This Row],[PEG]],Table1016[#All],2,FALSE)</f>
        <v>#N/A</v>
      </c>
      <c r="D25" s="117"/>
      <c r="E25" s="125" t="e">
        <f>VLOOKUP(Table25755252691013434446474849565758596315181719224566677172737476777879939495100104109111113115117[[#This Row],[PEG]],Table1016[#All],3,FALSE)</f>
        <v>#N/A</v>
      </c>
    </row>
    <row r="26" spans="1:5" x14ac:dyDescent="0.35">
      <c r="A26" s="118">
        <v>19</v>
      </c>
      <c r="B26" s="114" t="s">
        <v>12</v>
      </c>
      <c r="C26" s="109" t="e">
        <f>VLOOKUP(Table25755252691013434446474849565758596315181719224566677172737476777879939495100104109111113115117[[#This Row],[PEG]],Table1016[#All],2,FALSE)</f>
        <v>#N/A</v>
      </c>
      <c r="D26" s="117"/>
      <c r="E26" s="125" t="e">
        <f>VLOOKUP(Table25755252691013434446474849565758596315181719224566677172737476777879939495100104109111113115117[[#This Row],[PEG]],Table1016[#All],3,FALSE)</f>
        <v>#N/A</v>
      </c>
    </row>
    <row r="27" spans="1:5" x14ac:dyDescent="0.35">
      <c r="A27" s="118">
        <v>20</v>
      </c>
      <c r="B27" s="114" t="s">
        <v>115</v>
      </c>
      <c r="C27" s="109" t="e">
        <f>VLOOKUP(Table25755252691013434446474849565758596315181719224566677172737476777879939495100104109111113115117[[#This Row],[PEG]],Table1016[#All],2,FALSE)</f>
        <v>#N/A</v>
      </c>
      <c r="D27" s="117"/>
      <c r="E27" s="125" t="e">
        <f>VLOOKUP(Table25755252691013434446474849565758596315181719224566677172737476777879939495100104109111113115117[[#This Row],[PEG]],Table1016[#All],3,FALSE)</f>
        <v>#N/A</v>
      </c>
    </row>
    <row r="28" spans="1:5" x14ac:dyDescent="0.35">
      <c r="A28" s="118">
        <v>21</v>
      </c>
      <c r="B28" s="114" t="s">
        <v>114</v>
      </c>
      <c r="C28" s="109" t="e">
        <f>VLOOKUP(Table25755252691013434446474849565758596315181719224566677172737476777879939495100104109111113115117[[#This Row],[PEG]],Table1016[#All],2,FALSE)</f>
        <v>#N/A</v>
      </c>
      <c r="D28" s="117"/>
      <c r="E28" s="125" t="e">
        <f>VLOOKUP(Table25755252691013434446474849565758596315181719224566677172737476777879939495100104109111113115117[[#This Row],[PEG]],Table1016[#All],3,FALSE)</f>
        <v>#N/A</v>
      </c>
    </row>
    <row r="29" spans="1:5" x14ac:dyDescent="0.35">
      <c r="A29" s="118">
        <v>22</v>
      </c>
      <c r="B29" s="114" t="s">
        <v>12</v>
      </c>
      <c r="C29" s="109" t="e">
        <f>VLOOKUP(Table25755252691013434446474849565758596315181719224566677172737476777879939495100104109111113115117[[#This Row],[PEG]],Table1016[#All],2,FALSE)</f>
        <v>#N/A</v>
      </c>
      <c r="D29" s="117"/>
      <c r="E29" s="125" t="e">
        <f>VLOOKUP(Table25755252691013434446474849565758596315181719224566677172737476777879939495100104109111113115117[[#This Row],[PEG]],Table1016[#All],3,FALSE)</f>
        <v>#N/A</v>
      </c>
    </row>
    <row r="30" spans="1:5" x14ac:dyDescent="0.35">
      <c r="A30" s="118">
        <v>23</v>
      </c>
      <c r="B30" s="114" t="s">
        <v>12</v>
      </c>
      <c r="C30" s="109" t="e">
        <f>VLOOKUP(Table25755252691013434446474849565758596315181719224566677172737476777879939495100104109111113115117[[#This Row],[PEG]],Table1016[#All],2,FALSE)</f>
        <v>#N/A</v>
      </c>
      <c r="D30" s="117"/>
      <c r="E30" s="125" t="e">
        <f>VLOOKUP(Table25755252691013434446474849565758596315181719224566677172737476777879939495100104109111113115117[[#This Row],[PEG]],Table1016[#All],3,FALSE)</f>
        <v>#N/A</v>
      </c>
    </row>
    <row r="31" spans="1:5" x14ac:dyDescent="0.35">
      <c r="A31" s="118">
        <v>24</v>
      </c>
      <c r="B31" s="114" t="s">
        <v>115</v>
      </c>
      <c r="C31" s="109" t="e">
        <f>VLOOKUP(Table25755252691013434446474849565758596315181719224566677172737476777879939495100104109111113115117[[#This Row],[PEG]],Table1016[#All],2,FALSE)</f>
        <v>#N/A</v>
      </c>
      <c r="D31" s="117"/>
      <c r="E31" s="125" t="e">
        <f>VLOOKUP(Table25755252691013434446474849565758596315181719224566677172737476777879939495100104109111113115117[[#This Row],[PEG]],Table1016[#All],3,FALSE)</f>
        <v>#N/A</v>
      </c>
    </row>
    <row r="32" spans="1:5" x14ac:dyDescent="0.35">
      <c r="A32" s="118">
        <v>25</v>
      </c>
      <c r="B32" s="114" t="s">
        <v>115</v>
      </c>
      <c r="C32" s="109" t="e">
        <f>VLOOKUP(Table25755252691013434446474849565758596315181719224566677172737476777879939495100104109111113115117[[#This Row],[PEG]],Table1016[#All],2,FALSE)</f>
        <v>#N/A</v>
      </c>
      <c r="D32" s="117"/>
      <c r="E32" s="125" t="e">
        <f>VLOOKUP(Table25755252691013434446474849565758596315181719224566677172737476777879939495100104109111113115117[[#This Row],[PEG]],Table1016[#All],3,FALSE)</f>
        <v>#N/A</v>
      </c>
    </row>
    <row r="33" spans="1:5" x14ac:dyDescent="0.35">
      <c r="A33" s="118">
        <v>26</v>
      </c>
      <c r="B33" s="114" t="s">
        <v>124</v>
      </c>
      <c r="C33" s="109" t="e">
        <f>VLOOKUP(Table25755252691013434446474849565758596315181719224566677172737476777879939495100104109111113115117[[#This Row],[PEG]],Table1016[#All],2,FALSE)</f>
        <v>#N/A</v>
      </c>
      <c r="D33" s="117"/>
      <c r="E33" s="125" t="e">
        <f>VLOOKUP(Table25755252691013434446474849565758596315181719224566677172737476777879939495100104109111113115117[[#This Row],[PEG]],Table1016[#All],3,FALSE)</f>
        <v>#N/A</v>
      </c>
    </row>
    <row r="34" spans="1:5" x14ac:dyDescent="0.35">
      <c r="A34" s="118">
        <v>27</v>
      </c>
      <c r="B34" s="114" t="s">
        <v>115</v>
      </c>
      <c r="C34" s="109" t="e">
        <f>VLOOKUP(Table25755252691013434446474849565758596315181719224566677172737476777879939495100104109111113115117[[#This Row],[PEG]],Table1016[#All],2,FALSE)</f>
        <v>#N/A</v>
      </c>
      <c r="D34" s="117"/>
      <c r="E34" s="125" t="e">
        <f>VLOOKUP(Table25755252691013434446474849565758596315181719224566677172737476777879939495100104109111113115117[[#This Row],[PEG]],Table1016[#All],3,FALSE)</f>
        <v>#N/A</v>
      </c>
    </row>
    <row r="35" spans="1:5" x14ac:dyDescent="0.35">
      <c r="A35" s="118">
        <v>28</v>
      </c>
      <c r="B35" s="114" t="s">
        <v>124</v>
      </c>
      <c r="C35" s="109" t="e">
        <f>VLOOKUP(Table25755252691013434446474849565758596315181719224566677172737476777879939495100104109111113115117[[#This Row],[PEG]],Table1016[#All],2,FALSE)</f>
        <v>#N/A</v>
      </c>
      <c r="D35" s="117"/>
      <c r="E35" s="125" t="e">
        <f>VLOOKUP(Table25755252691013434446474849565758596315181719224566677172737476777879939495100104109111113115117[[#This Row],[PEG]],Table1016[#All],3,FALSE)</f>
        <v>#N/A</v>
      </c>
    </row>
    <row r="36" spans="1:5" x14ac:dyDescent="0.35">
      <c r="A36" s="118">
        <v>29</v>
      </c>
      <c r="B36" s="114" t="s">
        <v>115</v>
      </c>
      <c r="C36" s="109" t="e">
        <f>VLOOKUP(Table25755252691013434446474849565758596315181719224566677172737476777879939495100104109111113115117[[#This Row],[PEG]],Table1016[#All],2,FALSE)</f>
        <v>#N/A</v>
      </c>
      <c r="D36" s="117"/>
      <c r="E36" s="125" t="e">
        <f>VLOOKUP(Table25755252691013434446474849565758596315181719224566677172737476777879939495100104109111113115117[[#This Row],[PEG]],Table1016[#All],3,FALSE)</f>
        <v>#N/A</v>
      </c>
    </row>
    <row r="37" spans="1:5" x14ac:dyDescent="0.35">
      <c r="A37" s="118">
        <v>30</v>
      </c>
      <c r="B37" s="114" t="s">
        <v>12</v>
      </c>
      <c r="C37" s="109" t="e">
        <f>VLOOKUP(Table25755252691013434446474849565758596315181719224566677172737476777879939495100104109111113115117[[#This Row],[PEG]],Table1016[#All],2,FALSE)</f>
        <v>#N/A</v>
      </c>
      <c r="D37" s="117"/>
      <c r="E37" s="125" t="e">
        <f>VLOOKUP(Table25755252691013434446474849565758596315181719224566677172737476777879939495100104109111113115117[[#This Row],[PEG]],Table1016[#All],3,FALSE)</f>
        <v>#N/A</v>
      </c>
    </row>
    <row r="38" spans="1:5" x14ac:dyDescent="0.35">
      <c r="A38" s="118">
        <v>31</v>
      </c>
      <c r="B38" s="114" t="s">
        <v>12</v>
      </c>
      <c r="C38" s="109" t="e">
        <f>VLOOKUP(Table25755252691013434446474849565758596315181719224566677172737476777879939495100104109111113115117[[#This Row],[PEG]],Table1016[#All],2,FALSE)</f>
        <v>#N/A</v>
      </c>
      <c r="D38" s="117"/>
      <c r="E38" s="125" t="e">
        <f>VLOOKUP(Table25755252691013434446474849565758596315181719224566677172737476777879939495100104109111113115117[[#This Row],[PEG]],Table1016[#All],3,FALSE)</f>
        <v>#N/A</v>
      </c>
    </row>
    <row r="39" spans="1:5" x14ac:dyDescent="0.35">
      <c r="A39" s="118">
        <v>32</v>
      </c>
      <c r="B39" s="114" t="s">
        <v>12</v>
      </c>
      <c r="C39" s="109" t="e">
        <f>VLOOKUP(Table25755252691013434446474849565758596315181719224566677172737476777879939495100104109111113115117[[#This Row],[PEG]],Table1016[#All],2,FALSE)</f>
        <v>#N/A</v>
      </c>
      <c r="D39" s="117"/>
      <c r="E39" s="125" t="e">
        <f>VLOOKUP(Table25755252691013434446474849565758596315181719224566677172737476777879939495100104109111113115117[[#This Row],[PEG]],Table1016[#All],3,FALSE)</f>
        <v>#N/A</v>
      </c>
    </row>
    <row r="40" spans="1:5" x14ac:dyDescent="0.35">
      <c r="A40" s="118">
        <v>33</v>
      </c>
      <c r="B40" s="114" t="s">
        <v>12</v>
      </c>
      <c r="C40" s="109" t="e">
        <f>VLOOKUP(Table25755252691013434446474849565758596315181719224566677172737476777879939495100104109111113115117[[#This Row],[PEG]],Table1016[#All],2,FALSE)</f>
        <v>#N/A</v>
      </c>
      <c r="D40" s="117"/>
      <c r="E40" s="125" t="e">
        <f>VLOOKUP(Table25755252691013434446474849565758596315181719224566677172737476777879939495100104109111113115117[[#This Row],[PEG]],Table1016[#All],3,FALSE)</f>
        <v>#N/A</v>
      </c>
    </row>
    <row r="41" spans="1:5" x14ac:dyDescent="0.35">
      <c r="A41" s="118">
        <v>34</v>
      </c>
      <c r="B41" s="114" t="s">
        <v>115</v>
      </c>
      <c r="C41" s="109" t="e">
        <f>VLOOKUP(Table25755252691013434446474849565758596315181719224566677172737476777879939495100104109111113115117[[#This Row],[PEG]],Table1016[#All],2,FALSE)</f>
        <v>#N/A</v>
      </c>
      <c r="D41" s="117"/>
      <c r="E41" s="125" t="e">
        <f>VLOOKUP(Table25755252691013434446474849565758596315181719224566677172737476777879939495100104109111113115117[[#This Row],[PEG]],Table1016[#All],3,FALSE)</f>
        <v>#N/A</v>
      </c>
    </row>
    <row r="42" spans="1:5" x14ac:dyDescent="0.35">
      <c r="A42" s="118">
        <v>35</v>
      </c>
      <c r="B42" s="114" t="s">
        <v>13</v>
      </c>
      <c r="C42" s="18" t="s">
        <v>13</v>
      </c>
      <c r="D42" s="115"/>
      <c r="E42" s="32"/>
    </row>
  </sheetData>
  <mergeCells count="1">
    <mergeCell ref="A1:B1"/>
  </mergeCells>
  <conditionalFormatting sqref="B8:B18">
    <cfRule type="containsText" dxfId="4127" priority="1" operator="containsText" text="Hear">
      <formula>NOT(ISERROR(SEARCH("Hear",B8)))</formula>
    </cfRule>
  </conditionalFormatting>
  <conditionalFormatting sqref="B36:B38 B40:B41">
    <cfRule type="containsText" dxfId="4126" priority="3" operator="containsText" text="Hear">
      <formula>NOT(ISERROR(SEARCH("Hear",B36)))</formula>
    </cfRule>
  </conditionalFormatting>
  <conditionalFormatting sqref="B19:B29 B31:B35 B42">
    <cfRule type="containsText" dxfId="4125" priority="7" operator="containsText" text="Hear">
      <formula>NOT(ISERROR(SEARCH("Hear",B19)))</formula>
    </cfRule>
  </conditionalFormatting>
  <conditionalFormatting sqref="E42">
    <cfRule type="containsText" dxfId="4124" priority="5" operator="containsText" text="WEB SERVICE">
      <formula>NOT(ISERROR(SEARCH("WEB SERVICE",E42)))</formula>
    </cfRule>
    <cfRule type="containsText" dxfId="4123" priority="6" operator="containsText" text="DB">
      <formula>NOT(ISERROR(SEARCH("DB",E42)))</formula>
    </cfRule>
  </conditionalFormatting>
  <conditionalFormatting sqref="C42">
    <cfRule type="expression" dxfId="4122" priority="8">
      <formula>$B42="Dial"</formula>
    </cfRule>
    <cfRule type="expression" dxfId="4121" priority="10">
      <formula>$B42="HANGUP"</formula>
    </cfRule>
  </conditionalFormatting>
  <conditionalFormatting sqref="C42">
    <cfRule type="expression" dxfId="4120" priority="2">
      <formula>$B42="Speak"</formula>
    </cfRule>
  </conditionalFormatting>
  <conditionalFormatting sqref="B30">
    <cfRule type="containsText" dxfId="4119" priority="4" operator="containsText" text="Hear">
      <formula>NOT(ISERROR(SEARCH("Hear",B30)))</formula>
    </cfRule>
  </conditionalFormatting>
  <hyperlinks>
    <hyperlink ref="A1" location="'Test Case Overview'!A1" display="Return to Test Case Overview" xr:uid="{0B9443A0-6619-47E9-92B0-8075A45B2B0E}"/>
  </hyperlinks>
  <pageMargins left="0.7" right="0.7" top="0.75" bottom="0.75" header="0.3" footer="0.3"/>
  <pageSetup orientation="portrait" verticalDpi="0" r:id="rId1"/>
  <tableParts count="1">
    <tablePart r:id="rId2"/>
  </tableParts>
  <extLst>
    <ext xmlns:x14="http://schemas.microsoft.com/office/spreadsheetml/2009/9/main" uri="{78C0D931-6437-407d-A8EE-F0AAD7539E65}">
      <x14:conditionalFormattings>
        <x14:conditionalFormatting xmlns:xm="http://schemas.microsoft.com/office/excel/2006/main">
          <x14:cfRule type="expression" priority="11" id="{0C5BD56C-EE6D-4141-98E2-FB847985A393}">
            <xm:f>'TC1'!$B8="HANGUP"</xm:f>
            <x14:dxf>
              <font>
                <b/>
                <i val="0"/>
              </font>
            </x14:dxf>
          </x14:cfRule>
          <x14:cfRule type="expression" priority="12" id="{E7625D04-8B2D-407C-B0F2-E0FFDEAA712D}">
            <xm:f>'TC1'!$B8="Dial"</xm:f>
            <x14:dxf>
              <font>
                <b/>
                <i val="0"/>
                <color rgb="FFFF0000"/>
              </font>
            </x14:dxf>
          </x14:cfRule>
          <xm:sqref>C8</xm:sqref>
        </x14:conditionalFormatting>
        <x14:conditionalFormatting xmlns:xm="http://schemas.microsoft.com/office/excel/2006/main">
          <x14:cfRule type="expression" priority="13" id="{902BA03D-A3E7-44B7-B5B2-7161B9F77BF8}">
            <xm:f>'TC1'!$B8="Speak"</xm:f>
            <x14:dxf>
              <font>
                <b/>
                <i val="0"/>
                <color rgb="FFFF0000"/>
              </font>
            </x14:dxf>
          </x14:cfRule>
          <xm:sqref>C8</xm:sqref>
        </x14:conditionalFormatting>
        <x14:conditionalFormatting xmlns:xm="http://schemas.microsoft.com/office/excel/2006/main">
          <x14:cfRule type="containsText" priority="16" operator="containsText" text="Hear" id="{52F372F1-35A5-48B2-9E2F-D6820C210AB1}">
            <xm:f>NOT(ISERROR(SEARCH("Hear",'TC3'!B34)))</xm:f>
            <x14:dxf>
              <font>
                <color theme="9" tint="-0.24994659260841701"/>
              </font>
              <fill>
                <patternFill>
                  <bgColor theme="9" tint="0.59996337778862885"/>
                </patternFill>
              </fill>
            </x14:dxf>
          </x14:cfRule>
          <xm:sqref>B41</xm:sqref>
        </x14:conditionalFormatting>
        <x14:conditionalFormatting xmlns:xm="http://schemas.microsoft.com/office/excel/2006/main">
          <x14:cfRule type="expression" priority="1563" id="{0C5BD56C-EE6D-4141-98E2-FB847985A393}">
            <xm:f>'TC1'!$B16="HANGUP"</xm:f>
            <x14:dxf>
              <font>
                <b/>
                <i val="0"/>
              </font>
            </x14:dxf>
          </x14:cfRule>
          <x14:cfRule type="expression" priority="1564" id="{E7625D04-8B2D-407C-B0F2-E0FFDEAA712D}">
            <xm:f>'TC1'!$B16="Dial"</xm:f>
            <x14:dxf>
              <font>
                <b/>
                <i val="0"/>
                <color rgb="FFFF0000"/>
              </font>
            </x14:dxf>
          </x14:cfRule>
          <xm:sqref>C34:C41</xm:sqref>
        </x14:conditionalFormatting>
        <x14:conditionalFormatting xmlns:xm="http://schemas.microsoft.com/office/excel/2006/main">
          <x14:cfRule type="expression" priority="1565" id="{0C5BD56C-EE6D-4141-98E2-FB847985A393}">
            <xm:f>'TC1'!#REF!="HANGUP"</xm:f>
            <x14:dxf>
              <font>
                <b/>
                <i val="0"/>
              </font>
            </x14:dxf>
          </x14:cfRule>
          <x14:cfRule type="expression" priority="1566" id="{E7625D04-8B2D-407C-B0F2-E0FFDEAA712D}">
            <xm:f>'TC1'!#REF!="Dial"</xm:f>
            <x14:dxf>
              <font>
                <b/>
                <i val="0"/>
                <color rgb="FFFF0000"/>
              </font>
            </x14:dxf>
          </x14:cfRule>
          <xm:sqref>C17:C33</xm:sqref>
        </x14:conditionalFormatting>
        <x14:conditionalFormatting xmlns:xm="http://schemas.microsoft.com/office/excel/2006/main">
          <x14:cfRule type="expression" priority="1570" id="{902BA03D-A3E7-44B7-B5B2-7161B9F77BF8}">
            <xm:f>'TC1'!$B16="Speak"</xm:f>
            <x14:dxf>
              <font>
                <b/>
                <i val="0"/>
                <color rgb="FFFF0000"/>
              </font>
            </x14:dxf>
          </x14:cfRule>
          <xm:sqref>C34:C41</xm:sqref>
        </x14:conditionalFormatting>
        <x14:conditionalFormatting xmlns:xm="http://schemas.microsoft.com/office/excel/2006/main">
          <x14:cfRule type="expression" priority="1571" id="{902BA03D-A3E7-44B7-B5B2-7161B9F77BF8}">
            <xm:f>'TC1'!#REF!="Speak"</xm:f>
            <x14:dxf>
              <font>
                <b/>
                <i val="0"/>
                <color rgb="FFFF0000"/>
              </font>
            </x14:dxf>
          </x14:cfRule>
          <xm:sqref>C17:C33</xm:sqref>
        </x14:conditionalFormatting>
        <x14:conditionalFormatting xmlns:xm="http://schemas.microsoft.com/office/excel/2006/main">
          <x14:cfRule type="containsText" priority="1575" operator="containsText" text="DB" id="{11842E06-8CD3-4A94-ACED-05264087A688}">
            <xm:f>NOT(ISERROR(SEARCH("DB",'TC1'!E16)))</xm:f>
            <x14:dxf>
              <font>
                <color rgb="FF006100"/>
              </font>
              <fill>
                <patternFill>
                  <bgColor rgb="FFC6EFCE"/>
                </patternFill>
              </fill>
            </x14:dxf>
          </x14:cfRule>
          <x14:cfRule type="containsText" priority="1576" operator="containsText" text="WEB SERVICE" id="{076DC679-3D31-4698-A530-C79E8EEE2D0A}">
            <xm:f>NOT(ISERROR(SEARCH("WEB SERVICE",'TC1'!E16)))</xm:f>
            <x14:dxf>
              <font>
                <color rgb="FF9C0006"/>
              </font>
              <fill>
                <patternFill>
                  <bgColor rgb="FFFFC7CE"/>
                </patternFill>
              </fill>
            </x14:dxf>
          </x14:cfRule>
          <xm:sqref>E34:E41</xm:sqref>
        </x14:conditionalFormatting>
        <x14:conditionalFormatting xmlns:xm="http://schemas.microsoft.com/office/excel/2006/main">
          <x14:cfRule type="containsText" priority="1577" operator="containsText" text="DB" id="{11842E06-8CD3-4A94-ACED-05264087A688}">
            <xm:f>NOT(ISERROR(SEARCH("DB",'TC1'!#REF!)))</xm:f>
            <x14:dxf>
              <font>
                <color rgb="FF006100"/>
              </font>
              <fill>
                <patternFill>
                  <bgColor rgb="FFC6EFCE"/>
                </patternFill>
              </fill>
            </x14:dxf>
          </x14:cfRule>
          <x14:cfRule type="containsText" priority="1578" operator="containsText" text="WEB SERVICE" id="{076DC679-3D31-4698-A530-C79E8EEE2D0A}">
            <xm:f>NOT(ISERROR(SEARCH("WEB SERVICE",'TC1'!#REF!)))</xm:f>
            <x14:dxf>
              <font>
                <color rgb="FF9C0006"/>
              </font>
              <fill>
                <patternFill>
                  <bgColor rgb="FFFFC7CE"/>
                </patternFill>
              </fill>
            </x14:dxf>
          </x14:cfRule>
          <xm:sqref>E17:E33</xm:sqref>
        </x14:conditionalFormatting>
        <x14:conditionalFormatting xmlns:xm="http://schemas.microsoft.com/office/excel/2006/main">
          <x14:cfRule type="expression" priority="4345" id="{0C5BD56C-EE6D-4141-98E2-FB847985A393}">
            <xm:f>'TC1'!$B9="HANGUP"</xm:f>
            <x14:dxf>
              <font>
                <b/>
                <i val="0"/>
              </font>
            </x14:dxf>
          </x14:cfRule>
          <x14:cfRule type="expression" priority="4346" id="{E7625D04-8B2D-407C-B0F2-E0FFDEAA712D}">
            <xm:f>'TC1'!$B9="Dial"</xm:f>
            <x14:dxf>
              <font>
                <b/>
                <i val="0"/>
                <color rgb="FFFF0000"/>
              </font>
            </x14:dxf>
          </x14:cfRule>
          <xm:sqref>C12:C15</xm:sqref>
        </x14:conditionalFormatting>
        <x14:conditionalFormatting xmlns:xm="http://schemas.microsoft.com/office/excel/2006/main">
          <x14:cfRule type="expression" priority="4347" id="{0C5BD56C-EE6D-4141-98E2-FB847985A393}">
            <xm:f>'TC1'!#REF!="HANGUP"</xm:f>
            <x14:dxf>
              <font>
                <b/>
                <i val="0"/>
              </font>
            </x14:dxf>
          </x14:cfRule>
          <x14:cfRule type="expression" priority="4348" id="{E7625D04-8B2D-407C-B0F2-E0FFDEAA712D}">
            <xm:f>'TC1'!#REF!="Dial"</xm:f>
            <x14:dxf>
              <font>
                <b/>
                <i val="0"/>
                <color rgb="FFFF0000"/>
              </font>
            </x14:dxf>
          </x14:cfRule>
          <xm:sqref>C9:C11</xm:sqref>
        </x14:conditionalFormatting>
        <x14:conditionalFormatting xmlns:xm="http://schemas.microsoft.com/office/excel/2006/main">
          <x14:cfRule type="expression" priority="4352" id="{902BA03D-A3E7-44B7-B5B2-7161B9F77BF8}">
            <xm:f>'TC1'!$B9="Speak"</xm:f>
            <x14:dxf>
              <font>
                <b/>
                <i val="0"/>
                <color rgb="FFFF0000"/>
              </font>
            </x14:dxf>
          </x14:cfRule>
          <xm:sqref>C12:C15</xm:sqref>
        </x14:conditionalFormatting>
        <x14:conditionalFormatting xmlns:xm="http://schemas.microsoft.com/office/excel/2006/main">
          <x14:cfRule type="expression" priority="4353" id="{902BA03D-A3E7-44B7-B5B2-7161B9F77BF8}">
            <xm:f>'TC1'!#REF!="Speak"</xm:f>
            <x14:dxf>
              <font>
                <b/>
                <i val="0"/>
                <color rgb="FFFF0000"/>
              </font>
            </x14:dxf>
          </x14:cfRule>
          <xm:sqref>C9:C11</xm:sqref>
        </x14:conditionalFormatting>
        <x14:conditionalFormatting xmlns:xm="http://schemas.microsoft.com/office/excel/2006/main">
          <x14:cfRule type="containsText" priority="4355" operator="containsText" text="DB" id="{11842E06-8CD3-4A94-ACED-05264087A688}">
            <xm:f>NOT(ISERROR(SEARCH("DB",'TC1'!#REF!)))</xm:f>
            <x14:dxf>
              <font>
                <color rgb="FF006100"/>
              </font>
              <fill>
                <patternFill>
                  <bgColor rgb="FFC6EFCE"/>
                </patternFill>
              </fill>
            </x14:dxf>
          </x14:cfRule>
          <x14:cfRule type="containsText" priority="4356" operator="containsText" text="WEB SERVICE" id="{076DC679-3D31-4698-A530-C79E8EEE2D0A}">
            <xm:f>NOT(ISERROR(SEARCH("WEB SERVICE",'TC1'!#REF!)))</xm:f>
            <x14:dxf>
              <font>
                <color rgb="FF9C0006"/>
              </font>
              <fill>
                <patternFill>
                  <bgColor rgb="FFFFC7CE"/>
                </patternFill>
              </fill>
            </x14:dxf>
          </x14:cfRule>
          <xm:sqref>E9:E11</xm:sqref>
        </x14:conditionalFormatting>
        <x14:conditionalFormatting xmlns:xm="http://schemas.microsoft.com/office/excel/2006/main">
          <x14:cfRule type="containsText" priority="4357" operator="containsText" text="DB" id="{11842E06-8CD3-4A94-ACED-05264087A688}">
            <xm:f>NOT(ISERROR(SEARCH("DB",'TC1'!E9)))</xm:f>
            <x14:dxf>
              <font>
                <color rgb="FF006100"/>
              </font>
              <fill>
                <patternFill>
                  <bgColor rgb="FFC6EFCE"/>
                </patternFill>
              </fill>
            </x14:dxf>
          </x14:cfRule>
          <x14:cfRule type="containsText" priority="4358" operator="containsText" text="WEB SERVICE" id="{076DC679-3D31-4698-A530-C79E8EEE2D0A}">
            <xm:f>NOT(ISERROR(SEARCH("WEB SERVICE",'TC1'!E9)))</xm:f>
            <x14:dxf>
              <font>
                <color rgb="FF9C0006"/>
              </font>
              <fill>
                <patternFill>
                  <bgColor rgb="FFFFC7CE"/>
                </patternFill>
              </fill>
            </x14:dxf>
          </x14:cfRule>
          <xm:sqref>E12:E15</xm:sqref>
        </x14:conditionalFormatting>
        <x14:conditionalFormatting xmlns:xm="http://schemas.microsoft.com/office/excel/2006/main">
          <x14:cfRule type="expression" priority="6800" id="{0C5BD56C-EE6D-4141-98E2-FB847985A393}">
            <xm:f>'TC1'!$B15="HANGUP"</xm:f>
            <x14:dxf>
              <font>
                <b/>
                <i val="0"/>
              </font>
            </x14:dxf>
          </x14:cfRule>
          <x14:cfRule type="expression" priority="6801" id="{E7625D04-8B2D-407C-B0F2-E0FFDEAA712D}">
            <xm:f>'TC1'!$B15="Dial"</xm:f>
            <x14:dxf>
              <font>
                <b/>
                <i val="0"/>
                <color rgb="FFFF0000"/>
              </font>
            </x14:dxf>
          </x14:cfRule>
          <xm:sqref>C16</xm:sqref>
        </x14:conditionalFormatting>
        <x14:conditionalFormatting xmlns:xm="http://schemas.microsoft.com/office/excel/2006/main">
          <x14:cfRule type="expression" priority="6803" id="{902BA03D-A3E7-44B7-B5B2-7161B9F77BF8}">
            <xm:f>'TC1'!$B15="Speak"</xm:f>
            <x14:dxf>
              <font>
                <b/>
                <i val="0"/>
                <color rgb="FFFF0000"/>
              </font>
            </x14:dxf>
          </x14:cfRule>
          <xm:sqref>C16</xm:sqref>
        </x14:conditionalFormatting>
        <x14:conditionalFormatting xmlns:xm="http://schemas.microsoft.com/office/excel/2006/main">
          <x14:cfRule type="containsText" priority="6806" operator="containsText" text="DB" id="{11842E06-8CD3-4A94-ACED-05264087A688}">
            <xm:f>NOT(ISERROR(SEARCH("DB",'TC1'!E15)))</xm:f>
            <x14:dxf>
              <font>
                <color rgb="FF006100"/>
              </font>
              <fill>
                <patternFill>
                  <bgColor rgb="FFC6EFCE"/>
                </patternFill>
              </fill>
            </x14:dxf>
          </x14:cfRule>
          <x14:cfRule type="containsText" priority="6807" operator="containsText" text="WEB SERVICE" id="{076DC679-3D31-4698-A530-C79E8EEE2D0A}">
            <xm:f>NOT(ISERROR(SEARCH("WEB SERVICE",'TC1'!E15)))</xm:f>
            <x14:dxf>
              <font>
                <color rgb="FF9C0006"/>
              </font>
              <fill>
                <patternFill>
                  <bgColor rgb="FFFFC7CE"/>
                </patternFill>
              </fill>
            </x14:dxf>
          </x14:cfRule>
          <xm:sqref>E16</xm:sqref>
        </x14:conditionalFormatting>
        <x14:conditionalFormatting xmlns:xm="http://schemas.microsoft.com/office/excel/2006/main">
          <x14:cfRule type="containsText" priority="9134" operator="containsText" text="Hear" id="{4236E32C-4E8C-4E8E-8D45-E5F5BE656658}">
            <xm:f>NOT(ISERROR(SEARCH("Hear",'TC26'!#REF!)))</xm:f>
            <x14:dxf>
              <font>
                <color theme="9" tint="-0.24994659260841701"/>
              </font>
              <fill>
                <patternFill>
                  <bgColor theme="9" tint="0.59996337778862885"/>
                </patternFill>
              </fill>
            </x14:dxf>
          </x14:cfRule>
          <xm:sqref>B39</xm:sqref>
        </x14:conditionalFormatting>
      </x14:conditionalFormattings>
    </ext>
  </extLst>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8"/>
  <dimension ref="A1:E42"/>
  <sheetViews>
    <sheetView zoomScaleNormal="100" workbookViewId="0">
      <selection activeCell="C5" sqref="C5"/>
    </sheetView>
  </sheetViews>
  <sheetFormatPr defaultRowHeight="14.5" x14ac:dyDescent="0.35"/>
  <cols>
    <col min="1" max="1" width="14.453125" bestFit="1" customWidth="1"/>
    <col min="2" max="2" width="42.6328125" customWidth="1"/>
    <col min="3" max="3" width="106.1796875" customWidth="1"/>
    <col min="4" max="4" width="21.81640625" bestFit="1" customWidth="1"/>
    <col min="5" max="5" width="20.6328125" customWidth="1"/>
  </cols>
  <sheetData>
    <row r="1" spans="1:5" ht="18.5" x14ac:dyDescent="0.35">
      <c r="A1" s="192" t="s">
        <v>4</v>
      </c>
      <c r="B1" s="192"/>
      <c r="C1" s="105"/>
      <c r="D1" s="111"/>
      <c r="E1" s="97"/>
    </row>
    <row r="2" spans="1:5" x14ac:dyDescent="0.35">
      <c r="A2" s="106" t="s">
        <v>5</v>
      </c>
      <c r="B2" s="107" t="str">
        <f ca="1">MID(CELL("filename",A1),FIND("]",CELL("filename",A1))+1,LEN(CELL("filename",A1))-FIND("]",CELL("filename",A1)))</f>
        <v>TC66</v>
      </c>
      <c r="C2" s="98"/>
      <c r="D2" s="111"/>
      <c r="E2" s="97"/>
    </row>
    <row r="3" spans="1:5" x14ac:dyDescent="0.35">
      <c r="A3" s="104" t="s">
        <v>19</v>
      </c>
      <c r="B3" s="112" t="e">
        <f ca="1">VLOOKUP(B2,Table1[#All],2,FALSE)</f>
        <v>#N/A</v>
      </c>
      <c r="C3" s="98"/>
      <c r="D3" s="111"/>
      <c r="E3" s="97"/>
    </row>
    <row r="4" spans="1:5" ht="29" x14ac:dyDescent="0.35">
      <c r="A4" s="113" t="s">
        <v>20</v>
      </c>
      <c r="B4" s="99" t="e">
        <f ca="1">VLOOKUP(B2,Table1[#All],4,FALSE)</f>
        <v>#N/A</v>
      </c>
      <c r="C4" s="98"/>
      <c r="D4" s="111"/>
      <c r="E4" s="97"/>
    </row>
    <row r="5" spans="1:5" x14ac:dyDescent="0.35">
      <c r="A5" s="104" t="s">
        <v>6</v>
      </c>
      <c r="B5" s="93" t="e">
        <f ca="1">VLOOKUP(B2,Table1[#All],3,FALSE)</f>
        <v>#N/A</v>
      </c>
      <c r="C5" s="98"/>
      <c r="D5" s="111"/>
      <c r="E5" s="97"/>
    </row>
    <row r="6" spans="1:5" x14ac:dyDescent="0.35">
      <c r="A6" s="97"/>
      <c r="B6" s="97"/>
      <c r="C6" s="98"/>
      <c r="D6" s="111"/>
      <c r="E6" s="97"/>
    </row>
    <row r="7" spans="1:5" ht="15.5" x14ac:dyDescent="0.35">
      <c r="A7" s="100" t="s">
        <v>7</v>
      </c>
      <c r="B7" s="101" t="s">
        <v>8</v>
      </c>
      <c r="C7" s="102" t="s">
        <v>9</v>
      </c>
      <c r="D7" s="102" t="s">
        <v>14</v>
      </c>
      <c r="E7" s="103" t="s">
        <v>10</v>
      </c>
    </row>
    <row r="8" spans="1:5" x14ac:dyDescent="0.35">
      <c r="A8" s="118">
        <v>1</v>
      </c>
      <c r="B8" s="114" t="s">
        <v>114</v>
      </c>
      <c r="C8" s="109" t="s">
        <v>125</v>
      </c>
      <c r="D8" s="128"/>
      <c r="E8" s="125" t="s">
        <v>11</v>
      </c>
    </row>
    <row r="9" spans="1:5" x14ac:dyDescent="0.35">
      <c r="A9" s="118">
        <v>2</v>
      </c>
      <c r="B9" s="114" t="s">
        <v>12</v>
      </c>
      <c r="C9" s="109" t="e">
        <f>VLOOKUP(Table25755252691013434446474849565758596315181719224566677172737476777879939495100104109111113115117119[[#This Row],[PEG]],Table1016[#All],2,FALSE)</f>
        <v>#N/A</v>
      </c>
      <c r="D9" s="128"/>
      <c r="E9" s="125" t="e">
        <f>VLOOKUP(Table25755252691013434446474849565758596315181719224566677172737476777879939495100104109111113115117119[[#This Row],[PEG]],Table1016[#All],3,FALSE)</f>
        <v>#N/A</v>
      </c>
    </row>
    <row r="10" spans="1:5" x14ac:dyDescent="0.35">
      <c r="A10" s="118">
        <v>3</v>
      </c>
      <c r="B10" s="114" t="s">
        <v>124</v>
      </c>
      <c r="C10" s="109" t="e">
        <f>VLOOKUP(Table25755252691013434446474849565758596315181719224566677172737476777879939495100104109111113115117119[[#This Row],[PEG]],Table1016[#All],2,FALSE)</f>
        <v>#N/A</v>
      </c>
      <c r="D10" s="128"/>
      <c r="E10" s="125" t="e">
        <f>VLOOKUP(Table25755252691013434446474849565758596315181719224566677172737476777879939495100104109111113115117119[[#This Row],[PEG]],Table1016[#All],3,FALSE)</f>
        <v>#N/A</v>
      </c>
    </row>
    <row r="11" spans="1:5" x14ac:dyDescent="0.35">
      <c r="A11" s="118">
        <v>4</v>
      </c>
      <c r="B11" s="114" t="s">
        <v>115</v>
      </c>
      <c r="C11" s="109" t="e">
        <f>VLOOKUP(Table25755252691013434446474849565758596315181719224566677172737476777879939495100104109111113115117119[[#This Row],[PEG]],Table1016[#All],2,FALSE)</f>
        <v>#N/A</v>
      </c>
      <c r="D11" s="128"/>
      <c r="E11" s="125" t="e">
        <f>VLOOKUP(Table25755252691013434446474849565758596315181719224566677172737476777879939495100104109111113115117119[[#This Row],[PEG]],Table1016[#All],3,FALSE)</f>
        <v>#N/A</v>
      </c>
    </row>
    <row r="12" spans="1:5" x14ac:dyDescent="0.35">
      <c r="A12" s="118">
        <v>5</v>
      </c>
      <c r="B12" s="114" t="s">
        <v>114</v>
      </c>
      <c r="C12" s="109" t="e">
        <f>VLOOKUP(Table25755252691013434446474849565758596315181719224566677172737476777879939495100104109111113115117119[[#This Row],[PEG]],Table1016[#All],2,FALSE)</f>
        <v>#N/A</v>
      </c>
      <c r="D12" s="128"/>
      <c r="E12" s="125" t="e">
        <f>VLOOKUP(Table25755252691013434446474849565758596315181719224566677172737476777879939495100104109111113115117119[[#This Row],[PEG]],Table1016[#All],3,FALSE)</f>
        <v>#N/A</v>
      </c>
    </row>
    <row r="13" spans="1:5" x14ac:dyDescent="0.35">
      <c r="A13" s="118">
        <v>6</v>
      </c>
      <c r="B13" s="114" t="s">
        <v>115</v>
      </c>
      <c r="C13" s="109" t="e">
        <f>VLOOKUP(Table25755252691013434446474849565758596315181719224566677172737476777879939495100104109111113115117119[[#This Row],[PEG]],Table1016[#All],2,FALSE)</f>
        <v>#N/A</v>
      </c>
      <c r="D13" s="128"/>
      <c r="E13" s="125" t="e">
        <f>VLOOKUP(Table25755252691013434446474849565758596315181719224566677172737476777879939495100104109111113115117119[[#This Row],[PEG]],Table1016[#All],3,FALSE)</f>
        <v>#N/A</v>
      </c>
    </row>
    <row r="14" spans="1:5" x14ac:dyDescent="0.35">
      <c r="A14" s="118">
        <v>7</v>
      </c>
      <c r="B14" s="114" t="s">
        <v>115</v>
      </c>
      <c r="C14" s="109" t="e">
        <f>VLOOKUP(Table25755252691013434446474849565758596315181719224566677172737476777879939495100104109111113115117119[[#This Row],[PEG]],Table1016[#All],2,FALSE)</f>
        <v>#N/A</v>
      </c>
      <c r="D14" s="128"/>
      <c r="E14" s="125" t="e">
        <f>VLOOKUP(Table25755252691013434446474849565758596315181719224566677172737476777879939495100104109111113115117119[[#This Row],[PEG]],Table1016[#All],3,FALSE)</f>
        <v>#N/A</v>
      </c>
    </row>
    <row r="15" spans="1:5" x14ac:dyDescent="0.35">
      <c r="A15" s="118">
        <v>8</v>
      </c>
      <c r="B15" s="114" t="s">
        <v>124</v>
      </c>
      <c r="C15" s="109" t="e">
        <f>VLOOKUP(Table25755252691013434446474849565758596315181719224566677172737476777879939495100104109111113115117119[[#This Row],[PEG]],Table1016[#All],2,FALSE)</f>
        <v>#N/A</v>
      </c>
      <c r="D15" s="116"/>
      <c r="E15" s="125" t="e">
        <f>VLOOKUP(Table25755252691013434446474849565758596315181719224566677172737476777879939495100104109111113115117119[[#This Row],[PEG]],Table1016[#All],3,FALSE)</f>
        <v>#N/A</v>
      </c>
    </row>
    <row r="16" spans="1:5" x14ac:dyDescent="0.35">
      <c r="A16" s="118">
        <v>9</v>
      </c>
      <c r="B16" s="114" t="s">
        <v>115</v>
      </c>
      <c r="C16" s="109" t="e">
        <f>VLOOKUP(Table25755252691013434446474849565758596315181719224566677172737476777879939495100104109111113115117119[[#This Row],[PEG]],Table1016[#All],2,FALSE)</f>
        <v>#N/A</v>
      </c>
      <c r="D16" s="116"/>
      <c r="E16" s="125" t="e">
        <f>VLOOKUP(Table25755252691013434446474849565758596315181719224566677172737476777879939495100104109111113115117119[[#This Row],[PEG]],Table1016[#All],3,FALSE)</f>
        <v>#N/A</v>
      </c>
    </row>
    <row r="17" spans="1:5" x14ac:dyDescent="0.35">
      <c r="A17" s="118">
        <v>10</v>
      </c>
      <c r="B17" s="114" t="s">
        <v>124</v>
      </c>
      <c r="C17" s="109" t="e">
        <f>VLOOKUP(Table25755252691013434446474849565758596315181719224566677172737476777879939495100104109111113115117119[[#This Row],[PEG]],Table1016[#All],2,FALSE)</f>
        <v>#N/A</v>
      </c>
      <c r="D17" s="117"/>
      <c r="E17" s="125" t="e">
        <f>VLOOKUP(Table25755252691013434446474849565758596315181719224566677172737476777879939495100104109111113115117119[[#This Row],[PEG]],Table1016[#All],3,FALSE)</f>
        <v>#N/A</v>
      </c>
    </row>
    <row r="18" spans="1:5" x14ac:dyDescent="0.35">
      <c r="A18" s="118">
        <v>11</v>
      </c>
      <c r="B18" s="114" t="s">
        <v>115</v>
      </c>
      <c r="C18" s="109" t="e">
        <f>VLOOKUP(Table25755252691013434446474849565758596315181719224566677172737476777879939495100104109111113115117119[[#This Row],[PEG]],Table1016[#All],2,FALSE)</f>
        <v>#N/A</v>
      </c>
      <c r="D18" s="117"/>
      <c r="E18" s="125" t="e">
        <f>VLOOKUP(Table25755252691013434446474849565758596315181719224566677172737476777879939495100104109111113115117119[[#This Row],[PEG]],Table1016[#All],3,FALSE)</f>
        <v>#N/A</v>
      </c>
    </row>
    <row r="19" spans="1:5" x14ac:dyDescent="0.35">
      <c r="A19" s="118">
        <v>12</v>
      </c>
      <c r="B19" s="114" t="s">
        <v>124</v>
      </c>
      <c r="C19" s="109" t="e">
        <f>VLOOKUP(Table25755252691013434446474849565758596315181719224566677172737476777879939495100104109111113115117119[[#This Row],[PEG]],Table1016[#All],2,FALSE)</f>
        <v>#N/A</v>
      </c>
      <c r="D19" s="117"/>
      <c r="E19" s="125" t="e">
        <f>VLOOKUP(Table25755252691013434446474849565758596315181719224566677172737476777879939495100104109111113115117119[[#This Row],[PEG]],Table1016[#All],3,FALSE)</f>
        <v>#N/A</v>
      </c>
    </row>
    <row r="20" spans="1:5" x14ac:dyDescent="0.35">
      <c r="A20" s="118">
        <v>13</v>
      </c>
      <c r="B20" s="114" t="s">
        <v>115</v>
      </c>
      <c r="C20" s="109" t="e">
        <f>VLOOKUP(Table25755252691013434446474849565758596315181719224566677172737476777879939495100104109111113115117119[[#This Row],[PEG]],Table1016[#All],2,FALSE)</f>
        <v>#N/A</v>
      </c>
      <c r="D20" s="117"/>
      <c r="E20" s="125" t="e">
        <f>VLOOKUP(Table25755252691013434446474849565758596315181719224566677172737476777879939495100104109111113115117119[[#This Row],[PEG]],Table1016[#All],3,FALSE)</f>
        <v>#N/A</v>
      </c>
    </row>
    <row r="21" spans="1:5" x14ac:dyDescent="0.35">
      <c r="A21" s="118">
        <v>14</v>
      </c>
      <c r="B21" s="114" t="s">
        <v>124</v>
      </c>
      <c r="C21" s="109" t="e">
        <f>VLOOKUP(Table25755252691013434446474849565758596315181719224566677172737476777879939495100104109111113115117119[[#This Row],[PEG]],Table1016[#All],2,FALSE)</f>
        <v>#N/A</v>
      </c>
      <c r="D21" s="117"/>
      <c r="E21" s="125" t="e">
        <f>VLOOKUP(Table25755252691013434446474849565758596315181719224566677172737476777879939495100104109111113115117119[[#This Row],[PEG]],Table1016[#All],3,FALSE)</f>
        <v>#N/A</v>
      </c>
    </row>
    <row r="22" spans="1:5" x14ac:dyDescent="0.35">
      <c r="A22" s="118">
        <v>15</v>
      </c>
      <c r="B22" s="114" t="s">
        <v>115</v>
      </c>
      <c r="C22" s="109" t="e">
        <f>VLOOKUP(Table25755252691013434446474849565758596315181719224566677172737476777879939495100104109111113115117119[[#This Row],[PEG]],Table1016[#All],2,FALSE)</f>
        <v>#N/A</v>
      </c>
      <c r="D22" s="117"/>
      <c r="E22" s="125" t="e">
        <f>VLOOKUP(Table25755252691013434446474849565758596315181719224566677172737476777879939495100104109111113115117119[[#This Row],[PEG]],Table1016[#All],3,FALSE)</f>
        <v>#N/A</v>
      </c>
    </row>
    <row r="23" spans="1:5" x14ac:dyDescent="0.35">
      <c r="A23" s="118">
        <v>16</v>
      </c>
      <c r="B23" s="114" t="s">
        <v>124</v>
      </c>
      <c r="C23" s="109" t="e">
        <f>VLOOKUP(Table25755252691013434446474849565758596315181719224566677172737476777879939495100104109111113115117119[[#This Row],[PEG]],Table1016[#All],2,FALSE)</f>
        <v>#N/A</v>
      </c>
      <c r="D23" s="117"/>
      <c r="E23" s="125" t="e">
        <f>VLOOKUP(Table25755252691013434446474849565758596315181719224566677172737476777879939495100104109111113115117119[[#This Row],[PEG]],Table1016[#All],3,FALSE)</f>
        <v>#N/A</v>
      </c>
    </row>
    <row r="24" spans="1:5" x14ac:dyDescent="0.35">
      <c r="A24" s="118">
        <v>17</v>
      </c>
      <c r="B24" s="114" t="s">
        <v>115</v>
      </c>
      <c r="C24" s="109" t="e">
        <f>VLOOKUP(Table25755252691013434446474849565758596315181719224566677172737476777879939495100104109111113115117119[[#This Row],[PEG]],Table1016[#All],2,FALSE)</f>
        <v>#N/A</v>
      </c>
      <c r="D24" s="117"/>
      <c r="E24" s="125" t="e">
        <f>VLOOKUP(Table25755252691013434446474849565758596315181719224566677172737476777879939495100104109111113115117119[[#This Row],[PEG]],Table1016[#All],3,FALSE)</f>
        <v>#N/A</v>
      </c>
    </row>
    <row r="25" spans="1:5" x14ac:dyDescent="0.35">
      <c r="A25" s="118">
        <v>18</v>
      </c>
      <c r="B25" s="114" t="s">
        <v>124</v>
      </c>
      <c r="C25" s="109" t="e">
        <f>VLOOKUP(Table25755252691013434446474849565758596315181719224566677172737476777879939495100104109111113115117119[[#This Row],[PEG]],Table1016[#All],2,FALSE)</f>
        <v>#N/A</v>
      </c>
      <c r="D25" s="117"/>
      <c r="E25" s="125" t="e">
        <f>VLOOKUP(Table25755252691013434446474849565758596315181719224566677172737476777879939495100104109111113115117119[[#This Row],[PEG]],Table1016[#All],3,FALSE)</f>
        <v>#N/A</v>
      </c>
    </row>
    <row r="26" spans="1:5" x14ac:dyDescent="0.35">
      <c r="A26" s="118">
        <v>19</v>
      </c>
      <c r="B26" s="114" t="s">
        <v>115</v>
      </c>
      <c r="C26" s="109" t="e">
        <f>VLOOKUP(Table25755252691013434446474849565758596315181719224566677172737476777879939495100104109111113115117119[[#This Row],[PEG]],Table1016[#All],2,FALSE)</f>
        <v>#N/A</v>
      </c>
      <c r="D26" s="117"/>
      <c r="E26" s="125" t="e">
        <f>VLOOKUP(Table25755252691013434446474849565758596315181719224566677172737476777879939495100104109111113115117119[[#This Row],[PEG]],Table1016[#All],3,FALSE)</f>
        <v>#N/A</v>
      </c>
    </row>
    <row r="27" spans="1:5" x14ac:dyDescent="0.35">
      <c r="A27" s="118">
        <v>20</v>
      </c>
      <c r="B27" s="114" t="s">
        <v>12</v>
      </c>
      <c r="C27" s="109" t="e">
        <f>VLOOKUP(Table25755252691013434446474849565758596315181719224566677172737476777879939495100104109111113115117119[[#This Row],[PEG]],Table1016[#All],2,FALSE)</f>
        <v>#N/A</v>
      </c>
      <c r="D27" s="117"/>
      <c r="E27" s="125" t="e">
        <f>VLOOKUP(Table25755252691013434446474849565758596315181719224566677172737476777879939495100104109111113115117119[[#This Row],[PEG]],Table1016[#All],3,FALSE)</f>
        <v>#N/A</v>
      </c>
    </row>
    <row r="28" spans="1:5" x14ac:dyDescent="0.35">
      <c r="A28" s="118">
        <v>21</v>
      </c>
      <c r="B28" s="114" t="s">
        <v>12</v>
      </c>
      <c r="C28" s="109" t="e">
        <f>VLOOKUP(Table25755252691013434446474849565758596315181719224566677172737476777879939495100104109111113115117119[[#This Row],[PEG]],Table1016[#All],2,FALSE)</f>
        <v>#N/A</v>
      </c>
      <c r="D28" s="117"/>
      <c r="E28" s="125" t="e">
        <f>VLOOKUP(Table25755252691013434446474849565758596315181719224566677172737476777879939495100104109111113115117119[[#This Row],[PEG]],Table1016[#All],3,FALSE)</f>
        <v>#N/A</v>
      </c>
    </row>
    <row r="29" spans="1:5" x14ac:dyDescent="0.35">
      <c r="A29" s="118">
        <v>22</v>
      </c>
      <c r="B29" s="114" t="s">
        <v>115</v>
      </c>
      <c r="C29" s="109" t="e">
        <f>VLOOKUP(Table25755252691013434446474849565758596315181719224566677172737476777879939495100104109111113115117119[[#This Row],[PEG]],Table1016[#All],2,FALSE)</f>
        <v>#N/A</v>
      </c>
      <c r="D29" s="117"/>
      <c r="E29" s="125" t="e">
        <f>VLOOKUP(Table25755252691013434446474849565758596315181719224566677172737476777879939495100104109111113115117119[[#This Row],[PEG]],Table1016[#All],3,FALSE)</f>
        <v>#N/A</v>
      </c>
    </row>
    <row r="30" spans="1:5" x14ac:dyDescent="0.35">
      <c r="A30" s="118">
        <v>23</v>
      </c>
      <c r="B30" s="114" t="s">
        <v>115</v>
      </c>
      <c r="C30" s="109" t="e">
        <f>VLOOKUP(Table25755252691013434446474849565758596315181719224566677172737476777879939495100104109111113115117119[[#This Row],[PEG]],Table1016[#All],2,FALSE)</f>
        <v>#N/A</v>
      </c>
      <c r="D30" s="117"/>
      <c r="E30" s="125" t="e">
        <f>VLOOKUP(Table25755252691013434446474849565758596315181719224566677172737476777879939495100104109111113115117119[[#This Row],[PEG]],Table1016[#All],3,FALSE)</f>
        <v>#N/A</v>
      </c>
    </row>
    <row r="31" spans="1:5" x14ac:dyDescent="0.35">
      <c r="A31" s="118">
        <v>24</v>
      </c>
      <c r="B31" s="114" t="s">
        <v>115</v>
      </c>
      <c r="C31" s="109" t="e">
        <f>VLOOKUP(Table25755252691013434446474849565758596315181719224566677172737476777879939495100104109111113115117119[[#This Row],[PEG]],Table1016[#All],2,FALSE)</f>
        <v>#N/A</v>
      </c>
      <c r="D31" s="117"/>
      <c r="E31" s="125" t="e">
        <f>VLOOKUP(Table25755252691013434446474849565758596315181719224566677172737476777879939495100104109111113115117119[[#This Row],[PEG]],Table1016[#All],3,FALSE)</f>
        <v>#N/A</v>
      </c>
    </row>
    <row r="32" spans="1:5" x14ac:dyDescent="0.35">
      <c r="A32" s="118">
        <v>25</v>
      </c>
      <c r="B32" s="114" t="s">
        <v>115</v>
      </c>
      <c r="C32" s="109" t="e">
        <f>VLOOKUP(Table25755252691013434446474849565758596315181719224566677172737476777879939495100104109111113115117119[[#This Row],[PEG]],Table1016[#All],2,FALSE)</f>
        <v>#N/A</v>
      </c>
      <c r="D32" s="117"/>
      <c r="E32" s="125" t="e">
        <f>VLOOKUP(Table25755252691013434446474849565758596315181719224566677172737476777879939495100104109111113115117119[[#This Row],[PEG]],Table1016[#All],3,FALSE)</f>
        <v>#N/A</v>
      </c>
    </row>
    <row r="33" spans="1:5" x14ac:dyDescent="0.35">
      <c r="A33" s="118">
        <v>26</v>
      </c>
      <c r="B33" s="114" t="s">
        <v>124</v>
      </c>
      <c r="C33" s="109" t="e">
        <f>VLOOKUP(Table25755252691013434446474849565758596315181719224566677172737476777879939495100104109111113115117119[[#This Row],[PEG]],Table1016[#All],2,FALSE)</f>
        <v>#N/A</v>
      </c>
      <c r="D33" s="117"/>
      <c r="E33" s="125" t="e">
        <f>VLOOKUP(Table25755252691013434446474849565758596315181719224566677172737476777879939495100104109111113115117119[[#This Row],[PEG]],Table1016[#All],3,FALSE)</f>
        <v>#N/A</v>
      </c>
    </row>
    <row r="34" spans="1:5" x14ac:dyDescent="0.35">
      <c r="A34" s="118">
        <v>27</v>
      </c>
      <c r="B34" s="114" t="s">
        <v>115</v>
      </c>
      <c r="C34" s="109" t="e">
        <f>VLOOKUP(Table25755252691013434446474849565758596315181719224566677172737476777879939495100104109111113115117119[[#This Row],[PEG]],Table1016[#All],2,FALSE)</f>
        <v>#N/A</v>
      </c>
      <c r="D34" s="117"/>
      <c r="E34" s="125" t="e">
        <f>VLOOKUP(Table25755252691013434446474849565758596315181719224566677172737476777879939495100104109111113115117119[[#This Row],[PEG]],Table1016[#All],3,FALSE)</f>
        <v>#N/A</v>
      </c>
    </row>
    <row r="35" spans="1:5" x14ac:dyDescent="0.35">
      <c r="A35" s="118">
        <v>28</v>
      </c>
      <c r="B35" s="114" t="s">
        <v>124</v>
      </c>
      <c r="C35" s="109" t="e">
        <f>VLOOKUP(Table25755252691013434446474849565758596315181719224566677172737476777879939495100104109111113115117119[[#This Row],[PEG]],Table1016[#All],2,FALSE)</f>
        <v>#N/A</v>
      </c>
      <c r="D35" s="117"/>
      <c r="E35" s="125" t="e">
        <f>VLOOKUP(Table25755252691013434446474849565758596315181719224566677172737476777879939495100104109111113115117119[[#This Row],[PEG]],Table1016[#All],3,FALSE)</f>
        <v>#N/A</v>
      </c>
    </row>
    <row r="36" spans="1:5" x14ac:dyDescent="0.35">
      <c r="A36" s="118">
        <v>29</v>
      </c>
      <c r="B36" s="114" t="s">
        <v>115</v>
      </c>
      <c r="C36" s="109" t="e">
        <f>VLOOKUP(Table25755252691013434446474849565758596315181719224566677172737476777879939495100104109111113115117119[[#This Row],[PEG]],Table1016[#All],2,FALSE)</f>
        <v>#N/A</v>
      </c>
      <c r="D36" s="117"/>
      <c r="E36" s="125" t="e">
        <f>VLOOKUP(Table25755252691013434446474849565758596315181719224566677172737476777879939495100104109111113115117119[[#This Row],[PEG]],Table1016[#All],3,FALSE)</f>
        <v>#N/A</v>
      </c>
    </row>
    <row r="37" spans="1:5" x14ac:dyDescent="0.35">
      <c r="A37" s="118">
        <v>30</v>
      </c>
      <c r="B37" s="114" t="s">
        <v>12</v>
      </c>
      <c r="C37" s="109" t="e">
        <f>VLOOKUP(Table25755252691013434446474849565758596315181719224566677172737476777879939495100104109111113115117119[[#This Row],[PEG]],Table1016[#All],2,FALSE)</f>
        <v>#N/A</v>
      </c>
      <c r="D37" s="117"/>
      <c r="E37" s="125" t="e">
        <f>VLOOKUP(Table25755252691013434446474849565758596315181719224566677172737476777879939495100104109111113115117119[[#This Row],[PEG]],Table1016[#All],3,FALSE)</f>
        <v>#N/A</v>
      </c>
    </row>
    <row r="38" spans="1:5" x14ac:dyDescent="0.35">
      <c r="A38" s="118">
        <v>31</v>
      </c>
      <c r="B38" s="114" t="s">
        <v>12</v>
      </c>
      <c r="C38" s="109" t="e">
        <f>VLOOKUP(Table25755252691013434446474849565758596315181719224566677172737476777879939495100104109111113115117119[[#This Row],[PEG]],Table1016[#All],2,FALSE)</f>
        <v>#N/A</v>
      </c>
      <c r="D38" s="117"/>
      <c r="E38" s="125" t="e">
        <f>VLOOKUP(Table25755252691013434446474849565758596315181719224566677172737476777879939495100104109111113115117119[[#This Row],[PEG]],Table1016[#All],3,FALSE)</f>
        <v>#N/A</v>
      </c>
    </row>
    <row r="39" spans="1:5" x14ac:dyDescent="0.35">
      <c r="A39" s="118">
        <v>32</v>
      </c>
      <c r="B39" s="114" t="s">
        <v>12</v>
      </c>
      <c r="C39" s="109" t="e">
        <f>VLOOKUP(Table25755252691013434446474849565758596315181719224566677172737476777879939495100104109111113115117119[[#This Row],[PEG]],Table1016[#All],2,FALSE)</f>
        <v>#N/A</v>
      </c>
      <c r="D39" s="117"/>
      <c r="E39" s="125" t="e">
        <f>VLOOKUP(Table25755252691013434446474849565758596315181719224566677172737476777879939495100104109111113115117119[[#This Row],[PEG]],Table1016[#All],3,FALSE)</f>
        <v>#N/A</v>
      </c>
    </row>
    <row r="40" spans="1:5" x14ac:dyDescent="0.35">
      <c r="A40" s="118">
        <v>33</v>
      </c>
      <c r="B40" s="114" t="s">
        <v>12</v>
      </c>
      <c r="C40" s="109" t="e">
        <f>VLOOKUP(Table25755252691013434446474849565758596315181719224566677172737476777879939495100104109111113115117119[[#This Row],[PEG]],Table1016[#All],2,FALSE)</f>
        <v>#N/A</v>
      </c>
      <c r="D40" s="117"/>
      <c r="E40" s="125" t="e">
        <f>VLOOKUP(Table25755252691013434446474849565758596315181719224566677172737476777879939495100104109111113115117119[[#This Row],[PEG]],Table1016[#All],3,FALSE)</f>
        <v>#N/A</v>
      </c>
    </row>
    <row r="41" spans="1:5" x14ac:dyDescent="0.35">
      <c r="A41" s="118">
        <v>34</v>
      </c>
      <c r="B41" s="114" t="s">
        <v>115</v>
      </c>
      <c r="C41" s="109" t="e">
        <f>VLOOKUP(Table25755252691013434446474849565758596315181719224566677172737476777879939495100104109111113115117119[[#This Row],[PEG]],Table1016[#All],2,FALSE)</f>
        <v>#N/A</v>
      </c>
      <c r="D41" s="117"/>
      <c r="E41" s="125" t="e">
        <f>VLOOKUP(Table25755252691013434446474849565758596315181719224566677172737476777879939495100104109111113115117119[[#This Row],[PEG]],Table1016[#All],3,FALSE)</f>
        <v>#N/A</v>
      </c>
    </row>
    <row r="42" spans="1:5" x14ac:dyDescent="0.35">
      <c r="A42" s="118">
        <v>35</v>
      </c>
      <c r="B42" s="114" t="s">
        <v>13</v>
      </c>
      <c r="C42" s="18" t="s">
        <v>13</v>
      </c>
      <c r="D42" s="115"/>
      <c r="E42" s="32"/>
    </row>
  </sheetData>
  <mergeCells count="1">
    <mergeCell ref="A1:B1"/>
  </mergeCells>
  <conditionalFormatting sqref="B8:B18">
    <cfRule type="containsText" dxfId="4088" priority="1" operator="containsText" text="Hear">
      <formula>NOT(ISERROR(SEARCH("Hear",B8)))</formula>
    </cfRule>
  </conditionalFormatting>
  <conditionalFormatting sqref="B36:B38 B40:B41">
    <cfRule type="containsText" dxfId="4087" priority="6" operator="containsText" text="Hear">
      <formula>NOT(ISERROR(SEARCH("Hear",B36)))</formula>
    </cfRule>
  </conditionalFormatting>
  <conditionalFormatting sqref="B31:B35 B42">
    <cfRule type="containsText" dxfId="4086" priority="10" operator="containsText" text="Hear">
      <formula>NOT(ISERROR(SEARCH("Hear",B31)))</formula>
    </cfRule>
  </conditionalFormatting>
  <conditionalFormatting sqref="E42">
    <cfRule type="containsText" dxfId="4085" priority="8" operator="containsText" text="WEB SERVICE">
      <formula>NOT(ISERROR(SEARCH("WEB SERVICE",E42)))</formula>
    </cfRule>
    <cfRule type="containsText" dxfId="4084" priority="9" operator="containsText" text="DB">
      <formula>NOT(ISERROR(SEARCH("DB",E42)))</formula>
    </cfRule>
  </conditionalFormatting>
  <conditionalFormatting sqref="C42">
    <cfRule type="expression" dxfId="4083" priority="13">
      <formula>$B42="HANGUP"</formula>
    </cfRule>
  </conditionalFormatting>
  <conditionalFormatting sqref="B19:B29">
    <cfRule type="containsText" dxfId="4082" priority="3" operator="containsText" text="Hear">
      <formula>NOT(ISERROR(SEARCH("Hear",B19)))</formula>
    </cfRule>
  </conditionalFormatting>
  <conditionalFormatting sqref="B30">
    <cfRule type="containsText" dxfId="4081" priority="2" operator="containsText" text="Hear">
      <formula>NOT(ISERROR(SEARCH("Hear",B30)))</formula>
    </cfRule>
  </conditionalFormatting>
  <hyperlinks>
    <hyperlink ref="A1" location="'Test Case Overview'!A1" display="Return to Test Case Overview" xr:uid="{D38C8CB9-9197-4CEE-A231-DFB0ACAF93E9}"/>
  </hyperlinks>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expression" priority="14" id="{3686C16D-5CCD-49C1-B5EB-A1E1FDC24C25}">
            <xm:f>'TC1'!$B8="HANGUP"</xm:f>
            <x14:dxf>
              <font>
                <b/>
                <i val="0"/>
              </font>
            </x14:dxf>
          </x14:cfRule>
          <x14:cfRule type="expression" priority="15" id="{53AAEFA6-690C-4C55-AB10-26B430971B7B}">
            <xm:f>'TC1'!$B8="Dial"</xm:f>
            <x14:dxf>
              <font>
                <b/>
                <i val="0"/>
                <color rgb="FFFF0000"/>
              </font>
            </x14:dxf>
          </x14:cfRule>
          <xm:sqref>C8</xm:sqref>
        </x14:conditionalFormatting>
        <x14:conditionalFormatting xmlns:xm="http://schemas.microsoft.com/office/excel/2006/main">
          <x14:cfRule type="expression" priority="16" id="{4C0E73F3-37F3-45B5-93E6-D1F6D5E0EC97}">
            <xm:f>'TC1'!$B8="Speak"</xm:f>
            <x14:dxf>
              <font>
                <b/>
                <i val="0"/>
                <color rgb="FFFF0000"/>
              </font>
            </x14:dxf>
          </x14:cfRule>
          <xm:sqref>C8</xm:sqref>
        </x14:conditionalFormatting>
        <x14:conditionalFormatting xmlns:xm="http://schemas.microsoft.com/office/excel/2006/main">
          <x14:cfRule type="containsText" priority="5" operator="containsText" text="Hear" id="{832F11FB-92EE-4DF6-B84C-854C44BD350A}">
            <xm:f>NOT(ISERROR(SEARCH("Hear",'TC3'!B34)))</xm:f>
            <x14:dxf>
              <font>
                <color theme="9" tint="-0.24994659260841701"/>
              </font>
              <fill>
                <patternFill>
                  <bgColor theme="9" tint="0.59996337778862885"/>
                </patternFill>
              </fill>
            </x14:dxf>
          </x14:cfRule>
          <xm:sqref>B41</xm:sqref>
        </x14:conditionalFormatting>
        <x14:conditionalFormatting xmlns:xm="http://schemas.microsoft.com/office/excel/2006/main">
          <x14:cfRule type="expression" priority="1586" id="{3686C16D-5CCD-49C1-B5EB-A1E1FDC24C25}">
            <xm:f>'TC1'!$B16="HANGUP"</xm:f>
            <x14:dxf>
              <font>
                <b/>
                <i val="0"/>
              </font>
            </x14:dxf>
          </x14:cfRule>
          <x14:cfRule type="expression" priority="1587" id="{53AAEFA6-690C-4C55-AB10-26B430971B7B}">
            <xm:f>'TC1'!$B16="Dial"</xm:f>
            <x14:dxf>
              <font>
                <b/>
                <i val="0"/>
                <color rgb="FFFF0000"/>
              </font>
            </x14:dxf>
          </x14:cfRule>
          <xm:sqref>C34:C41</xm:sqref>
        </x14:conditionalFormatting>
        <x14:conditionalFormatting xmlns:xm="http://schemas.microsoft.com/office/excel/2006/main">
          <x14:cfRule type="expression" priority="1588" id="{3686C16D-5CCD-49C1-B5EB-A1E1FDC24C25}">
            <xm:f>'TC1'!#REF!="HANGUP"</xm:f>
            <x14:dxf>
              <font>
                <b/>
                <i val="0"/>
              </font>
            </x14:dxf>
          </x14:cfRule>
          <x14:cfRule type="expression" priority="1589" id="{53AAEFA6-690C-4C55-AB10-26B430971B7B}">
            <xm:f>'TC1'!#REF!="Dial"</xm:f>
            <x14:dxf>
              <font>
                <b/>
                <i val="0"/>
                <color rgb="FFFF0000"/>
              </font>
            </x14:dxf>
          </x14:cfRule>
          <xm:sqref>C17:C33</xm:sqref>
        </x14:conditionalFormatting>
        <x14:conditionalFormatting xmlns:xm="http://schemas.microsoft.com/office/excel/2006/main">
          <x14:cfRule type="expression" priority="1593" id="{4C0E73F3-37F3-45B5-93E6-D1F6D5E0EC97}">
            <xm:f>'TC1'!$B16="Speak"</xm:f>
            <x14:dxf>
              <font>
                <b/>
                <i val="0"/>
                <color rgb="FFFF0000"/>
              </font>
            </x14:dxf>
          </x14:cfRule>
          <xm:sqref>C34:C41</xm:sqref>
        </x14:conditionalFormatting>
        <x14:conditionalFormatting xmlns:xm="http://schemas.microsoft.com/office/excel/2006/main">
          <x14:cfRule type="expression" priority="1594" id="{4C0E73F3-37F3-45B5-93E6-D1F6D5E0EC97}">
            <xm:f>'TC1'!#REF!="Speak"</xm:f>
            <x14:dxf>
              <font>
                <b/>
                <i val="0"/>
                <color rgb="FFFF0000"/>
              </font>
            </x14:dxf>
          </x14:cfRule>
          <xm:sqref>C17:C33</xm:sqref>
        </x14:conditionalFormatting>
        <x14:conditionalFormatting xmlns:xm="http://schemas.microsoft.com/office/excel/2006/main">
          <x14:cfRule type="containsText" priority="1598" operator="containsText" text="DB" id="{13199334-A07C-4C5D-9702-0259EF9FF61E}">
            <xm:f>NOT(ISERROR(SEARCH("DB",'TC1'!E16)))</xm:f>
            <x14:dxf>
              <font>
                <color rgb="FF006100"/>
              </font>
              <fill>
                <patternFill>
                  <bgColor rgb="FFC6EFCE"/>
                </patternFill>
              </fill>
            </x14:dxf>
          </x14:cfRule>
          <x14:cfRule type="containsText" priority="1599" operator="containsText" text="WEB SERVICE" id="{E7C4FA83-E048-40C4-9466-92A6BB8E3F78}">
            <xm:f>NOT(ISERROR(SEARCH("WEB SERVICE",'TC1'!E16)))</xm:f>
            <x14:dxf>
              <font>
                <color rgb="FF9C0006"/>
              </font>
              <fill>
                <patternFill>
                  <bgColor rgb="FFFFC7CE"/>
                </patternFill>
              </fill>
            </x14:dxf>
          </x14:cfRule>
          <xm:sqref>E34:E41</xm:sqref>
        </x14:conditionalFormatting>
        <x14:conditionalFormatting xmlns:xm="http://schemas.microsoft.com/office/excel/2006/main">
          <x14:cfRule type="containsText" priority="1600" operator="containsText" text="DB" id="{13199334-A07C-4C5D-9702-0259EF9FF61E}">
            <xm:f>NOT(ISERROR(SEARCH("DB",'TC1'!#REF!)))</xm:f>
            <x14:dxf>
              <font>
                <color rgb="FF006100"/>
              </font>
              <fill>
                <patternFill>
                  <bgColor rgb="FFC6EFCE"/>
                </patternFill>
              </fill>
            </x14:dxf>
          </x14:cfRule>
          <x14:cfRule type="containsText" priority="1601" operator="containsText" text="WEB SERVICE" id="{E7C4FA83-E048-40C4-9466-92A6BB8E3F78}">
            <xm:f>NOT(ISERROR(SEARCH("WEB SERVICE",'TC1'!#REF!)))</xm:f>
            <x14:dxf>
              <font>
                <color rgb="FF9C0006"/>
              </font>
              <fill>
                <patternFill>
                  <bgColor rgb="FFFFC7CE"/>
                </patternFill>
              </fill>
            </x14:dxf>
          </x14:cfRule>
          <xm:sqref>E17:E33</xm:sqref>
        </x14:conditionalFormatting>
        <x14:conditionalFormatting xmlns:xm="http://schemas.microsoft.com/office/excel/2006/main">
          <x14:cfRule type="expression" priority="4366" id="{3686C16D-5CCD-49C1-B5EB-A1E1FDC24C25}">
            <xm:f>'TC1'!$B9="HANGUP"</xm:f>
            <x14:dxf>
              <font>
                <b/>
                <i val="0"/>
              </font>
            </x14:dxf>
          </x14:cfRule>
          <x14:cfRule type="expression" priority="4367" id="{53AAEFA6-690C-4C55-AB10-26B430971B7B}">
            <xm:f>'TC1'!$B9="Dial"</xm:f>
            <x14:dxf>
              <font>
                <b/>
                <i val="0"/>
                <color rgb="FFFF0000"/>
              </font>
            </x14:dxf>
          </x14:cfRule>
          <xm:sqref>C12:C15</xm:sqref>
        </x14:conditionalFormatting>
        <x14:conditionalFormatting xmlns:xm="http://schemas.microsoft.com/office/excel/2006/main">
          <x14:cfRule type="expression" priority="4368" id="{3686C16D-5CCD-49C1-B5EB-A1E1FDC24C25}">
            <xm:f>'TC1'!#REF!="HANGUP"</xm:f>
            <x14:dxf>
              <font>
                <b/>
                <i val="0"/>
              </font>
            </x14:dxf>
          </x14:cfRule>
          <x14:cfRule type="expression" priority="4369" id="{53AAEFA6-690C-4C55-AB10-26B430971B7B}">
            <xm:f>'TC1'!#REF!="Dial"</xm:f>
            <x14:dxf>
              <font>
                <b/>
                <i val="0"/>
                <color rgb="FFFF0000"/>
              </font>
            </x14:dxf>
          </x14:cfRule>
          <xm:sqref>C9:C11</xm:sqref>
        </x14:conditionalFormatting>
        <x14:conditionalFormatting xmlns:xm="http://schemas.microsoft.com/office/excel/2006/main">
          <x14:cfRule type="expression" priority="4373" id="{4C0E73F3-37F3-45B5-93E6-D1F6D5E0EC97}">
            <xm:f>'TC1'!$B9="Speak"</xm:f>
            <x14:dxf>
              <font>
                <b/>
                <i val="0"/>
                <color rgb="FFFF0000"/>
              </font>
            </x14:dxf>
          </x14:cfRule>
          <xm:sqref>C12:C15</xm:sqref>
        </x14:conditionalFormatting>
        <x14:conditionalFormatting xmlns:xm="http://schemas.microsoft.com/office/excel/2006/main">
          <x14:cfRule type="expression" priority="4374" id="{4C0E73F3-37F3-45B5-93E6-D1F6D5E0EC97}">
            <xm:f>'TC1'!#REF!="Speak"</xm:f>
            <x14:dxf>
              <font>
                <b/>
                <i val="0"/>
                <color rgb="FFFF0000"/>
              </font>
            </x14:dxf>
          </x14:cfRule>
          <xm:sqref>C9:C11</xm:sqref>
        </x14:conditionalFormatting>
        <x14:conditionalFormatting xmlns:xm="http://schemas.microsoft.com/office/excel/2006/main">
          <x14:cfRule type="containsText" priority="4376" operator="containsText" text="DB" id="{13199334-A07C-4C5D-9702-0259EF9FF61E}">
            <xm:f>NOT(ISERROR(SEARCH("DB",'TC1'!#REF!)))</xm:f>
            <x14:dxf>
              <font>
                <color rgb="FF006100"/>
              </font>
              <fill>
                <patternFill>
                  <bgColor rgb="FFC6EFCE"/>
                </patternFill>
              </fill>
            </x14:dxf>
          </x14:cfRule>
          <x14:cfRule type="containsText" priority="4377" operator="containsText" text="WEB SERVICE" id="{E7C4FA83-E048-40C4-9466-92A6BB8E3F78}">
            <xm:f>NOT(ISERROR(SEARCH("WEB SERVICE",'TC1'!#REF!)))</xm:f>
            <x14:dxf>
              <font>
                <color rgb="FF9C0006"/>
              </font>
              <fill>
                <patternFill>
                  <bgColor rgb="FFFFC7CE"/>
                </patternFill>
              </fill>
            </x14:dxf>
          </x14:cfRule>
          <xm:sqref>E9:E11</xm:sqref>
        </x14:conditionalFormatting>
        <x14:conditionalFormatting xmlns:xm="http://schemas.microsoft.com/office/excel/2006/main">
          <x14:cfRule type="containsText" priority="4378" operator="containsText" text="DB" id="{13199334-A07C-4C5D-9702-0259EF9FF61E}">
            <xm:f>NOT(ISERROR(SEARCH("DB",'TC1'!E9)))</xm:f>
            <x14:dxf>
              <font>
                <color rgb="FF006100"/>
              </font>
              <fill>
                <patternFill>
                  <bgColor rgb="FFC6EFCE"/>
                </patternFill>
              </fill>
            </x14:dxf>
          </x14:cfRule>
          <x14:cfRule type="containsText" priority="4379" operator="containsText" text="WEB SERVICE" id="{E7C4FA83-E048-40C4-9466-92A6BB8E3F78}">
            <xm:f>NOT(ISERROR(SEARCH("WEB SERVICE",'TC1'!E9)))</xm:f>
            <x14:dxf>
              <font>
                <color rgb="FF9C0006"/>
              </font>
              <fill>
                <patternFill>
                  <bgColor rgb="FFFFC7CE"/>
                </patternFill>
              </fill>
            </x14:dxf>
          </x14:cfRule>
          <xm:sqref>E12:E15</xm:sqref>
        </x14:conditionalFormatting>
        <x14:conditionalFormatting xmlns:xm="http://schemas.microsoft.com/office/excel/2006/main">
          <x14:cfRule type="expression" priority="6818" id="{3686C16D-5CCD-49C1-B5EB-A1E1FDC24C25}">
            <xm:f>'TC1'!$B15="HANGUP"</xm:f>
            <x14:dxf>
              <font>
                <b/>
                <i val="0"/>
              </font>
            </x14:dxf>
          </x14:cfRule>
          <x14:cfRule type="expression" priority="6819" id="{53AAEFA6-690C-4C55-AB10-26B430971B7B}">
            <xm:f>'TC1'!$B15="Dial"</xm:f>
            <x14:dxf>
              <font>
                <b/>
                <i val="0"/>
                <color rgb="FFFF0000"/>
              </font>
            </x14:dxf>
          </x14:cfRule>
          <xm:sqref>C16</xm:sqref>
        </x14:conditionalFormatting>
        <x14:conditionalFormatting xmlns:xm="http://schemas.microsoft.com/office/excel/2006/main">
          <x14:cfRule type="expression" priority="6821" id="{4C0E73F3-37F3-45B5-93E6-D1F6D5E0EC97}">
            <xm:f>'TC1'!$B15="Speak"</xm:f>
            <x14:dxf>
              <font>
                <b/>
                <i val="0"/>
                <color rgb="FFFF0000"/>
              </font>
            </x14:dxf>
          </x14:cfRule>
          <xm:sqref>C16</xm:sqref>
        </x14:conditionalFormatting>
        <x14:conditionalFormatting xmlns:xm="http://schemas.microsoft.com/office/excel/2006/main">
          <x14:cfRule type="containsText" priority="6824" operator="containsText" text="DB" id="{13199334-A07C-4C5D-9702-0259EF9FF61E}">
            <xm:f>NOT(ISERROR(SEARCH("DB",'TC1'!E15)))</xm:f>
            <x14:dxf>
              <font>
                <color rgb="FF006100"/>
              </font>
              <fill>
                <patternFill>
                  <bgColor rgb="FFC6EFCE"/>
                </patternFill>
              </fill>
            </x14:dxf>
          </x14:cfRule>
          <x14:cfRule type="containsText" priority="6825" operator="containsText" text="WEB SERVICE" id="{E7C4FA83-E048-40C4-9466-92A6BB8E3F78}">
            <xm:f>NOT(ISERROR(SEARCH("WEB SERVICE",'TC1'!E15)))</xm:f>
            <x14:dxf>
              <font>
                <color rgb="FF9C0006"/>
              </font>
              <fill>
                <patternFill>
                  <bgColor rgb="FFFFC7CE"/>
                </patternFill>
              </fill>
            </x14:dxf>
          </x14:cfRule>
          <xm:sqref>E16</xm:sqref>
        </x14:conditionalFormatting>
        <x14:conditionalFormatting xmlns:xm="http://schemas.microsoft.com/office/excel/2006/main">
          <x14:cfRule type="containsText" priority="9157" operator="containsText" text="Hear" id="{0C58349C-527E-4393-85B8-1BE49E272D00}">
            <xm:f>NOT(ISERROR(SEARCH("Hear",'TC26'!#REF!)))</xm:f>
            <x14:dxf>
              <font>
                <color theme="9" tint="-0.24994659260841701"/>
              </font>
              <fill>
                <patternFill>
                  <bgColor theme="9" tint="0.59996337778862885"/>
                </patternFill>
              </fill>
            </x14:dxf>
          </x14:cfRule>
          <xm:sqref>B39</xm:sqref>
        </x14:conditionalFormatting>
      </x14:conditionalFormattings>
    </ext>
  </extLst>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9"/>
  <dimension ref="A1:E43"/>
  <sheetViews>
    <sheetView zoomScaleNormal="100" workbookViewId="0">
      <selection sqref="A1:B1"/>
    </sheetView>
  </sheetViews>
  <sheetFormatPr defaultRowHeight="14.5" x14ac:dyDescent="0.35"/>
  <cols>
    <col min="1" max="1" width="14.453125" bestFit="1" customWidth="1"/>
    <col min="2" max="2" width="42.6328125" customWidth="1"/>
    <col min="3" max="3" width="106.1796875" customWidth="1"/>
    <col min="4" max="4" width="21.81640625" bestFit="1" customWidth="1"/>
    <col min="5" max="5" width="20.6328125" customWidth="1"/>
  </cols>
  <sheetData>
    <row r="1" spans="1:5" ht="18.5" x14ac:dyDescent="0.35">
      <c r="A1" s="192" t="s">
        <v>4</v>
      </c>
      <c r="B1" s="192"/>
      <c r="C1" s="105"/>
      <c r="D1" s="111"/>
      <c r="E1" s="97"/>
    </row>
    <row r="2" spans="1:5" x14ac:dyDescent="0.35">
      <c r="A2" s="106" t="s">
        <v>5</v>
      </c>
      <c r="B2" s="107" t="str">
        <f ca="1">MID(CELL("filename",A1),FIND("]",CELL("filename",A1))+1,LEN(CELL("filename",A1))-FIND("]",CELL("filename",A1)))</f>
        <v>TC67</v>
      </c>
      <c r="C2" s="98"/>
      <c r="D2" s="111"/>
      <c r="E2" s="97"/>
    </row>
    <row r="3" spans="1:5" x14ac:dyDescent="0.35">
      <c r="A3" s="104" t="s">
        <v>19</v>
      </c>
      <c r="B3" s="112">
        <f ca="1">VLOOKUP(B2,Table1[#All],2,FALSE)</f>
        <v>0</v>
      </c>
      <c r="C3" s="98"/>
      <c r="D3" s="111"/>
      <c r="E3" s="97"/>
    </row>
    <row r="4" spans="1:5" ht="29" x14ac:dyDescent="0.35">
      <c r="A4" s="113" t="s">
        <v>20</v>
      </c>
      <c r="B4" s="99" t="str">
        <f ca="1">VLOOKUP(B2,Table1[#All],4,FALSE)</f>
        <v>Current Due, No Stored Pmt Mthd, SMS to ANI, Use Diff Phone Nbr</v>
      </c>
      <c r="C4" s="98"/>
      <c r="D4" s="111"/>
      <c r="E4" s="97"/>
    </row>
    <row r="5" spans="1:5" x14ac:dyDescent="0.35">
      <c r="A5" s="104" t="s">
        <v>6</v>
      </c>
      <c r="B5" s="93" t="str">
        <f ca="1">VLOOKUP(B2,Table1[#All],3,FALSE)</f>
        <v>Get Card - Ask Recurring - Yes</v>
      </c>
      <c r="C5" s="98"/>
      <c r="D5" s="111"/>
      <c r="E5" s="97"/>
    </row>
    <row r="6" spans="1:5" x14ac:dyDescent="0.35">
      <c r="A6" s="97"/>
      <c r="B6" s="97"/>
      <c r="C6" s="98"/>
      <c r="D6" s="111"/>
      <c r="E6" s="97"/>
    </row>
    <row r="7" spans="1:5" ht="15.5" x14ac:dyDescent="0.35">
      <c r="A7" s="100" t="s">
        <v>7</v>
      </c>
      <c r="B7" s="101" t="s">
        <v>8</v>
      </c>
      <c r="C7" s="102" t="s">
        <v>9</v>
      </c>
      <c r="D7" s="102" t="s">
        <v>14</v>
      </c>
      <c r="E7" s="103" t="s">
        <v>10</v>
      </c>
    </row>
    <row r="8" spans="1:5" x14ac:dyDescent="0.35">
      <c r="A8" s="118">
        <v>1</v>
      </c>
      <c r="B8" s="114" t="s">
        <v>114</v>
      </c>
      <c r="C8" s="109" t="s">
        <v>125</v>
      </c>
      <c r="D8" s="128"/>
      <c r="E8" s="125" t="s">
        <v>11</v>
      </c>
    </row>
    <row r="9" spans="1:5" x14ac:dyDescent="0.35">
      <c r="A9" s="118">
        <v>2</v>
      </c>
      <c r="B9" s="114" t="s">
        <v>115</v>
      </c>
      <c r="C9" s="109" t="str">
        <f>VLOOKUP(Table25755252691013434446474849565758596315181719224566677172737476777879939495100104109111113115117121[[#This Row],[PEG]],Table1016[#All],2,FALSE)</f>
        <v>To get started, tell me your Account Number</v>
      </c>
      <c r="D9" s="141" t="s">
        <v>245</v>
      </c>
      <c r="E9" s="125" t="str">
        <f>VLOOKUP(Table25755252691013434446474849565758596315181719224566677172737476777879939495100104109111113115117121[[#This Row],[PEG]],Table1016[#All],3,FALSE)</f>
        <v>Prompt</v>
      </c>
    </row>
    <row r="10" spans="1:5" x14ac:dyDescent="0.35">
      <c r="A10" s="118">
        <v>3</v>
      </c>
      <c r="B10" s="114" t="s">
        <v>124</v>
      </c>
      <c r="C10" s="109" t="s">
        <v>412</v>
      </c>
      <c r="D10" s="141"/>
      <c r="E10" s="125" t="e">
        <f>VLOOKUP(Table25755252691013434446474849565758596315181719224566677172737476777879939495100104109111113115117121[[#This Row],[PEG]],Table1016[#All],3,FALSE)</f>
        <v>#N/A</v>
      </c>
    </row>
    <row r="11" spans="1:5" ht="174" x14ac:dyDescent="0.35">
      <c r="A11" s="118">
        <v>4</v>
      </c>
      <c r="B11" s="114" t="s">
        <v>12</v>
      </c>
      <c r="C11" s="109" t="str">
        <f>VLOOKUP(Table25755252691013434446474849565758596315181719224566677172737476777879939495100104109111113115117121[[#This Row],[PEG]],Table1016[#All],2,FALSE)</f>
        <v>SAP HANA – SAP01_GetMember
inputs:
idnumber = iIdnumber	T
idtype 	= iIdtype
outputs:
~ Billing Reference
~ Enrollment Details
~ Billing Details
~ Last Payment
~ Recurring Payment Method
~ Stored Payment Method</v>
      </c>
      <c r="D11" s="141" t="s">
        <v>371</v>
      </c>
      <c r="E11" s="125" t="str">
        <f>VLOOKUP(Table25755252691013434446474849565758596315181719224566677172737476777879939495100104109111113115117121[[#This Row],[PEG]],Table1016[#All],3,FALSE)</f>
        <v>DB</v>
      </c>
    </row>
    <row r="12" spans="1:5" x14ac:dyDescent="0.35">
      <c r="A12" s="118">
        <v>5</v>
      </c>
      <c r="B12" s="114" t="s">
        <v>115</v>
      </c>
      <c r="C12" s="109" t="str">
        <f>VLOOKUP(Table25755252691013434446474849565758596315181719224566677172737476777879939495100104109111113115117121[[#This Row],[PEG]],Table1016[#All],2,FALSE)</f>
        <v>Thanks, I found your account!</v>
      </c>
      <c r="D12" s="141" t="s">
        <v>248</v>
      </c>
      <c r="E12" s="125" t="str">
        <f>VLOOKUP(Table25755252691013434446474849565758596315181719224566677172737476777879939495100104109111113115117121[[#This Row],[PEG]],Table1016[#All],3,FALSE)</f>
        <v>Prompt</v>
      </c>
    </row>
    <row r="13" spans="1:5" x14ac:dyDescent="0.35">
      <c r="A13" s="118">
        <v>6</v>
      </c>
      <c r="B13" s="114" t="s">
        <v>115</v>
      </c>
      <c r="C13" s="109" t="str">
        <f>VLOOKUP(Table25755252691013434446474849565758596315181719224566677172737476777879939495100104109111113115117121[[#This Row],[PEG]],Table1016[#All],2,FALSE)</f>
        <v>A current balance of &lt;SAP01_CurrentDue&gt; is due by &lt;SAP01_Duedate&gt;.</v>
      </c>
      <c r="D13" s="141" t="s">
        <v>258</v>
      </c>
      <c r="E13" s="125" t="str">
        <f>VLOOKUP(Table25755252691013434446474849565758596315181719224566677172737476777879939495100104109111113115117121[[#This Row],[PEG]],Table1016[#All],3,FALSE)</f>
        <v>Prompt</v>
      </c>
    </row>
    <row r="14" spans="1:5" x14ac:dyDescent="0.35">
      <c r="A14" s="118">
        <v>7</v>
      </c>
      <c r="B14" s="114" t="s">
        <v>115</v>
      </c>
      <c r="C14" s="109" t="str">
        <f>VLOOKUP(Table25755252691013434446474849565758596315181719224566677172737476777879939495100104109111113115117121[[#This Row],[PEG]],Table1016[#All],2,FALSE)</f>
        <v>Would you like to pay this in full today?</v>
      </c>
      <c r="D14" s="141" t="s">
        <v>260</v>
      </c>
      <c r="E14" s="125" t="str">
        <f>VLOOKUP(Table25755252691013434446474849565758596315181719224566677172737476777879939495100104109111113115117121[[#This Row],[PEG]],Table1016[#All],3,FALSE)</f>
        <v>Prompt</v>
      </c>
    </row>
    <row r="15" spans="1:5" x14ac:dyDescent="0.35">
      <c r="A15" s="118">
        <v>8</v>
      </c>
      <c r="B15" s="114" t="s">
        <v>124</v>
      </c>
      <c r="C15" s="109" t="s">
        <v>402</v>
      </c>
      <c r="D15" s="164"/>
      <c r="E15" s="125" t="e">
        <f>VLOOKUP(Table25755252691013434446474849565758596315181719224566677172737476777879939495100104109111113115117121[[#This Row],[PEG]],Table1016[#All],3,FALSE)</f>
        <v>#N/A</v>
      </c>
    </row>
    <row r="16" spans="1:5" x14ac:dyDescent="0.35">
      <c r="A16" s="118">
        <v>9</v>
      </c>
      <c r="B16" s="114" t="s">
        <v>115</v>
      </c>
      <c r="C16" s="109" t="str">
        <f>VLOOKUP(Table25755252691013434446474849565758596315181719224566677172737476777879939495100104109111113115117121[[#This Row],[PEG]],Table1016[#All],2,FALSE)</f>
        <v>Ok, are you using Credit, Debit, Checking or Savings?</v>
      </c>
      <c r="D16" s="164" t="s">
        <v>286</v>
      </c>
      <c r="E16" s="125" t="str">
        <f>VLOOKUP(Table25755252691013434446474849565758596315181719224566677172737476777879939495100104109111113115117121[[#This Row],[PEG]],Table1016[#All],3,FALSE)</f>
        <v>Prompt</v>
      </c>
    </row>
    <row r="17" spans="1:5" x14ac:dyDescent="0.35">
      <c r="A17" s="118">
        <v>10</v>
      </c>
      <c r="B17" s="114" t="s">
        <v>124</v>
      </c>
      <c r="C17" s="109" t="s">
        <v>397</v>
      </c>
      <c r="D17" s="165"/>
      <c r="E17" s="125" t="e">
        <f>VLOOKUP(Table25755252691013434446474849565758596315181719224566677172737476777879939495100104109111113115117121[[#This Row],[PEG]],Table1016[#All],3,FALSE)</f>
        <v>#N/A</v>
      </c>
    </row>
    <row r="18" spans="1:5" x14ac:dyDescent="0.35">
      <c r="A18" s="118">
        <v>11</v>
      </c>
      <c r="B18" s="114" t="s">
        <v>115</v>
      </c>
      <c r="C18" s="109" t="str">
        <f>VLOOKUP(Table25755252691013434446474849565758596315181719224566677172737476777879939495100104109111113115117121[[#This Row],[PEG]],Table1016[#All],2,FALSE)</f>
        <v>Tell me the card number you wish to use.</v>
      </c>
      <c r="D18" s="165" t="s">
        <v>318</v>
      </c>
      <c r="E18" s="125" t="str">
        <f>VLOOKUP(Table25755252691013434446474849565758596315181719224566677172737476777879939495100104109111113115117121[[#This Row],[PEG]],Table1016[#All],3,FALSE)</f>
        <v>Prompt</v>
      </c>
    </row>
    <row r="19" spans="1:5" x14ac:dyDescent="0.35">
      <c r="A19" s="118">
        <v>12</v>
      </c>
      <c r="B19" s="114" t="s">
        <v>124</v>
      </c>
      <c r="C19" s="109" t="s">
        <v>557</v>
      </c>
      <c r="D19" s="165"/>
      <c r="E19" s="125" t="e">
        <f>VLOOKUP(Table25755252691013434446474849565758596315181719224566677172737476777879939495100104109111113115117121[[#This Row],[PEG]],Table1016[#All],3,FALSE)</f>
        <v>#N/A</v>
      </c>
    </row>
    <row r="20" spans="1:5" x14ac:dyDescent="0.35">
      <c r="A20" s="118">
        <v>13</v>
      </c>
      <c r="B20" s="114" t="s">
        <v>115</v>
      </c>
      <c r="C20" s="109" t="str">
        <f>VLOOKUP(Table25755252691013434446474849565758596315181719224566677172737476777879939495100104109111113115117121[[#This Row],[PEG]],Table1016[#All],2,FALSE)</f>
        <v>Is &lt;ivrCardNbr&gt; the right number?</v>
      </c>
      <c r="D20" s="165" t="s">
        <v>320</v>
      </c>
      <c r="E20" s="125">
        <f>VLOOKUP(Table25755252691013434446474849565758596315181719224566677172737476777879939495100104109111113115117121[[#This Row],[PEG]],Table1016[#All],3,FALSE)</f>
        <v>0</v>
      </c>
    </row>
    <row r="21" spans="1:5" x14ac:dyDescent="0.35">
      <c r="A21" s="118">
        <v>14</v>
      </c>
      <c r="B21" s="114" t="s">
        <v>124</v>
      </c>
      <c r="C21" s="109" t="s">
        <v>402</v>
      </c>
      <c r="D21" s="165"/>
      <c r="E21" s="125" t="e">
        <f>VLOOKUP(Table25755252691013434446474849565758596315181719224566677172737476777879939495100104109111113115117121[[#This Row],[PEG]],Table1016[#All],3,FALSE)</f>
        <v>#N/A</v>
      </c>
    </row>
    <row r="22" spans="1:5" ht="29" x14ac:dyDescent="0.35">
      <c r="A22" s="118">
        <v>15</v>
      </c>
      <c r="B22" s="114" t="s">
        <v>115</v>
      </c>
      <c r="C22" s="109" t="str">
        <f>VLOOKUP(Table25755252691013434446474849565758596315181719224566677172737476777879939495100104109111113115117121[[#This Row],[PEG]],Table1016[#All],2,FALSE)</f>
        <v>Now, what is the expiration date?  Just say it like this, March &lt;Current Year +3&gt; 
Now go ahead.</v>
      </c>
      <c r="D22" s="165" t="s">
        <v>323</v>
      </c>
      <c r="E22" s="125" t="str">
        <f>VLOOKUP(Table25755252691013434446474849565758596315181719224566677172737476777879939495100104109111113115117121[[#This Row],[PEG]],Table1016[#All],3,FALSE)</f>
        <v>Prompt</v>
      </c>
    </row>
    <row r="23" spans="1:5" x14ac:dyDescent="0.35">
      <c r="A23" s="118">
        <v>16</v>
      </c>
      <c r="B23" s="114" t="s">
        <v>124</v>
      </c>
      <c r="C23" s="109" t="s">
        <v>399</v>
      </c>
      <c r="D23" s="165"/>
      <c r="E23" s="125" t="e">
        <f>VLOOKUP(Table25755252691013434446474849565758596315181719224566677172737476777879939495100104109111113115117121[[#This Row],[PEG]],Table1016[#All],3,FALSE)</f>
        <v>#N/A</v>
      </c>
    </row>
    <row r="24" spans="1:5" ht="29" x14ac:dyDescent="0.35">
      <c r="A24" s="118">
        <v>17</v>
      </c>
      <c r="B24" s="114" t="s">
        <v>115</v>
      </c>
      <c r="C24" s="109" t="str">
        <f>VLOOKUP(Table25755252691013434446474849565758596315181719224566677172737476777879939495100104109111113115117121[[#This Row],[PEG]],Table1016[#All],2,FALSE)</f>
        <v>To confirm, you want to pay &lt;ivrPmtAmt&gt; with a card ending in &lt;last 4 digits of ivrCardNbr&gt;.
Is that right?</v>
      </c>
      <c r="D24" s="165" t="s">
        <v>326</v>
      </c>
      <c r="E24" s="125" t="str">
        <f>VLOOKUP(Table25755252691013434446474849565758596315181719224566677172737476777879939495100104109111113115117121[[#This Row],[PEG]],Table1016[#All],3,FALSE)</f>
        <v>Prompt</v>
      </c>
    </row>
    <row r="25" spans="1:5" x14ac:dyDescent="0.35">
      <c r="A25" s="118">
        <v>18</v>
      </c>
      <c r="B25" s="114" t="s">
        <v>124</v>
      </c>
      <c r="C25" s="109" t="s">
        <v>402</v>
      </c>
      <c r="D25" s="165"/>
      <c r="E25" s="125" t="e">
        <f>VLOOKUP(Table25755252691013434446474849565758596315181719224566677172737476777879939495100104109111113115117121[[#This Row],[PEG]],Table1016[#All],3,FALSE)</f>
        <v>#N/A</v>
      </c>
    </row>
    <row r="26" spans="1:5" x14ac:dyDescent="0.35">
      <c r="A26" s="118">
        <v>19</v>
      </c>
      <c r="B26" s="114" t="s">
        <v>115</v>
      </c>
      <c r="C26" s="109" t="str">
        <f>VLOOKUP(Table25755252691013434446474849565758596315181719224566677172737476777879939495100104109111113115117121[[#This Row],[PEG]],Table1016[#All],2,FALSE)</f>
        <v>Before I give you the confirmation number, would you like to use this account to setup recurring monthly payments?</v>
      </c>
      <c r="D26" s="165" t="s">
        <v>329</v>
      </c>
      <c r="E26" s="125" t="str">
        <f>VLOOKUP(Table25755252691013434446474849565758596315181719224566677172737476777879939495100104109111113115117121[[#This Row],[PEG]],Table1016[#All],3,FALSE)</f>
        <v>Prompt</v>
      </c>
    </row>
    <row r="27" spans="1:5" x14ac:dyDescent="0.35">
      <c r="A27" s="118">
        <v>20</v>
      </c>
      <c r="B27" s="114" t="s">
        <v>124</v>
      </c>
      <c r="C27" s="109" t="s">
        <v>402</v>
      </c>
      <c r="D27" s="144"/>
      <c r="E27" s="125" t="e">
        <f>VLOOKUP(Table25755252691013434446474849565758596315181719224566677172737476777879939495100104109111113115117121[[#This Row],[PEG]],Table1016[#All],3,FALSE)</f>
        <v>#N/A</v>
      </c>
    </row>
    <row r="28" spans="1:5" ht="333.5" x14ac:dyDescent="0.35">
      <c r="A28" s="118">
        <v>21</v>
      </c>
      <c r="B28" s="114" t="s">
        <v>12</v>
      </c>
      <c r="C28" s="109" t="str">
        <f>VLOOKUP(Table25755252691013434446474849565758596315181719224566677172737476777879939495100104109111113115117121[[#This Row],[PEG]],Table1016[#All],2,FALSE)</f>
        <v xml:space="preserve">CyberSource – CYB02_AuthCard
Input a card_tokenId or a card_number.
inputs:
clientReference_code = IVR.sessionid+"-" +paymentCount
card_tokenId = ivrStoredCardTokenId	
card_number = ivrCardNbr
card_expirationMonth	= ivrCardExpMM		
card_expirationYear = ivrCardExpYYYY			
totalAmount = ivrPmtAmt		
first_name =
last_name =
actionTokenizeFlag = true		
outputs:
CYB02_submitTimeUtc	
CYB02_id	
CYB02_status	
CYB02_approvalCode					
CYB02_responseCode	
CYB02_errorReason
CYB02_errorMesssage
CYB02_cardTokenId	</v>
      </c>
      <c r="D28" s="165" t="s">
        <v>382</v>
      </c>
      <c r="E28" s="125" t="str">
        <f>VLOOKUP(Table25755252691013434446474849565758596315181719224566677172737476777879939495100104109111113115117121[[#This Row],[PEG]],Table1016[#All],3,FALSE)</f>
        <v>DB</v>
      </c>
    </row>
    <row r="29" spans="1:5" ht="232" x14ac:dyDescent="0.35">
      <c r="A29" s="118">
        <v>22</v>
      </c>
      <c r="B29" s="114" t="s">
        <v>12</v>
      </c>
      <c r="C29" s="109" t="str">
        <f>VLOOKUP(Table25755252691013434446474849565758596315181719224566677172737476777879939495100104109111113115117121[[#This Row],[PEG]],Table1016[#All],2,FALSE)</f>
        <v>SAP HANA - SAP03_CardPaymentNotification
inputs:
Businesspartner   = SAP01_Partner
Insobject                 = SAP01_Insobject
subscriberID	    = CYB02_cardTokenId
Type		    = ivrCardType	             
Name                        = ivrFirstName + ' ' + ivrLastName				
Expiration	    = ivrExpiration 
Recurring	    = ivrRecurring  
Stored		    = ivrPmtMethodStored  
Last4Digits	    = ivrLast4Digits 
Paymentamount  = ivrPmtAmt 
ReferenceNumber= CYB02_approvalCode
outputs:
SAP03_ConfirmationNum  Payment Confirmation Number</v>
      </c>
      <c r="D29" s="165" t="s">
        <v>374</v>
      </c>
      <c r="E29" s="125" t="str">
        <f>VLOOKUP(Table25755252691013434446474849565758596315181719224566677172737476777879939495100104109111113115117121[[#This Row],[PEG]],Table1016[#All],3,FALSE)</f>
        <v>DB</v>
      </c>
    </row>
    <row r="30" spans="1:5" ht="29" x14ac:dyDescent="0.35">
      <c r="A30" s="118">
        <v>23</v>
      </c>
      <c r="B30" s="114" t="s">
        <v>115</v>
      </c>
      <c r="C30" s="109" t="str">
        <f>VLOOKUP(Table25755252691013434446474849565758596315181719224566677172737476777879939495100104109111113115117121[[#This Row],[PEG]],Table1016[#All],2,FALSE)</f>
        <v>Recurring payments in the amount of &lt;SAP01_CurrentDue&gt;, will be deducted on the last day of each month starting in &lt;the month following the SAP01_Duedate&gt;.</v>
      </c>
      <c r="D30" s="165" t="s">
        <v>339</v>
      </c>
      <c r="E30" s="125" t="str">
        <f>VLOOKUP(Table25755252691013434446474849565758596315181719224566677172737476777879939495100104109111113115117121[[#This Row],[PEG]],Table1016[#All],3,FALSE)</f>
        <v>Prompt</v>
      </c>
    </row>
    <row r="31" spans="1:5" ht="29" x14ac:dyDescent="0.35">
      <c r="A31" s="118">
        <v>24</v>
      </c>
      <c r="B31" s="114" t="s">
        <v>115</v>
      </c>
      <c r="C31" s="109" t="str">
        <f>VLOOKUP(Table25755252691013434446474849565758596315181719224566677172737476777879939495100104109111113115117121[[#This Row],[PEG]],Table1016[#All],2,FALSE)</f>
        <v>Today's payment in the amount of &lt;ivrPmtAmt&gt;, has been processed.  Your confirmation number is &lt;ivrConfirmationNum&gt;. Again, that confirmation number is &lt;ivrConfirmationNum&gt;.</v>
      </c>
      <c r="D31" s="165" t="s">
        <v>340</v>
      </c>
      <c r="E31" s="125" t="str">
        <f>VLOOKUP(Table25755252691013434446474849565758596315181719224566677172737476777879939495100104109111113115117121[[#This Row],[PEG]],Table1016[#All],3,FALSE)</f>
        <v>Prompt</v>
      </c>
    </row>
    <row r="32" spans="1:5" x14ac:dyDescent="0.35">
      <c r="A32" s="118">
        <v>25</v>
      </c>
      <c r="B32" s="114" t="s">
        <v>115</v>
      </c>
      <c r="C32" s="109" t="str">
        <f>VLOOKUP(Table25755252691013434446474849565758596315181719224566677172737476777879939495100104109111113115117121[[#This Row],[PEG]],Table1016[#All],2,FALSE)</f>
        <v>Would you like me to text the confirmation to the phone number ending in &lt;Last 4 ANI digits&gt;?</v>
      </c>
      <c r="D32" s="143" t="s">
        <v>344</v>
      </c>
      <c r="E32" s="125" t="str">
        <f>VLOOKUP(Table25755252691013434446474849565758596315181719224566677172737476777879939495100104109111113115117121[[#This Row],[PEG]],Table1016[#All],3,FALSE)</f>
        <v>Prompt</v>
      </c>
    </row>
    <row r="33" spans="1:5" x14ac:dyDescent="0.35">
      <c r="A33" s="118">
        <v>26</v>
      </c>
      <c r="B33" s="114" t="s">
        <v>124</v>
      </c>
      <c r="C33" s="109" t="s">
        <v>411</v>
      </c>
      <c r="D33" s="117"/>
      <c r="E33" s="125" t="e">
        <f>VLOOKUP(Table25755252691013434446474849565758596315181719224566677172737476777879939495100104109111113115117121[[#This Row],[PEG]],Table1016[#All],3,FALSE)</f>
        <v>#N/A</v>
      </c>
    </row>
    <row r="34" spans="1:5" x14ac:dyDescent="0.35">
      <c r="A34" s="118">
        <v>27</v>
      </c>
      <c r="B34" s="114" t="s">
        <v>115</v>
      </c>
      <c r="C34" s="109" t="str">
        <f>VLOOKUP(Table25755252691013434446474849565758596315181719224566677172737476777879939495100104109111113115117121[[#This Row],[PEG]],Table1016[#All],2,FALSE)</f>
        <v>Would you like to use a different phone number?</v>
      </c>
      <c r="D34" s="117" t="s">
        <v>347</v>
      </c>
      <c r="E34" s="125" t="str">
        <f>VLOOKUP(Table25755252691013434446474849565758596315181719224566677172737476777879939495100104109111113115117121[[#This Row],[PEG]],Table1016[#All],3,FALSE)</f>
        <v>Prompt</v>
      </c>
    </row>
    <row r="35" spans="1:5" x14ac:dyDescent="0.35">
      <c r="A35" s="118">
        <v>28</v>
      </c>
      <c r="B35" s="114" t="s">
        <v>124</v>
      </c>
      <c r="C35" s="109" t="s">
        <v>388</v>
      </c>
      <c r="D35" s="117"/>
      <c r="E35" s="125" t="e">
        <f>VLOOKUP(Table25755252691013434446474849565758596315181719224566677172737476777879939495100104109111113115117121[[#This Row],[PEG]],Table1016[#All],3,FALSE)</f>
        <v>#N/A</v>
      </c>
    </row>
    <row r="36" spans="1:5" x14ac:dyDescent="0.35">
      <c r="A36" s="118">
        <v>29</v>
      </c>
      <c r="B36" s="114" t="s">
        <v>115</v>
      </c>
      <c r="C36" s="109" t="str">
        <f>VLOOKUP(Table25755252691013434446474849565758596315181719224566677172737476777879939495100104109111113115117121[[#This Row],[PEG]],Table1016[#All],2,FALSE)</f>
        <v>Tell me the phone number you would like to use.</v>
      </c>
      <c r="D36" s="117" t="s">
        <v>350</v>
      </c>
      <c r="E36" s="125" t="str">
        <f>VLOOKUP(Table25755252691013434446474849565758596315181719224566677172737476777879939495100104109111113115117121[[#This Row],[PEG]],Table1016[#All],3,FALSE)</f>
        <v>Prompt</v>
      </c>
    </row>
    <row r="37" spans="1:5" x14ac:dyDescent="0.35">
      <c r="A37" s="118">
        <v>30</v>
      </c>
      <c r="B37" s="114" t="s">
        <v>124</v>
      </c>
      <c r="C37" s="109" t="s">
        <v>424</v>
      </c>
      <c r="D37" s="117"/>
      <c r="E37" s="125" t="e">
        <f>VLOOKUP(Table25755252691013434446474849565758596315181719224566677172737476777879939495100104109111113115117121[[#This Row],[PEG]],Table1016[#All],3,FALSE)</f>
        <v>#N/A</v>
      </c>
    </row>
    <row r="38" spans="1:5" ht="29" x14ac:dyDescent="0.35">
      <c r="A38" s="118">
        <v>31</v>
      </c>
      <c r="B38" s="114" t="s">
        <v>115</v>
      </c>
      <c r="C38" s="109" t="str">
        <f>VLOOKUP(Table25755252691013434446474849565758596315181719224566677172737476777879939495100104109111113115117121[[#This Row],[PEG]],Table1016[#All],2,FALSE)</f>
        <v>That was &lt;iSMSPhoneNbr&gt;.
Is that right?</v>
      </c>
      <c r="D38" s="117" t="s">
        <v>353</v>
      </c>
      <c r="E38" s="125" t="str">
        <f>VLOOKUP(Table25755252691013434446474849565758596315181719224566677172737476777879939495100104109111113115117121[[#This Row],[PEG]],Table1016[#All],3,FALSE)</f>
        <v>Prompt</v>
      </c>
    </row>
    <row r="39" spans="1:5" x14ac:dyDescent="0.35">
      <c r="A39" s="118">
        <v>32</v>
      </c>
      <c r="B39" s="114" t="s">
        <v>124</v>
      </c>
      <c r="C39" s="109" t="s">
        <v>388</v>
      </c>
      <c r="D39" s="117"/>
      <c r="E39" s="125" t="e">
        <f>VLOOKUP(Table25755252691013434446474849565758596315181719224566677172737476777879939495100104109111113115117121[[#This Row],[PEG]],Table1016[#All],3,FALSE)</f>
        <v>#N/A</v>
      </c>
    </row>
    <row r="40" spans="1:5" ht="29" x14ac:dyDescent="0.35">
      <c r="A40" s="118">
        <v>33</v>
      </c>
      <c r="B40" s="114" t="s">
        <v>12</v>
      </c>
      <c r="C40" s="109" t="str">
        <f>VLOOKUP(Table25755252691013434446474849565758596315181719224566677172737476777879939495100104109111113115117121[[#This Row],[PEG]],Table1016[#All],2,FALSE)</f>
        <v>Set ivrSMSMsg=
Your payment confirmation is &lt;ivrConfirmationNum&gt;</v>
      </c>
      <c r="D40" s="117">
        <v>2600</v>
      </c>
      <c r="E40" s="125">
        <f>VLOOKUP(Table25755252691013434446474849565758596315181719224566677172737476777879939495100104109111113115117121[[#This Row],[PEG]],Table1016[#All],3,FALSE)</f>
        <v>0</v>
      </c>
    </row>
    <row r="41" spans="1:5" ht="72.5" x14ac:dyDescent="0.35">
      <c r="A41" s="118">
        <v>34</v>
      </c>
      <c r="B41" s="114" t="s">
        <v>12</v>
      </c>
      <c r="C41" s="109" t="str">
        <f>VLOOKUP(Table25755252691013434446474849565758596315181719224566677172737476777879939495100104109111113115117121[[#This Row],[PEG]],Table1016[#All],2,FALSE)</f>
        <v xml:space="preserve">SMS - SMS01_SendSMSMsg
inputs: 	
from			= CFG02_BillingSMSFromPhone
to 			= ivrSMSPhoneNbr_x000B_body 		= ivrSMSMsg
outputs: </v>
      </c>
      <c r="D41" s="117" t="s">
        <v>425</v>
      </c>
      <c r="E41" s="125">
        <f>VLOOKUP(Table25755252691013434446474849565758596315181719224566677172737476777879939495100104109111113115117121[[#This Row],[PEG]],Table1016[#All],3,FALSE)</f>
        <v>0</v>
      </c>
    </row>
    <row r="42" spans="1:5" s="97" customFormat="1" ht="29" x14ac:dyDescent="0.35">
      <c r="A42" s="118">
        <v>35</v>
      </c>
      <c r="B42" s="114" t="s">
        <v>115</v>
      </c>
      <c r="C42" s="109" t="str">
        <f>VLOOKUP(Table25755252691013434446474849565758596315181719224566677172737476777879939495100104109111113115117121[[#This Row],[PEG]],Table1016[#All],2,FALSE)</f>
        <v>Thank you for your payment today.  For future transactions, you can access your plan details or manage your account anytime online at members.lacare.com.</v>
      </c>
      <c r="D42" s="117" t="s">
        <v>364</v>
      </c>
      <c r="E42" s="125"/>
    </row>
    <row r="43" spans="1:5" x14ac:dyDescent="0.35">
      <c r="A43" s="118">
        <v>36</v>
      </c>
      <c r="B43" s="114" t="s">
        <v>13</v>
      </c>
      <c r="C43" s="109" t="s">
        <v>13</v>
      </c>
      <c r="D43" s="115"/>
      <c r="E43" s="32"/>
    </row>
  </sheetData>
  <mergeCells count="1">
    <mergeCell ref="A1:B1"/>
  </mergeCells>
  <conditionalFormatting sqref="B8:B18">
    <cfRule type="containsText" dxfId="4050" priority="4" operator="containsText" text="Hear">
      <formula>NOT(ISERROR(SEARCH("Hear",B8)))</formula>
    </cfRule>
  </conditionalFormatting>
  <conditionalFormatting sqref="B36:B38 B40:B42">
    <cfRule type="containsText" dxfId="4049" priority="6" operator="containsText" text="Hear">
      <formula>NOT(ISERROR(SEARCH("Hear",B36)))</formula>
    </cfRule>
  </conditionalFormatting>
  <conditionalFormatting sqref="B19:B29 B31:B35 B43">
    <cfRule type="containsText" dxfId="4048" priority="10" operator="containsText" text="Hear">
      <formula>NOT(ISERROR(SEARCH("Hear",B19)))</formula>
    </cfRule>
  </conditionalFormatting>
  <conditionalFormatting sqref="E43">
    <cfRule type="containsText" dxfId="4047" priority="8" operator="containsText" text="WEB SERVICE">
      <formula>NOT(ISERROR(SEARCH("WEB SERVICE",E43)))</formula>
    </cfRule>
    <cfRule type="containsText" dxfId="4046" priority="9" operator="containsText" text="DB">
      <formula>NOT(ISERROR(SEARCH("DB",E43)))</formula>
    </cfRule>
  </conditionalFormatting>
  <conditionalFormatting sqref="B30">
    <cfRule type="containsText" dxfId="4045" priority="7" operator="containsText" text="Hear">
      <formula>NOT(ISERROR(SEARCH("Hear",B30)))</formula>
    </cfRule>
  </conditionalFormatting>
  <conditionalFormatting sqref="C10:C43">
    <cfRule type="expression" dxfId="4044" priority="2">
      <formula>$B10="Dial"</formula>
    </cfRule>
    <cfRule type="expression" dxfId="4043" priority="3">
      <formula>$B10="HANGUP"</formula>
    </cfRule>
  </conditionalFormatting>
  <conditionalFormatting sqref="C10:C43">
    <cfRule type="expression" dxfId="4042" priority="1">
      <formula>$B10="Speak"</formula>
    </cfRule>
  </conditionalFormatting>
  <hyperlinks>
    <hyperlink ref="A1" location="'Test Case Overview'!A1" display="Return to Test Case Overview" xr:uid="{8B7F9A45-B408-425D-B25A-F98A48D32AAD}"/>
  </hyperlinks>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expression" priority="14" id="{35618E38-C3B8-4724-8EB2-0753CBE29C5F}">
            <xm:f>'TC1'!$B8="HANGUP"</xm:f>
            <x14:dxf>
              <font>
                <b/>
                <i val="0"/>
              </font>
            </x14:dxf>
          </x14:cfRule>
          <x14:cfRule type="expression" priority="15" id="{73F41762-D0F6-4E2C-A593-87271B7EBF91}">
            <xm:f>'TC1'!$B8="Dial"</xm:f>
            <x14:dxf>
              <font>
                <b/>
                <i val="0"/>
                <color rgb="FFFF0000"/>
              </font>
            </x14:dxf>
          </x14:cfRule>
          <xm:sqref>C8</xm:sqref>
        </x14:conditionalFormatting>
        <x14:conditionalFormatting xmlns:xm="http://schemas.microsoft.com/office/excel/2006/main">
          <x14:cfRule type="expression" priority="16" id="{44F67959-3CAE-490C-B377-F5B30A4470C4}">
            <xm:f>'TC1'!$B8="Speak"</xm:f>
            <x14:dxf>
              <font>
                <b/>
                <i val="0"/>
                <color rgb="FFFF0000"/>
              </font>
            </x14:dxf>
          </x14:cfRule>
          <xm:sqref>C8</xm:sqref>
        </x14:conditionalFormatting>
        <x14:conditionalFormatting xmlns:xm="http://schemas.microsoft.com/office/excel/2006/main">
          <x14:cfRule type="containsText" priority="5" operator="containsText" text="Hear" id="{D02C78A9-B240-4372-8519-FA473C022340}">
            <xm:f>NOT(ISERROR(SEARCH("Hear",'TC3'!B34)))</xm:f>
            <x14:dxf>
              <font>
                <color theme="9" tint="-0.24994659260841701"/>
              </font>
              <fill>
                <patternFill>
                  <bgColor theme="9" tint="0.59996337778862885"/>
                </patternFill>
              </fill>
            </x14:dxf>
          </x14:cfRule>
          <xm:sqref>B41:B42</xm:sqref>
        </x14:conditionalFormatting>
        <x14:conditionalFormatting xmlns:xm="http://schemas.microsoft.com/office/excel/2006/main">
          <x14:cfRule type="containsText" priority="1618" operator="containsText" text="DB" id="{95B0BCF9-9D72-424A-8312-B5624ACA7FED}">
            <xm:f>NOT(ISERROR(SEARCH("DB",'TC1'!E16)))</xm:f>
            <x14:dxf>
              <font>
                <color rgb="FF006100"/>
              </font>
              <fill>
                <patternFill>
                  <bgColor rgb="FFC6EFCE"/>
                </patternFill>
              </fill>
            </x14:dxf>
          </x14:cfRule>
          <x14:cfRule type="containsText" priority="1619" operator="containsText" text="WEB SERVICE" id="{6F5F20AA-E497-4560-8FE3-1A7FBF6B1131}">
            <xm:f>NOT(ISERROR(SEARCH("WEB SERVICE",'TC1'!E16)))</xm:f>
            <x14:dxf>
              <font>
                <color rgb="FF9C0006"/>
              </font>
              <fill>
                <patternFill>
                  <bgColor rgb="FFFFC7CE"/>
                </patternFill>
              </fill>
            </x14:dxf>
          </x14:cfRule>
          <xm:sqref>E34:E42</xm:sqref>
        </x14:conditionalFormatting>
        <x14:conditionalFormatting xmlns:xm="http://schemas.microsoft.com/office/excel/2006/main">
          <x14:cfRule type="containsText" priority="1620" operator="containsText" text="DB" id="{95B0BCF9-9D72-424A-8312-B5624ACA7FED}">
            <xm:f>NOT(ISERROR(SEARCH("DB",'TC1'!#REF!)))</xm:f>
            <x14:dxf>
              <font>
                <color rgb="FF006100"/>
              </font>
              <fill>
                <patternFill>
                  <bgColor rgb="FFC6EFCE"/>
                </patternFill>
              </fill>
            </x14:dxf>
          </x14:cfRule>
          <x14:cfRule type="containsText" priority="1621" operator="containsText" text="WEB SERVICE" id="{6F5F20AA-E497-4560-8FE3-1A7FBF6B1131}">
            <xm:f>NOT(ISERROR(SEARCH("WEB SERVICE",'TC1'!#REF!)))</xm:f>
            <x14:dxf>
              <font>
                <color rgb="FF9C0006"/>
              </font>
              <fill>
                <patternFill>
                  <bgColor rgb="FFFFC7CE"/>
                </patternFill>
              </fill>
            </x14:dxf>
          </x14:cfRule>
          <xm:sqref>E17:E33</xm:sqref>
        </x14:conditionalFormatting>
        <x14:conditionalFormatting xmlns:xm="http://schemas.microsoft.com/office/excel/2006/main">
          <x14:cfRule type="expression" priority="4386" id="{35618E38-C3B8-4724-8EB2-0753CBE29C5F}">
            <xm:f>'TC1'!#REF!="HANGUP"</xm:f>
            <x14:dxf>
              <font>
                <b/>
                <i val="0"/>
              </font>
            </x14:dxf>
          </x14:cfRule>
          <x14:cfRule type="expression" priority="4387" id="{73F41762-D0F6-4E2C-A593-87271B7EBF91}">
            <xm:f>'TC1'!#REF!="Dial"</xm:f>
            <x14:dxf>
              <font>
                <b/>
                <i val="0"/>
                <color rgb="FFFF0000"/>
              </font>
            </x14:dxf>
          </x14:cfRule>
          <xm:sqref>C9</xm:sqref>
        </x14:conditionalFormatting>
        <x14:conditionalFormatting xmlns:xm="http://schemas.microsoft.com/office/excel/2006/main">
          <x14:cfRule type="expression" priority="4392" id="{44F67959-3CAE-490C-B377-F5B30A4470C4}">
            <xm:f>'TC1'!#REF!="Speak"</xm:f>
            <x14:dxf>
              <font>
                <b/>
                <i val="0"/>
                <color rgb="FFFF0000"/>
              </font>
            </x14:dxf>
          </x14:cfRule>
          <xm:sqref>C9</xm:sqref>
        </x14:conditionalFormatting>
        <x14:conditionalFormatting xmlns:xm="http://schemas.microsoft.com/office/excel/2006/main">
          <x14:cfRule type="containsText" priority="4394" operator="containsText" text="DB" id="{95B0BCF9-9D72-424A-8312-B5624ACA7FED}">
            <xm:f>NOT(ISERROR(SEARCH("DB",'TC1'!#REF!)))</xm:f>
            <x14:dxf>
              <font>
                <color rgb="FF006100"/>
              </font>
              <fill>
                <patternFill>
                  <bgColor rgb="FFC6EFCE"/>
                </patternFill>
              </fill>
            </x14:dxf>
          </x14:cfRule>
          <x14:cfRule type="containsText" priority="4395" operator="containsText" text="WEB SERVICE" id="{6F5F20AA-E497-4560-8FE3-1A7FBF6B1131}">
            <xm:f>NOT(ISERROR(SEARCH("WEB SERVICE",'TC1'!#REF!)))</xm:f>
            <x14:dxf>
              <font>
                <color rgb="FF9C0006"/>
              </font>
              <fill>
                <patternFill>
                  <bgColor rgb="FFFFC7CE"/>
                </patternFill>
              </fill>
            </x14:dxf>
          </x14:cfRule>
          <xm:sqref>E9:E11</xm:sqref>
        </x14:conditionalFormatting>
        <x14:conditionalFormatting xmlns:xm="http://schemas.microsoft.com/office/excel/2006/main">
          <x14:cfRule type="containsText" priority="4396" operator="containsText" text="DB" id="{95B0BCF9-9D72-424A-8312-B5624ACA7FED}">
            <xm:f>NOT(ISERROR(SEARCH("DB",'TC1'!E9)))</xm:f>
            <x14:dxf>
              <font>
                <color rgb="FF006100"/>
              </font>
              <fill>
                <patternFill>
                  <bgColor rgb="FFC6EFCE"/>
                </patternFill>
              </fill>
            </x14:dxf>
          </x14:cfRule>
          <x14:cfRule type="containsText" priority="4397" operator="containsText" text="WEB SERVICE" id="{6F5F20AA-E497-4560-8FE3-1A7FBF6B1131}">
            <xm:f>NOT(ISERROR(SEARCH("WEB SERVICE",'TC1'!E9)))</xm:f>
            <x14:dxf>
              <font>
                <color rgb="FF9C0006"/>
              </font>
              <fill>
                <patternFill>
                  <bgColor rgb="FFFFC7CE"/>
                </patternFill>
              </fill>
            </x14:dxf>
          </x14:cfRule>
          <xm:sqref>E12:E15</xm:sqref>
        </x14:conditionalFormatting>
        <x14:conditionalFormatting xmlns:xm="http://schemas.microsoft.com/office/excel/2006/main">
          <x14:cfRule type="containsText" priority="6839" operator="containsText" text="DB" id="{95B0BCF9-9D72-424A-8312-B5624ACA7FED}">
            <xm:f>NOT(ISERROR(SEARCH("DB",'TC1'!E15)))</xm:f>
            <x14:dxf>
              <font>
                <color rgb="FF006100"/>
              </font>
              <fill>
                <patternFill>
                  <bgColor rgb="FFC6EFCE"/>
                </patternFill>
              </fill>
            </x14:dxf>
          </x14:cfRule>
          <x14:cfRule type="containsText" priority="6840" operator="containsText" text="WEB SERVICE" id="{6F5F20AA-E497-4560-8FE3-1A7FBF6B1131}">
            <xm:f>NOT(ISERROR(SEARCH("WEB SERVICE",'TC1'!E15)))</xm:f>
            <x14:dxf>
              <font>
                <color rgb="FF9C0006"/>
              </font>
              <fill>
                <patternFill>
                  <bgColor rgb="FFFFC7CE"/>
                </patternFill>
              </fill>
            </x14:dxf>
          </x14:cfRule>
          <xm:sqref>E16</xm:sqref>
        </x14:conditionalFormatting>
        <x14:conditionalFormatting xmlns:xm="http://schemas.microsoft.com/office/excel/2006/main">
          <x14:cfRule type="containsText" priority="9177" operator="containsText" text="Hear" id="{13926588-E577-4A15-85CC-F5DA0D7A98EF}">
            <xm:f>NOT(ISERROR(SEARCH("Hear",'TC26'!#REF!)))</xm:f>
            <x14:dxf>
              <font>
                <color theme="9" tint="-0.24994659260841701"/>
              </font>
              <fill>
                <patternFill>
                  <bgColor theme="9" tint="0.59996337778862885"/>
                </patternFill>
              </fill>
            </x14:dxf>
          </x14:cfRule>
          <xm:sqref>B39</xm:sqref>
        </x14:conditionalFormatting>
      </x14:conditionalFormattings>
    </ext>
  </extLst>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70"/>
  <dimension ref="A1:E36"/>
  <sheetViews>
    <sheetView zoomScaleNormal="100" workbookViewId="0">
      <selection sqref="A1:B1"/>
    </sheetView>
  </sheetViews>
  <sheetFormatPr defaultRowHeight="14.5" x14ac:dyDescent="0.35"/>
  <cols>
    <col min="1" max="1" width="14.453125" bestFit="1" customWidth="1"/>
    <col min="2" max="2" width="42.6328125" customWidth="1"/>
    <col min="3" max="3" width="106.1796875" customWidth="1"/>
    <col min="4" max="4" width="21.81640625" bestFit="1" customWidth="1"/>
    <col min="5" max="5" width="20.6328125" customWidth="1"/>
  </cols>
  <sheetData>
    <row r="1" spans="1:5" ht="18.5" x14ac:dyDescent="0.35">
      <c r="A1" s="192" t="s">
        <v>4</v>
      </c>
      <c r="B1" s="192"/>
      <c r="C1" s="105"/>
      <c r="D1" s="111"/>
      <c r="E1" s="97"/>
    </row>
    <row r="2" spans="1:5" x14ac:dyDescent="0.35">
      <c r="A2" s="106" t="s">
        <v>5</v>
      </c>
      <c r="B2" s="107" t="str">
        <f ca="1">MID(CELL("filename",A1),FIND("]",CELL("filename",A1))+1,LEN(CELL("filename",A1))-FIND("]",CELL("filename",A1)))</f>
        <v>TC68</v>
      </c>
      <c r="C2" s="98"/>
      <c r="D2" s="111"/>
      <c r="E2" s="97"/>
    </row>
    <row r="3" spans="1:5" x14ac:dyDescent="0.35">
      <c r="A3" s="104" t="s">
        <v>19</v>
      </c>
      <c r="B3" s="112">
        <f ca="1">VLOOKUP(B2,Table1[#All],2,FALSE)</f>
        <v>0</v>
      </c>
      <c r="C3" s="98"/>
      <c r="D3" s="111"/>
      <c r="E3" s="97"/>
    </row>
    <row r="4" spans="1:5" ht="29" x14ac:dyDescent="0.35">
      <c r="A4" s="113" t="s">
        <v>20</v>
      </c>
      <c r="B4" s="99" t="str">
        <f ca="1">VLOOKUP(B2,Table1[#All],4,FALSE)</f>
        <v>Current Due, No Stored Pmt Mthd, SMS to ANI, Do not Use Diff Phone Nbr</v>
      </c>
      <c r="C4" s="98"/>
      <c r="D4" s="111"/>
      <c r="E4" s="97"/>
    </row>
    <row r="5" spans="1:5" x14ac:dyDescent="0.35">
      <c r="A5" s="104" t="s">
        <v>6</v>
      </c>
      <c r="B5" s="93" t="str">
        <f ca="1">VLOOKUP(B2,Table1[#All],3,FALSE)</f>
        <v>Get Card - Ask Recurring - No</v>
      </c>
      <c r="C5" s="98"/>
      <c r="D5" s="111"/>
      <c r="E5" s="97"/>
    </row>
    <row r="6" spans="1:5" x14ac:dyDescent="0.35">
      <c r="A6" s="97"/>
      <c r="B6" s="97"/>
      <c r="C6" s="98"/>
      <c r="D6" s="111"/>
      <c r="E6" s="97"/>
    </row>
    <row r="7" spans="1:5" ht="15.5" x14ac:dyDescent="0.35">
      <c r="A7" s="100" t="s">
        <v>7</v>
      </c>
      <c r="B7" s="101" t="s">
        <v>8</v>
      </c>
      <c r="C7" s="102" t="s">
        <v>9</v>
      </c>
      <c r="D7" s="102" t="s">
        <v>14</v>
      </c>
      <c r="E7" s="103" t="s">
        <v>10</v>
      </c>
    </row>
    <row r="8" spans="1:5" x14ac:dyDescent="0.35">
      <c r="A8" s="118">
        <v>1</v>
      </c>
      <c r="B8" s="114" t="s">
        <v>114</v>
      </c>
      <c r="C8" s="109" t="s">
        <v>125</v>
      </c>
      <c r="D8" s="128"/>
      <c r="E8" s="125" t="s">
        <v>11</v>
      </c>
    </row>
    <row r="9" spans="1:5" x14ac:dyDescent="0.35">
      <c r="A9" s="118">
        <v>2</v>
      </c>
      <c r="B9" s="114" t="s">
        <v>115</v>
      </c>
      <c r="C9" s="109" t="str">
        <f>VLOOKUP(Table25755252691013434446474849565758596315181719224566677172737476777879939495100104109111113115117123[[#This Row],[PEG]],Table1016[#All],2,FALSE)</f>
        <v>To get started, tell me your Account Number</v>
      </c>
      <c r="D9" s="141" t="s">
        <v>245</v>
      </c>
      <c r="E9" s="125" t="str">
        <f>VLOOKUP(Table25755252691013434446474849565758596315181719224566677172737476777879939495100104109111113115117123[[#This Row],[PEG]],Table1016[#All],3,FALSE)</f>
        <v>Prompt</v>
      </c>
    </row>
    <row r="10" spans="1:5" x14ac:dyDescent="0.35">
      <c r="A10" s="118">
        <v>3</v>
      </c>
      <c r="B10" s="114" t="s">
        <v>124</v>
      </c>
      <c r="C10" s="109" t="s">
        <v>412</v>
      </c>
      <c r="D10" s="141"/>
      <c r="E10" s="125" t="e">
        <f>VLOOKUP(Table25755252691013434446474849565758596315181719224566677172737476777879939495100104109111113115117123[[#This Row],[PEG]],Table1016[#All],3,FALSE)</f>
        <v>#N/A</v>
      </c>
    </row>
    <row r="11" spans="1:5" ht="174" x14ac:dyDescent="0.35">
      <c r="A11" s="118">
        <v>4</v>
      </c>
      <c r="B11" s="114" t="s">
        <v>12</v>
      </c>
      <c r="C11" s="109" t="str">
        <f>VLOOKUP(Table25755252691013434446474849565758596315181719224566677172737476777879939495100104109111113115117123[[#This Row],[PEG]],Table1016[#All],2,FALSE)</f>
        <v>SAP HANA – SAP01_GetMember
inputs:
idnumber = iIdnumber	T
idtype 	= iIdtype
outputs:
~ Billing Reference
~ Enrollment Details
~ Billing Details
~ Last Payment
~ Recurring Payment Method
~ Stored Payment Method</v>
      </c>
      <c r="D11" s="141" t="s">
        <v>371</v>
      </c>
      <c r="E11" s="125" t="str">
        <f>VLOOKUP(Table25755252691013434446474849565758596315181719224566677172737476777879939495100104109111113115117123[[#This Row],[PEG]],Table1016[#All],3,FALSE)</f>
        <v>DB</v>
      </c>
    </row>
    <row r="12" spans="1:5" x14ac:dyDescent="0.35">
      <c r="A12" s="118">
        <v>5</v>
      </c>
      <c r="B12" s="114" t="s">
        <v>115</v>
      </c>
      <c r="C12" s="109" t="str">
        <f>VLOOKUP(Table25755252691013434446474849565758596315181719224566677172737476777879939495100104109111113115117123[[#This Row],[PEG]],Table1016[#All],2,FALSE)</f>
        <v>Thanks, I found your account!</v>
      </c>
      <c r="D12" s="141" t="s">
        <v>248</v>
      </c>
      <c r="E12" s="125" t="str">
        <f>VLOOKUP(Table25755252691013434446474849565758596315181719224566677172737476777879939495100104109111113115117123[[#This Row],[PEG]],Table1016[#All],3,FALSE)</f>
        <v>Prompt</v>
      </c>
    </row>
    <row r="13" spans="1:5" x14ac:dyDescent="0.35">
      <c r="A13" s="118">
        <v>6</v>
      </c>
      <c r="B13" s="114" t="s">
        <v>115</v>
      </c>
      <c r="C13" s="109" t="str">
        <f>VLOOKUP(Table25755252691013434446474849565758596315181719224566677172737476777879939495100104109111113115117123[[#This Row],[PEG]],Table1016[#All],2,FALSE)</f>
        <v>A current balance of &lt;SAP01_CurrentDue&gt; is due by &lt;SAP01_Duedate&gt;.</v>
      </c>
      <c r="D13" s="141" t="s">
        <v>258</v>
      </c>
      <c r="E13" s="125" t="str">
        <f>VLOOKUP(Table25755252691013434446474849565758596315181719224566677172737476777879939495100104109111113115117123[[#This Row],[PEG]],Table1016[#All],3,FALSE)</f>
        <v>Prompt</v>
      </c>
    </row>
    <row r="14" spans="1:5" x14ac:dyDescent="0.35">
      <c r="A14" s="118">
        <v>7</v>
      </c>
      <c r="B14" s="114" t="s">
        <v>115</v>
      </c>
      <c r="C14" s="109" t="str">
        <f>VLOOKUP(Table25755252691013434446474849565758596315181719224566677172737476777879939495100104109111113115117123[[#This Row],[PEG]],Table1016[#All],2,FALSE)</f>
        <v>Would you like to pay this in full today?</v>
      </c>
      <c r="D14" s="141" t="s">
        <v>260</v>
      </c>
      <c r="E14" s="125" t="str">
        <f>VLOOKUP(Table25755252691013434446474849565758596315181719224566677172737476777879939495100104109111113115117123[[#This Row],[PEG]],Table1016[#All],3,FALSE)</f>
        <v>Prompt</v>
      </c>
    </row>
    <row r="15" spans="1:5" x14ac:dyDescent="0.35">
      <c r="A15" s="118">
        <v>8</v>
      </c>
      <c r="B15" s="114" t="s">
        <v>124</v>
      </c>
      <c r="C15" s="109" t="s">
        <v>402</v>
      </c>
      <c r="D15" s="164"/>
      <c r="E15" s="125" t="e">
        <f>VLOOKUP(Table25755252691013434446474849565758596315181719224566677172737476777879939495100104109111113115117123[[#This Row],[PEG]],Table1016[#All],3,FALSE)</f>
        <v>#N/A</v>
      </c>
    </row>
    <row r="16" spans="1:5" x14ac:dyDescent="0.35">
      <c r="A16" s="118">
        <v>9</v>
      </c>
      <c r="B16" s="114" t="s">
        <v>115</v>
      </c>
      <c r="C16" s="109" t="str">
        <f>VLOOKUP(Table25755252691013434446474849565758596315181719224566677172737476777879939495100104109111113115117123[[#This Row],[PEG]],Table1016[#All],2,FALSE)</f>
        <v>Ok, are you using Credit, Debit, Checking or Savings?</v>
      </c>
      <c r="D16" s="164" t="s">
        <v>286</v>
      </c>
      <c r="E16" s="125" t="str">
        <f>VLOOKUP(Table25755252691013434446474849565758596315181719224566677172737476777879939495100104109111113115117123[[#This Row],[PEG]],Table1016[#All],3,FALSE)</f>
        <v>Prompt</v>
      </c>
    </row>
    <row r="17" spans="1:5" x14ac:dyDescent="0.35">
      <c r="A17" s="118">
        <v>10</v>
      </c>
      <c r="B17" s="114" t="s">
        <v>124</v>
      </c>
      <c r="C17" s="109" t="s">
        <v>397</v>
      </c>
      <c r="D17" s="165"/>
      <c r="E17" s="125" t="e">
        <f>VLOOKUP(Table25755252691013434446474849565758596315181719224566677172737476777879939495100104109111113115117123[[#This Row],[PEG]],Table1016[#All],3,FALSE)</f>
        <v>#N/A</v>
      </c>
    </row>
    <row r="18" spans="1:5" x14ac:dyDescent="0.35">
      <c r="A18" s="118">
        <v>11</v>
      </c>
      <c r="B18" s="114" t="s">
        <v>115</v>
      </c>
      <c r="C18" s="109" t="str">
        <f>VLOOKUP(Table25755252691013434446474849565758596315181719224566677172737476777879939495100104109111113115117123[[#This Row],[PEG]],Table1016[#All],2,FALSE)</f>
        <v>Tell me the card number you wish to use.</v>
      </c>
      <c r="D18" s="165" t="s">
        <v>318</v>
      </c>
      <c r="E18" s="125" t="str">
        <f>VLOOKUP(Table25755252691013434446474849565758596315181719224566677172737476777879939495100104109111113115117123[[#This Row],[PEG]],Table1016[#All],3,FALSE)</f>
        <v>Prompt</v>
      </c>
    </row>
    <row r="19" spans="1:5" x14ac:dyDescent="0.35">
      <c r="A19" s="118">
        <v>12</v>
      </c>
      <c r="B19" s="114" t="s">
        <v>124</v>
      </c>
      <c r="C19" s="109" t="s">
        <v>557</v>
      </c>
      <c r="D19" s="165"/>
      <c r="E19" s="125" t="e">
        <f>VLOOKUP(Table25755252691013434446474849565758596315181719224566677172737476777879939495100104109111113115117123[[#This Row],[PEG]],Table1016[#All],3,FALSE)</f>
        <v>#N/A</v>
      </c>
    </row>
    <row r="20" spans="1:5" x14ac:dyDescent="0.35">
      <c r="A20" s="118">
        <v>13</v>
      </c>
      <c r="B20" s="114" t="s">
        <v>115</v>
      </c>
      <c r="C20" s="109" t="str">
        <f>VLOOKUP(Table25755252691013434446474849565758596315181719224566677172737476777879939495100104109111113115117123[[#This Row],[PEG]],Table1016[#All],2,FALSE)</f>
        <v>Is &lt;ivrCardNbr&gt; the right number?</v>
      </c>
      <c r="D20" s="165" t="s">
        <v>320</v>
      </c>
      <c r="E20" s="125">
        <f>VLOOKUP(Table25755252691013434446474849565758596315181719224566677172737476777879939495100104109111113115117123[[#This Row],[PEG]],Table1016[#All],3,FALSE)</f>
        <v>0</v>
      </c>
    </row>
    <row r="21" spans="1:5" x14ac:dyDescent="0.35">
      <c r="A21" s="118">
        <v>14</v>
      </c>
      <c r="B21" s="114" t="s">
        <v>124</v>
      </c>
      <c r="C21" s="109" t="s">
        <v>402</v>
      </c>
      <c r="D21" s="165"/>
      <c r="E21" s="125" t="e">
        <f>VLOOKUP(Table25755252691013434446474849565758596315181719224566677172737476777879939495100104109111113115117123[[#This Row],[PEG]],Table1016[#All],3,FALSE)</f>
        <v>#N/A</v>
      </c>
    </row>
    <row r="22" spans="1:5" ht="29" x14ac:dyDescent="0.35">
      <c r="A22" s="118">
        <v>15</v>
      </c>
      <c r="B22" s="114" t="s">
        <v>115</v>
      </c>
      <c r="C22" s="109" t="str">
        <f>VLOOKUP(Table25755252691013434446474849565758596315181719224566677172737476777879939495100104109111113115117123[[#This Row],[PEG]],Table1016[#All],2,FALSE)</f>
        <v>Now, what is the expiration date?  Just say it like this, March &lt;Current Year +3&gt; 
Now go ahead.</v>
      </c>
      <c r="D22" s="165" t="s">
        <v>323</v>
      </c>
      <c r="E22" s="125" t="str">
        <f>VLOOKUP(Table25755252691013434446474849565758596315181719224566677172737476777879939495100104109111113115117123[[#This Row],[PEG]],Table1016[#All],3,FALSE)</f>
        <v>Prompt</v>
      </c>
    </row>
    <row r="23" spans="1:5" x14ac:dyDescent="0.35">
      <c r="A23" s="118">
        <v>16</v>
      </c>
      <c r="B23" s="114" t="s">
        <v>124</v>
      </c>
      <c r="C23" s="109" t="s">
        <v>399</v>
      </c>
      <c r="D23" s="165"/>
      <c r="E23" s="125" t="e">
        <f>VLOOKUP(Table25755252691013434446474849565758596315181719224566677172737476777879939495100104109111113115117123[[#This Row],[PEG]],Table1016[#All],3,FALSE)</f>
        <v>#N/A</v>
      </c>
    </row>
    <row r="24" spans="1:5" ht="29" x14ac:dyDescent="0.35">
      <c r="A24" s="118">
        <v>17</v>
      </c>
      <c r="B24" s="114" t="s">
        <v>115</v>
      </c>
      <c r="C24" s="109" t="str">
        <f>VLOOKUP(Table25755252691013434446474849565758596315181719224566677172737476777879939495100104109111113115117123[[#This Row],[PEG]],Table1016[#All],2,FALSE)</f>
        <v>To confirm, you want to pay &lt;ivrPmtAmt&gt; with a card ending in &lt;last 4 digits of ivrCardNbr&gt;.
Is that right?</v>
      </c>
      <c r="D24" s="165" t="s">
        <v>326</v>
      </c>
      <c r="E24" s="125" t="str">
        <f>VLOOKUP(Table25755252691013434446474849565758596315181719224566677172737476777879939495100104109111113115117123[[#This Row],[PEG]],Table1016[#All],3,FALSE)</f>
        <v>Prompt</v>
      </c>
    </row>
    <row r="25" spans="1:5" x14ac:dyDescent="0.35">
      <c r="A25" s="118">
        <v>18</v>
      </c>
      <c r="B25" s="114" t="s">
        <v>124</v>
      </c>
      <c r="C25" s="109" t="s">
        <v>402</v>
      </c>
      <c r="D25" s="165"/>
      <c r="E25" s="125" t="e">
        <f>VLOOKUP(Table25755252691013434446474849565758596315181719224566677172737476777879939495100104109111113115117123[[#This Row],[PEG]],Table1016[#All],3,FALSE)</f>
        <v>#N/A</v>
      </c>
    </row>
    <row r="26" spans="1:5" x14ac:dyDescent="0.35">
      <c r="A26" s="118">
        <v>19</v>
      </c>
      <c r="B26" s="114" t="s">
        <v>115</v>
      </c>
      <c r="C26" s="109" t="str">
        <f>VLOOKUP(Table25755252691013434446474849565758596315181719224566677172737476777879939495100104109111113115117123[[#This Row],[PEG]],Table1016[#All],2,FALSE)</f>
        <v>Before I give you the confirmation number, would you like to use this account to setup recurring monthly payments?</v>
      </c>
      <c r="D26" s="165" t="s">
        <v>329</v>
      </c>
      <c r="E26" s="125" t="str">
        <f>VLOOKUP(Table25755252691013434446474849565758596315181719224566677172737476777879939495100104109111113115117123[[#This Row],[PEG]],Table1016[#All],3,FALSE)</f>
        <v>Prompt</v>
      </c>
    </row>
    <row r="27" spans="1:5" x14ac:dyDescent="0.35">
      <c r="A27" s="118">
        <v>20</v>
      </c>
      <c r="B27" s="114" t="s">
        <v>124</v>
      </c>
      <c r="C27" s="109" t="s">
        <v>571</v>
      </c>
      <c r="D27" s="144"/>
      <c r="E27" s="125" t="e">
        <f>VLOOKUP(Table25755252691013434446474849565758596315181719224566677172737476777879939495100104109111113115117123[[#This Row],[PEG]],Table1016[#All],3,FALSE)</f>
        <v>#N/A</v>
      </c>
    </row>
    <row r="28" spans="1:5" ht="333.5" x14ac:dyDescent="0.35">
      <c r="A28" s="118">
        <v>21</v>
      </c>
      <c r="B28" s="114" t="s">
        <v>12</v>
      </c>
      <c r="C28" s="109" t="str">
        <f>VLOOKUP(Table25755252691013434446474849565758596315181719224566677172737476777879939495100104109111113115117123[[#This Row],[PEG]],Table1016[#All],2,FALSE)</f>
        <v xml:space="preserve">CyberSource – CYB02_AuthCard
Input a card_tokenId or a card_number.
inputs:
clientReference_code = IVR.sessionid+"-" +paymentCount
card_tokenId = ivrStoredCardTokenId	
card_number = ivrCardNbr
card_expirationMonth	= ivrCardExpMM		
card_expirationYear = ivrCardExpYYYY			
totalAmount = ivrPmtAmt		
first_name =
last_name =
actionTokenizeFlag = true		
outputs:
CYB02_submitTimeUtc	
CYB02_id	
CYB02_status	
CYB02_approvalCode					
CYB02_responseCode	
CYB02_errorReason
CYB02_errorMesssage
CYB02_cardTokenId	</v>
      </c>
      <c r="D28" s="165" t="s">
        <v>382</v>
      </c>
      <c r="E28" s="125" t="str">
        <f>VLOOKUP(Table25755252691013434446474849565758596315181719224566677172737476777879939495100104109111113115117123[[#This Row],[PEG]],Table1016[#All],3,FALSE)</f>
        <v>DB</v>
      </c>
    </row>
    <row r="29" spans="1:5" ht="232" x14ac:dyDescent="0.35">
      <c r="A29" s="118">
        <v>22</v>
      </c>
      <c r="B29" s="114" t="s">
        <v>115</v>
      </c>
      <c r="C29" s="109" t="str">
        <f>VLOOKUP(Table25755252691013434446474849565758596315181719224566677172737476777879939495100104109111113115117123[[#This Row],[PEG]],Table1016[#All],2,FALSE)</f>
        <v>SAP HANA - SAP03_CardPaymentNotification
inputs:
Businesspartner   = SAP01_Partner
Insobject                 = SAP01_Insobject
subscriberID	    = CYB02_cardTokenId
Type		    = ivrCardType	             
Name                        = ivrFirstName + ' ' + ivrLastName				
Expiration	    = ivrExpiration 
Recurring	    = ivrRecurring  
Stored		    = ivrPmtMethodStored  
Last4Digits	    = ivrLast4Digits 
Paymentamount  = ivrPmtAmt 
ReferenceNumber= CYB02_approvalCode
outputs:
SAP03_ConfirmationNum  Payment Confirmation Number</v>
      </c>
      <c r="D29" s="165" t="s">
        <v>374</v>
      </c>
      <c r="E29" s="125" t="str">
        <f>VLOOKUP(Table25755252691013434446474849565758596315181719224566677172737476777879939495100104109111113115117123[[#This Row],[PEG]],Table1016[#All],3,FALSE)</f>
        <v>DB</v>
      </c>
    </row>
    <row r="30" spans="1:5" ht="29" x14ac:dyDescent="0.35">
      <c r="A30" s="118">
        <v>23</v>
      </c>
      <c r="B30" s="114" t="s">
        <v>115</v>
      </c>
      <c r="C30" s="109" t="str">
        <f>VLOOKUP(Table25755252691013434446474849565758596315181719224566677172737476777879939495100104109111113115117123[[#This Row],[PEG]],Table1016[#All],2,FALSE)</f>
        <v>Today's payment in the amount of &lt;ivrPmtAmt&gt;, has been processed.  Your confirmation number is &lt;ivrConfirmationNum&gt;. Again, that confirmation number is &lt;ivrConfirmationNum&gt;.</v>
      </c>
      <c r="D30" s="165" t="s">
        <v>340</v>
      </c>
      <c r="E30" s="125" t="str">
        <f>VLOOKUP(Table25755252691013434446474849565758596315181719224566677172737476777879939495100104109111113115117123[[#This Row],[PEG]],Table1016[#All],3,FALSE)</f>
        <v>Prompt</v>
      </c>
    </row>
    <row r="31" spans="1:5" x14ac:dyDescent="0.35">
      <c r="A31" s="118">
        <v>24</v>
      </c>
      <c r="B31" s="114" t="s">
        <v>115</v>
      </c>
      <c r="C31" s="109" t="str">
        <f>VLOOKUP(Table25755252691013434446474849565758596315181719224566677172737476777879939495100104109111113115117123[[#This Row],[PEG]],Table1016[#All],2,FALSE)</f>
        <v>Would you like me to text the confirmation to the phone number ending in &lt;Last 4 ANI digits&gt;?</v>
      </c>
      <c r="D31" s="165" t="s">
        <v>344</v>
      </c>
      <c r="E31" s="125" t="str">
        <f>VLOOKUP(Table25755252691013434446474849565758596315181719224566677172737476777879939495100104109111113115117123[[#This Row],[PEG]],Table1016[#All],3,FALSE)</f>
        <v>Prompt</v>
      </c>
    </row>
    <row r="32" spans="1:5" x14ac:dyDescent="0.35">
      <c r="A32" s="118">
        <v>25</v>
      </c>
      <c r="B32" s="114" t="s">
        <v>124</v>
      </c>
      <c r="C32" s="109" t="s">
        <v>415</v>
      </c>
      <c r="D32" s="117"/>
      <c r="E32" s="125" t="e">
        <f>VLOOKUP(Table25755252691013434446474849565758596315181719224566677172737476777879939495100104109111113115117123[[#This Row],[PEG]],Table1016[#All],3,FALSE)</f>
        <v>#N/A</v>
      </c>
    </row>
    <row r="33" spans="1:5" x14ac:dyDescent="0.35">
      <c r="A33" s="118">
        <v>26</v>
      </c>
      <c r="B33" s="114" t="s">
        <v>115</v>
      </c>
      <c r="C33" s="109" t="str">
        <f>VLOOKUP(Table25755252691013434446474849565758596315181719224566677172737476777879939495100104109111113115117123[[#This Row],[PEG]],Table1016[#All],2,FALSE)</f>
        <v>Would you like to use a different phone number?</v>
      </c>
      <c r="D33" s="117" t="s">
        <v>347</v>
      </c>
      <c r="E33" s="125" t="str">
        <f>VLOOKUP(Table25755252691013434446474849565758596315181719224566677172737476777879939495100104109111113115117123[[#This Row],[PEG]],Table1016[#All],3,FALSE)</f>
        <v>Prompt</v>
      </c>
    </row>
    <row r="34" spans="1:5" x14ac:dyDescent="0.35">
      <c r="A34" s="118">
        <v>27</v>
      </c>
      <c r="B34" s="114" t="s">
        <v>124</v>
      </c>
      <c r="C34" s="109" t="s">
        <v>415</v>
      </c>
      <c r="D34" s="117"/>
      <c r="E34" s="125" t="e">
        <f>VLOOKUP(Table25755252691013434446474849565758596315181719224566677172737476777879939495100104109111113115117123[[#This Row],[PEG]],Table1016[#All],3,FALSE)</f>
        <v>#N/A</v>
      </c>
    </row>
    <row r="35" spans="1:5" ht="29" x14ac:dyDescent="0.35">
      <c r="A35" s="118">
        <v>28</v>
      </c>
      <c r="B35" s="114" t="s">
        <v>115</v>
      </c>
      <c r="C35" s="109" t="str">
        <f>VLOOKUP(Table25755252691013434446474849565758596315181719224566677172737476777879939495100104109111113115117123[[#This Row],[PEG]],Table1016[#All],2,FALSE)</f>
        <v>Thank you for your payment today.  For future transactions, you can access your plan details or manage your account anytime online at members.lacare.com.</v>
      </c>
      <c r="D35" s="117" t="s">
        <v>364</v>
      </c>
      <c r="E35" s="125" t="str">
        <f>VLOOKUP(Table25755252691013434446474849565758596315181719224566677172737476777879939495100104109111113115117123[[#This Row],[PEG]],Table1016[#All],3,FALSE)</f>
        <v>Prompt</v>
      </c>
    </row>
    <row r="36" spans="1:5" x14ac:dyDescent="0.35">
      <c r="A36" s="118">
        <v>29</v>
      </c>
      <c r="B36" s="114" t="s">
        <v>13</v>
      </c>
      <c r="C36" s="109" t="s">
        <v>13</v>
      </c>
      <c r="D36" s="117"/>
      <c r="E36" s="125" t="e">
        <f>VLOOKUP(Table25755252691013434446474849565758596315181719224566677172737476777879939495100104109111113115117123[[#This Row],[PEG]],Table1016[#All],3,FALSE)</f>
        <v>#N/A</v>
      </c>
    </row>
  </sheetData>
  <mergeCells count="1">
    <mergeCell ref="A1:B1"/>
  </mergeCells>
  <conditionalFormatting sqref="B36">
    <cfRule type="containsText" dxfId="4023" priority="9" operator="containsText" text="Hear">
      <formula>NOT(ISERROR(SEARCH("Hear",B36)))</formula>
    </cfRule>
  </conditionalFormatting>
  <conditionalFormatting sqref="B31:B35">
    <cfRule type="containsText" dxfId="4022" priority="13" operator="containsText" text="Hear">
      <formula>NOT(ISERROR(SEARCH("Hear",B31)))</formula>
    </cfRule>
  </conditionalFormatting>
  <conditionalFormatting sqref="B8:B18">
    <cfRule type="containsText" dxfId="4021" priority="4" operator="containsText" text="Hear">
      <formula>NOT(ISERROR(SEARCH("Hear",B8)))</formula>
    </cfRule>
  </conditionalFormatting>
  <conditionalFormatting sqref="B19:B29">
    <cfRule type="containsText" dxfId="4020" priority="6" operator="containsText" text="Hear">
      <formula>NOT(ISERROR(SEARCH("Hear",B19)))</formula>
    </cfRule>
  </conditionalFormatting>
  <conditionalFormatting sqref="B30">
    <cfRule type="containsText" dxfId="4019" priority="5" operator="containsText" text="Hear">
      <formula>NOT(ISERROR(SEARCH("Hear",B30)))</formula>
    </cfRule>
  </conditionalFormatting>
  <conditionalFormatting sqref="C9:C36">
    <cfRule type="expression" dxfId="4018" priority="2">
      <formula>$B9="Dial"</formula>
    </cfRule>
    <cfRule type="expression" dxfId="4017" priority="3">
      <formula>$B9="HANGUP"</formula>
    </cfRule>
  </conditionalFormatting>
  <conditionalFormatting sqref="C9:C36">
    <cfRule type="expression" dxfId="4016" priority="1">
      <formula>$B9="Speak"</formula>
    </cfRule>
  </conditionalFormatting>
  <hyperlinks>
    <hyperlink ref="A1" location="'Test Case Overview'!A1" display="Return to Test Case Overview" xr:uid="{E4F7DC97-41DA-40F1-A82B-A6BBDD5D9300}"/>
  </hyperlinks>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expression" priority="17" id="{481F3B37-103D-4007-AF7E-D52E5AA4F838}">
            <xm:f>'TC1'!$B8="HANGUP"</xm:f>
            <x14:dxf>
              <font>
                <b/>
                <i val="0"/>
              </font>
            </x14:dxf>
          </x14:cfRule>
          <x14:cfRule type="expression" priority="18" id="{F055B02A-3476-483D-B6F8-4B7B34615F1E}">
            <xm:f>'TC1'!$B8="Dial"</xm:f>
            <x14:dxf>
              <font>
                <b/>
                <i val="0"/>
                <color rgb="FFFF0000"/>
              </font>
            </x14:dxf>
          </x14:cfRule>
          <xm:sqref>C8</xm:sqref>
        </x14:conditionalFormatting>
        <x14:conditionalFormatting xmlns:xm="http://schemas.microsoft.com/office/excel/2006/main">
          <x14:cfRule type="expression" priority="19" id="{7AF6900A-B343-4E5D-A1DF-F3C69B630B00}">
            <xm:f>'TC1'!$B8="Speak"</xm:f>
            <x14:dxf>
              <font>
                <b/>
                <i val="0"/>
                <color rgb="FFFF0000"/>
              </font>
            </x14:dxf>
          </x14:cfRule>
          <xm:sqref>C8</xm:sqref>
        </x14:conditionalFormatting>
        <x14:conditionalFormatting xmlns:xm="http://schemas.microsoft.com/office/excel/2006/main">
          <x14:cfRule type="containsText" priority="1641" operator="containsText" text="DB" id="{614EC5EA-49FD-4039-BF4B-23B8B158138A}">
            <xm:f>NOT(ISERROR(SEARCH("DB",'TC1'!E16)))</xm:f>
            <x14:dxf>
              <font>
                <color rgb="FF006100"/>
              </font>
              <fill>
                <patternFill>
                  <bgColor rgb="FFC6EFCE"/>
                </patternFill>
              </fill>
            </x14:dxf>
          </x14:cfRule>
          <x14:cfRule type="containsText" priority="1642" operator="containsText" text="WEB SERVICE" id="{32DDA7BB-84D6-4A50-B81D-CE3ECFC2DB7A}">
            <xm:f>NOT(ISERROR(SEARCH("WEB SERVICE",'TC1'!E16)))</xm:f>
            <x14:dxf>
              <font>
                <color rgb="FF9C0006"/>
              </font>
              <fill>
                <patternFill>
                  <bgColor rgb="FFFFC7CE"/>
                </patternFill>
              </fill>
            </x14:dxf>
          </x14:cfRule>
          <xm:sqref>E34:E36</xm:sqref>
        </x14:conditionalFormatting>
        <x14:conditionalFormatting xmlns:xm="http://schemas.microsoft.com/office/excel/2006/main">
          <x14:cfRule type="containsText" priority="1643" operator="containsText" text="DB" id="{614EC5EA-49FD-4039-BF4B-23B8B158138A}">
            <xm:f>NOT(ISERROR(SEARCH("DB",'TC1'!#REF!)))</xm:f>
            <x14:dxf>
              <font>
                <color rgb="FF006100"/>
              </font>
              <fill>
                <patternFill>
                  <bgColor rgb="FFC6EFCE"/>
                </patternFill>
              </fill>
            </x14:dxf>
          </x14:cfRule>
          <x14:cfRule type="containsText" priority="1644" operator="containsText" text="WEB SERVICE" id="{32DDA7BB-84D6-4A50-B81D-CE3ECFC2DB7A}">
            <xm:f>NOT(ISERROR(SEARCH("WEB SERVICE",'TC1'!#REF!)))</xm:f>
            <x14:dxf>
              <font>
                <color rgb="FF9C0006"/>
              </font>
              <fill>
                <patternFill>
                  <bgColor rgb="FFFFC7CE"/>
                </patternFill>
              </fill>
            </x14:dxf>
          </x14:cfRule>
          <xm:sqref>E17:E33</xm:sqref>
        </x14:conditionalFormatting>
        <x14:conditionalFormatting xmlns:xm="http://schemas.microsoft.com/office/excel/2006/main">
          <x14:cfRule type="containsText" priority="4415" operator="containsText" text="DB" id="{614EC5EA-49FD-4039-BF4B-23B8B158138A}">
            <xm:f>NOT(ISERROR(SEARCH("DB",'TC1'!#REF!)))</xm:f>
            <x14:dxf>
              <font>
                <color rgb="FF006100"/>
              </font>
              <fill>
                <patternFill>
                  <bgColor rgb="FFC6EFCE"/>
                </patternFill>
              </fill>
            </x14:dxf>
          </x14:cfRule>
          <x14:cfRule type="containsText" priority="4416" operator="containsText" text="WEB SERVICE" id="{32DDA7BB-84D6-4A50-B81D-CE3ECFC2DB7A}">
            <xm:f>NOT(ISERROR(SEARCH("WEB SERVICE",'TC1'!#REF!)))</xm:f>
            <x14:dxf>
              <font>
                <color rgb="FF9C0006"/>
              </font>
              <fill>
                <patternFill>
                  <bgColor rgb="FFFFC7CE"/>
                </patternFill>
              </fill>
            </x14:dxf>
          </x14:cfRule>
          <xm:sqref>E9:E11</xm:sqref>
        </x14:conditionalFormatting>
        <x14:conditionalFormatting xmlns:xm="http://schemas.microsoft.com/office/excel/2006/main">
          <x14:cfRule type="containsText" priority="4417" operator="containsText" text="DB" id="{614EC5EA-49FD-4039-BF4B-23B8B158138A}">
            <xm:f>NOT(ISERROR(SEARCH("DB",'TC1'!E9)))</xm:f>
            <x14:dxf>
              <font>
                <color rgb="FF006100"/>
              </font>
              <fill>
                <patternFill>
                  <bgColor rgb="FFC6EFCE"/>
                </patternFill>
              </fill>
            </x14:dxf>
          </x14:cfRule>
          <x14:cfRule type="containsText" priority="4418" operator="containsText" text="WEB SERVICE" id="{32DDA7BB-84D6-4A50-B81D-CE3ECFC2DB7A}">
            <xm:f>NOT(ISERROR(SEARCH("WEB SERVICE",'TC1'!E9)))</xm:f>
            <x14:dxf>
              <font>
                <color rgb="FF9C0006"/>
              </font>
              <fill>
                <patternFill>
                  <bgColor rgb="FFFFC7CE"/>
                </patternFill>
              </fill>
            </x14:dxf>
          </x14:cfRule>
          <xm:sqref>E12:E15</xm:sqref>
        </x14:conditionalFormatting>
        <x14:conditionalFormatting xmlns:xm="http://schemas.microsoft.com/office/excel/2006/main">
          <x14:cfRule type="containsText" priority="6857" operator="containsText" text="DB" id="{614EC5EA-49FD-4039-BF4B-23B8B158138A}">
            <xm:f>NOT(ISERROR(SEARCH("DB",'TC1'!E15)))</xm:f>
            <x14:dxf>
              <font>
                <color rgb="FF006100"/>
              </font>
              <fill>
                <patternFill>
                  <bgColor rgb="FFC6EFCE"/>
                </patternFill>
              </fill>
            </x14:dxf>
          </x14:cfRule>
          <x14:cfRule type="containsText" priority="6858" operator="containsText" text="WEB SERVICE" id="{32DDA7BB-84D6-4A50-B81D-CE3ECFC2DB7A}">
            <xm:f>NOT(ISERROR(SEARCH("WEB SERVICE",'TC1'!E15)))</xm:f>
            <x14:dxf>
              <font>
                <color rgb="FF9C0006"/>
              </font>
              <fill>
                <patternFill>
                  <bgColor rgb="FFFFC7CE"/>
                </patternFill>
              </fill>
            </x14:dxf>
          </x14:cfRule>
          <xm:sqref>E16</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8"/>
  <dimension ref="A1:E37"/>
  <sheetViews>
    <sheetView zoomScaleNormal="100" workbookViewId="0">
      <selection activeCell="B8" sqref="B8:B20"/>
    </sheetView>
  </sheetViews>
  <sheetFormatPr defaultRowHeight="14.5" x14ac:dyDescent="0.35"/>
  <cols>
    <col min="1" max="1" width="14.453125" style="97" bestFit="1" customWidth="1"/>
    <col min="2" max="2" width="42.6328125" style="97" customWidth="1"/>
    <col min="3" max="3" width="106.1796875" style="98" customWidth="1"/>
    <col min="4" max="4" width="21.81640625" style="111" bestFit="1" customWidth="1"/>
    <col min="5" max="5" width="20.6328125" style="97" customWidth="1"/>
  </cols>
  <sheetData>
    <row r="1" spans="1:5" ht="18.5" x14ac:dyDescent="0.35">
      <c r="A1" s="193" t="s">
        <v>4</v>
      </c>
      <c r="B1" s="194"/>
      <c r="C1" s="105"/>
    </row>
    <row r="2" spans="1:5" x14ac:dyDescent="0.35">
      <c r="A2" s="106" t="s">
        <v>5</v>
      </c>
      <c r="B2" s="107" t="str">
        <f ca="1">MID(CELL("filename",A1),FIND("]",CELL("filename",A1))+1,LEN(CELL("filename",A1))-FIND("]",CELL("filename",A1)))</f>
        <v>TC6</v>
      </c>
    </row>
    <row r="3" spans="1:5" x14ac:dyDescent="0.35">
      <c r="A3" s="104" t="s">
        <v>19</v>
      </c>
      <c r="B3" s="112">
        <f ca="1">VLOOKUP(B2,Table1[#All],2,FALSE)</f>
        <v>0</v>
      </c>
    </row>
    <row r="4" spans="1:5" ht="29" x14ac:dyDescent="0.35">
      <c r="A4" s="113" t="s">
        <v>20</v>
      </c>
      <c r="B4" s="99" t="str">
        <f ca="1">VLOOKUP(B2,Table1[#All],4,FALSE)</f>
        <v>Last Payment, Current Due, Pay In Full - Do not use Stored Pmt</v>
      </c>
    </row>
    <row r="5" spans="1:5" x14ac:dyDescent="0.35">
      <c r="A5" s="104" t="s">
        <v>6</v>
      </c>
      <c r="B5" s="93" t="str">
        <f ca="1">VLOOKUP(B2,Table1[#All],3,FALSE)</f>
        <v>Account with Balance - Do Not Use Stored Pmt</v>
      </c>
    </row>
    <row r="7" spans="1:5" ht="15.5" x14ac:dyDescent="0.35">
      <c r="A7" s="100" t="s">
        <v>7</v>
      </c>
      <c r="B7" s="101" t="s">
        <v>8</v>
      </c>
      <c r="C7" s="102" t="s">
        <v>9</v>
      </c>
      <c r="D7" s="102" t="s">
        <v>14</v>
      </c>
      <c r="E7" s="103" t="s">
        <v>10</v>
      </c>
    </row>
    <row r="8" spans="1:5" x14ac:dyDescent="0.35">
      <c r="A8" s="118">
        <v>1</v>
      </c>
      <c r="B8" s="114" t="s">
        <v>114</v>
      </c>
      <c r="C8" s="127" t="s">
        <v>240</v>
      </c>
      <c r="D8" s="128"/>
      <c r="E8" s="125" t="s">
        <v>11</v>
      </c>
    </row>
    <row r="9" spans="1:5" x14ac:dyDescent="0.35">
      <c r="A9" s="118">
        <v>2</v>
      </c>
      <c r="B9" s="114" t="s">
        <v>115</v>
      </c>
      <c r="C9" s="109" t="str">
        <f>VLOOKUP(Table2575525269111220[[#This Row],[PEG]],Table1016[#All],2,FALSE)</f>
        <v>To get started, tell me your Account Number</v>
      </c>
      <c r="D9" s="141" t="s">
        <v>245</v>
      </c>
      <c r="E9" s="125" t="str">
        <f>VLOOKUP(Table2575525269111220[[#This Row],[PEG]],Table1016[#All],3,FALSE)</f>
        <v>Prompt</v>
      </c>
    </row>
    <row r="10" spans="1:5" x14ac:dyDescent="0.35">
      <c r="A10" s="118">
        <v>3</v>
      </c>
      <c r="B10" s="114" t="s">
        <v>124</v>
      </c>
      <c r="C10" s="109"/>
      <c r="D10" s="151"/>
      <c r="E10" s="125" t="e">
        <f>VLOOKUP(Table2575525269111220[[#This Row],[PEG]],Table1016[#All],3,FALSE)</f>
        <v>#N/A</v>
      </c>
    </row>
    <row r="11" spans="1:5" ht="174" x14ac:dyDescent="0.35">
      <c r="A11" s="118">
        <v>7</v>
      </c>
      <c r="B11" s="114" t="s">
        <v>12</v>
      </c>
      <c r="C11" s="109" t="str">
        <f>VLOOKUP(Table2575525269111220[[#This Row],[PEG]],Table1016[#All],2,FALSE)</f>
        <v>SAP HANA – SAP01_GetMember
inputs:
idnumber = iIdnumber	T
idtype 	= iIdtype
outputs:
~ Billing Reference
~ Enrollment Details
~ Billing Details
~ Last Payment
~ Recurring Payment Method
~ Stored Payment Method</v>
      </c>
      <c r="D11" s="152" t="s">
        <v>371</v>
      </c>
      <c r="E11" s="125" t="str">
        <f>VLOOKUP(Table2575525269111220[[#This Row],[PEG]],Table1016[#All],3,FALSE)</f>
        <v>DB</v>
      </c>
    </row>
    <row r="12" spans="1:5" x14ac:dyDescent="0.35">
      <c r="A12" s="118">
        <v>8</v>
      </c>
      <c r="B12" s="114" t="s">
        <v>115</v>
      </c>
      <c r="C12" s="109" t="str">
        <f>VLOOKUP(Table2575525269111220[[#This Row],[PEG]],Table1016[#All],2,FALSE)</f>
        <v>Thanks, I found your account!</v>
      </c>
      <c r="D12" s="141" t="s">
        <v>248</v>
      </c>
      <c r="E12" s="125" t="str">
        <f>VLOOKUP(Table2575525269111220[[#This Row],[PEG]],Table1016[#All],3,FALSE)</f>
        <v>Prompt</v>
      </c>
    </row>
    <row r="13" spans="1:5" x14ac:dyDescent="0.35">
      <c r="A13" s="118">
        <v>9</v>
      </c>
      <c r="B13" s="114" t="s">
        <v>115</v>
      </c>
      <c r="C13" s="109" t="str">
        <f>VLOOKUP(Table2575525269111220[[#This Row],[PEG]],Table1016[#All],2,FALSE)</f>
        <v>Your last payment of &lt;SAP01_ivrLastPaymentAmount&gt; was received on &lt;SAP01_ivrLastPaymentDate&gt;</v>
      </c>
      <c r="D13" s="141" t="s">
        <v>257</v>
      </c>
      <c r="E13" s="125" t="str">
        <f>VLOOKUP(Table2575525269111220[[#This Row],[PEG]],Table1016[#All],3,FALSE)</f>
        <v>Prompt</v>
      </c>
    </row>
    <row r="14" spans="1:5" x14ac:dyDescent="0.35">
      <c r="A14" s="118">
        <v>10</v>
      </c>
      <c r="B14" s="114" t="s">
        <v>115</v>
      </c>
      <c r="C14" s="130" t="str">
        <f>VLOOKUP(Table2575525269111220[[#This Row],[PEG]],Table1016[#All],2,FALSE)</f>
        <v>A current balance of &lt;SAP01_CurrentDue&gt; is due by &lt;SAP01_Duedate&gt;.</v>
      </c>
      <c r="D14" s="142" t="s">
        <v>258</v>
      </c>
      <c r="E14" s="125" t="str">
        <f>VLOOKUP(Table2575525269111220[[#This Row],[PEG]],Table1016[#All],3,FALSE)</f>
        <v>Prompt</v>
      </c>
    </row>
    <row r="15" spans="1:5" x14ac:dyDescent="0.35">
      <c r="A15" s="118">
        <v>11</v>
      </c>
      <c r="B15" s="114" t="s">
        <v>115</v>
      </c>
      <c r="C15" s="109" t="str">
        <f>VLOOKUP(Table2575525269111220[[#This Row],[PEG]],Table1016[#All],2,FALSE)</f>
        <v>Would you like to pay this in full today?</v>
      </c>
      <c r="D15" s="142" t="s">
        <v>260</v>
      </c>
      <c r="E15" s="125" t="str">
        <f>VLOOKUP(Table2575525269111220[[#This Row],[PEG]],Table1016[#All],3,FALSE)</f>
        <v>Prompt</v>
      </c>
    </row>
    <row r="16" spans="1:5" x14ac:dyDescent="0.35">
      <c r="A16" s="118">
        <v>12</v>
      </c>
      <c r="B16" s="114" t="s">
        <v>124</v>
      </c>
      <c r="C16" s="127" t="s">
        <v>402</v>
      </c>
      <c r="D16" s="143"/>
      <c r="E16" s="125" t="e">
        <f>VLOOKUP(Table2575525269111220[[#This Row],[PEG]],Table1016[#All],3,FALSE)</f>
        <v>#N/A</v>
      </c>
    </row>
    <row r="17" spans="1:5" x14ac:dyDescent="0.35">
      <c r="A17" s="118">
        <v>13</v>
      </c>
      <c r="B17" s="114" t="s">
        <v>115</v>
      </c>
      <c r="C17" s="130" t="str">
        <f>VLOOKUP(Table2575525269111220[[#This Row],[PEG]],Table1016[#All],2,FALSE)</f>
        <v>Do you want to use the checking account on file ending in &lt;SAP01_ivrStoredPmtLast4Digits&gt;.</v>
      </c>
      <c r="D17" s="143" t="s">
        <v>275</v>
      </c>
      <c r="E17" s="125" t="str">
        <f>VLOOKUP(Table2575525269111220[[#This Row],[PEG]],Table1016[#All],3,FALSE)</f>
        <v>Prompt</v>
      </c>
    </row>
    <row r="18" spans="1:5" x14ac:dyDescent="0.35">
      <c r="A18" s="118">
        <v>14</v>
      </c>
      <c r="B18" s="114" t="s">
        <v>124</v>
      </c>
      <c r="C18" s="127" t="s">
        <v>390</v>
      </c>
      <c r="D18" s="117"/>
      <c r="E18" s="125" t="e">
        <f>VLOOKUP(Table2575525269111220[[#This Row],[PEG]],Table1016[#All],3,FALSE)</f>
        <v>#N/A</v>
      </c>
    </row>
    <row r="19" spans="1:5" x14ac:dyDescent="0.35">
      <c r="A19" s="118">
        <v>15</v>
      </c>
      <c r="B19" s="114" t="s">
        <v>115</v>
      </c>
      <c r="C19" s="130" t="str">
        <f>VLOOKUP(Table2575525269111220[[#This Row],[PEG]],Table1016[#All],2,FALSE)</f>
        <v>Ok, are you using Credit, Debit, Checking or Savings?</v>
      </c>
      <c r="D19" s="143" t="s">
        <v>286</v>
      </c>
      <c r="E19" s="125"/>
    </row>
    <row r="20" spans="1:5" x14ac:dyDescent="0.35">
      <c r="A20" s="118">
        <v>16</v>
      </c>
      <c r="B20" s="114" t="s">
        <v>13</v>
      </c>
      <c r="C20" s="130" t="s">
        <v>13</v>
      </c>
      <c r="D20" s="117"/>
      <c r="E20" s="125"/>
    </row>
    <row r="21" spans="1:5" x14ac:dyDescent="0.35">
      <c r="C21" s="26"/>
    </row>
    <row r="22" spans="1:5" x14ac:dyDescent="0.35">
      <c r="C22" s="26"/>
    </row>
    <row r="23" spans="1:5" x14ac:dyDescent="0.35">
      <c r="C23" s="26"/>
    </row>
    <row r="24" spans="1:5" x14ac:dyDescent="0.35">
      <c r="C24" s="26"/>
    </row>
    <row r="25" spans="1:5" x14ac:dyDescent="0.35">
      <c r="C25" s="26"/>
    </row>
    <row r="26" spans="1:5" x14ac:dyDescent="0.35">
      <c r="C26" s="26"/>
    </row>
    <row r="27" spans="1:5" x14ac:dyDescent="0.35">
      <c r="C27" s="26"/>
    </row>
    <row r="28" spans="1:5" x14ac:dyDescent="0.35">
      <c r="C28" s="26"/>
    </row>
    <row r="29" spans="1:5" x14ac:dyDescent="0.35">
      <c r="C29" s="26"/>
    </row>
    <row r="30" spans="1:5" x14ac:dyDescent="0.35">
      <c r="C30" s="26"/>
    </row>
    <row r="31" spans="1:5" x14ac:dyDescent="0.35">
      <c r="C31" s="26"/>
    </row>
    <row r="32" spans="1:5" x14ac:dyDescent="0.35">
      <c r="C32" s="26"/>
    </row>
    <row r="33" spans="3:3" x14ac:dyDescent="0.35">
      <c r="C33" s="26"/>
    </row>
    <row r="34" spans="3:3" x14ac:dyDescent="0.35">
      <c r="C34" s="26"/>
    </row>
    <row r="35" spans="3:3" x14ac:dyDescent="0.35">
      <c r="C35" s="27"/>
    </row>
    <row r="36" spans="3:3" x14ac:dyDescent="0.35">
      <c r="C36" s="27"/>
    </row>
    <row r="37" spans="3:3" x14ac:dyDescent="0.35">
      <c r="C37" s="27"/>
    </row>
  </sheetData>
  <mergeCells count="1">
    <mergeCell ref="A1:B1"/>
  </mergeCells>
  <conditionalFormatting sqref="C21:C9976 C9:C13">
    <cfRule type="expression" dxfId="5871" priority="39">
      <formula>$B9="Dial"</formula>
    </cfRule>
    <cfRule type="expression" dxfId="5870" priority="41">
      <formula>$B9="HANGUP"</formula>
    </cfRule>
  </conditionalFormatting>
  <conditionalFormatting sqref="C16">
    <cfRule type="expression" dxfId="5869" priority="7">
      <formula>$B16="Dial"</formula>
    </cfRule>
    <cfRule type="expression" dxfId="5868" priority="8">
      <formula>$B16="HANGUP"</formula>
    </cfRule>
  </conditionalFormatting>
  <conditionalFormatting sqref="B8:B20">
    <cfRule type="containsText" dxfId="5867" priority="11" operator="containsText" text="Hear">
      <formula>NOT(ISERROR(SEARCH("Hear",B8)))</formula>
    </cfRule>
  </conditionalFormatting>
  <conditionalFormatting sqref="C15">
    <cfRule type="expression" dxfId="5866" priority="12">
      <formula>$B15="Dial"</formula>
    </cfRule>
    <cfRule type="expression" dxfId="5865" priority="14">
      <formula>$B15="HANGUP"</formula>
    </cfRule>
  </conditionalFormatting>
  <conditionalFormatting sqref="C15 C9:C13">
    <cfRule type="expression" dxfId="5864" priority="13">
      <formula>$B9="Speak"</formula>
    </cfRule>
  </conditionalFormatting>
  <conditionalFormatting sqref="C14">
    <cfRule type="expression" dxfId="5863" priority="9">
      <formula>$B14="Dial"</formula>
    </cfRule>
    <cfRule type="expression" dxfId="5862" priority="10">
      <formula>$B14="HANGUP"</formula>
    </cfRule>
  </conditionalFormatting>
  <conditionalFormatting sqref="C8">
    <cfRule type="expression" dxfId="5861" priority="5">
      <formula>$B8="Dial"</formula>
    </cfRule>
    <cfRule type="expression" dxfId="5860" priority="6">
      <formula>$B8="HANGUP"</formula>
    </cfRule>
  </conditionalFormatting>
  <conditionalFormatting sqref="C17 C19:C20">
    <cfRule type="expression" dxfId="5859" priority="3">
      <formula>$B17="Dial"</formula>
    </cfRule>
    <cfRule type="expression" dxfId="5858" priority="4">
      <formula>$B17="HANGUP"</formula>
    </cfRule>
  </conditionalFormatting>
  <conditionalFormatting sqref="C18">
    <cfRule type="expression" dxfId="5857" priority="1">
      <formula>$B18="Dial"</formula>
    </cfRule>
    <cfRule type="expression" dxfId="5856" priority="2">
      <formula>$B18="HANGUP"</formula>
    </cfRule>
  </conditionalFormatting>
  <hyperlinks>
    <hyperlink ref="A1" location="'Test Case Overview'!A1" display="Return to Test Case Overview" xr:uid="{00000000-0004-0000-0600-000000000000}"/>
  </hyperlinks>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containsText" priority="710" operator="containsText" text="WEB SERVICE" id="{A872774E-6616-41BA-A551-49D601243C3F}">
            <xm:f>NOT(ISERROR(SEARCH("WEB SERVICE",'TC1'!#REF!)))</xm:f>
            <x14:dxf>
              <font>
                <color rgb="FF9C0006"/>
              </font>
              <fill>
                <patternFill>
                  <bgColor rgb="FFFFC7CE"/>
                </patternFill>
              </fill>
            </x14:dxf>
          </x14:cfRule>
          <x14:cfRule type="containsText" priority="711" operator="containsText" text="DB" id="{F9B1C5CD-FE89-46D1-B5BD-1D12BC48DC53}">
            <xm:f>NOT(ISERROR(SEARCH("DB",'TC1'!#REF!)))</xm:f>
            <x14:dxf>
              <font>
                <color rgb="FF006100"/>
              </font>
              <fill>
                <patternFill>
                  <bgColor rgb="FFC6EFCE"/>
                </patternFill>
              </fill>
            </x14:dxf>
          </x14:cfRule>
          <xm:sqref>E14:E20</xm:sqref>
        </x14:conditionalFormatting>
        <x14:conditionalFormatting xmlns:xm="http://schemas.microsoft.com/office/excel/2006/main">
          <x14:cfRule type="containsText" priority="3573" operator="containsText" text="WEB SERVICE" id="{A872774E-6616-41BA-A551-49D601243C3F}">
            <xm:f>NOT(ISERROR(SEARCH("WEB SERVICE",'TC1'!E9)))</xm:f>
            <x14:dxf>
              <font>
                <color rgb="FF9C0006"/>
              </font>
              <fill>
                <patternFill>
                  <bgColor rgb="FFFFC7CE"/>
                </patternFill>
              </fill>
            </x14:dxf>
          </x14:cfRule>
          <x14:cfRule type="containsText" priority="3574" operator="containsText" text="DB" id="{F9B1C5CD-FE89-46D1-B5BD-1D12BC48DC53}">
            <xm:f>NOT(ISERROR(SEARCH("DB",'TC1'!E9)))</xm:f>
            <x14:dxf>
              <font>
                <color rgb="FF006100"/>
              </font>
              <fill>
                <patternFill>
                  <bgColor rgb="FFC6EFCE"/>
                </patternFill>
              </fill>
            </x14:dxf>
          </x14:cfRule>
          <xm:sqref>E9:E12</xm:sqref>
        </x14:conditionalFormatting>
        <x14:conditionalFormatting xmlns:xm="http://schemas.microsoft.com/office/excel/2006/main">
          <x14:cfRule type="containsText" priority="6145" operator="containsText" text="WEB SERVICE" id="{A872774E-6616-41BA-A551-49D601243C3F}">
            <xm:f>NOT(ISERROR(SEARCH("WEB SERVICE",'TC1'!E15)))</xm:f>
            <x14:dxf>
              <font>
                <color rgb="FF9C0006"/>
              </font>
              <fill>
                <patternFill>
                  <bgColor rgb="FFFFC7CE"/>
                </patternFill>
              </fill>
            </x14:dxf>
          </x14:cfRule>
          <x14:cfRule type="containsText" priority="6146" operator="containsText" text="DB" id="{F9B1C5CD-FE89-46D1-B5BD-1D12BC48DC53}">
            <xm:f>NOT(ISERROR(SEARCH("DB",'TC1'!E15)))</xm:f>
            <x14:dxf>
              <font>
                <color rgb="FF006100"/>
              </font>
              <fill>
                <patternFill>
                  <bgColor rgb="FFC6EFCE"/>
                </patternFill>
              </fill>
            </x14:dxf>
          </x14:cfRule>
          <xm:sqref>E13</xm:sqref>
        </x14:conditionalFormatting>
      </x14:conditionalFormattings>
    </ext>
  </extLst>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71"/>
  <dimension ref="A1:E32"/>
  <sheetViews>
    <sheetView zoomScaleNormal="100" workbookViewId="0">
      <selection sqref="A1:B1"/>
    </sheetView>
  </sheetViews>
  <sheetFormatPr defaultRowHeight="14.5" x14ac:dyDescent="0.35"/>
  <cols>
    <col min="1" max="1" width="14.453125" bestFit="1" customWidth="1"/>
    <col min="2" max="2" width="42.6328125" customWidth="1"/>
    <col min="3" max="3" width="106.1796875" customWidth="1"/>
    <col min="4" max="4" width="21.81640625" bestFit="1" customWidth="1"/>
    <col min="5" max="5" width="20.6328125" customWidth="1"/>
  </cols>
  <sheetData>
    <row r="1" spans="1:5" ht="18.5" x14ac:dyDescent="0.35">
      <c r="A1" s="192" t="s">
        <v>4</v>
      </c>
      <c r="B1" s="192"/>
      <c r="C1" s="105"/>
      <c r="D1" s="111"/>
      <c r="E1" s="97"/>
    </row>
    <row r="2" spans="1:5" x14ac:dyDescent="0.35">
      <c r="A2" s="106" t="s">
        <v>5</v>
      </c>
      <c r="B2" s="107" t="str">
        <f ca="1">MID(CELL("filename",A1),FIND("]",CELL("filename",A1))+1,LEN(CELL("filename",A1))-FIND("]",CELL("filename",A1)))</f>
        <v>TC69</v>
      </c>
      <c r="C2" s="98"/>
      <c r="D2" s="111"/>
      <c r="E2" s="97"/>
    </row>
    <row r="3" spans="1:5" x14ac:dyDescent="0.35">
      <c r="A3" s="104" t="s">
        <v>19</v>
      </c>
      <c r="B3" s="112">
        <f ca="1">VLOOKUP(B2,Table1[#All],2,FALSE)</f>
        <v>0</v>
      </c>
      <c r="C3" s="98"/>
      <c r="D3" s="111"/>
      <c r="E3" s="97"/>
    </row>
    <row r="4" spans="1:5" ht="29" x14ac:dyDescent="0.35">
      <c r="A4" s="113" t="s">
        <v>20</v>
      </c>
      <c r="B4" s="99">
        <f ca="1">VLOOKUP(B2,Table1[#All],4,FALSE)</f>
        <v>0</v>
      </c>
      <c r="C4" s="98"/>
      <c r="D4" s="111"/>
      <c r="E4" s="97"/>
    </row>
    <row r="5" spans="1:5" x14ac:dyDescent="0.35">
      <c r="A5" s="104" t="s">
        <v>6</v>
      </c>
      <c r="B5" s="93" t="str">
        <f ca="1">VLOOKUP(B2,Table1[#All],3,FALSE)</f>
        <v>Get Card Declined - Yes</v>
      </c>
      <c r="C5" s="98"/>
      <c r="D5" s="111"/>
      <c r="E5" s="97"/>
    </row>
    <row r="6" spans="1:5" x14ac:dyDescent="0.35">
      <c r="A6" s="97"/>
      <c r="B6" s="97"/>
      <c r="C6" s="98"/>
      <c r="D6" s="111"/>
      <c r="E6" s="97"/>
    </row>
    <row r="7" spans="1:5" ht="15.5" x14ac:dyDescent="0.35">
      <c r="A7" s="100" t="s">
        <v>7</v>
      </c>
      <c r="B7" s="101" t="s">
        <v>8</v>
      </c>
      <c r="C7" s="102" t="s">
        <v>9</v>
      </c>
      <c r="D7" s="102" t="s">
        <v>14</v>
      </c>
      <c r="E7" s="103" t="s">
        <v>10</v>
      </c>
    </row>
    <row r="8" spans="1:5" x14ac:dyDescent="0.35">
      <c r="A8" s="118">
        <v>1</v>
      </c>
      <c r="B8" s="114" t="s">
        <v>114</v>
      </c>
      <c r="C8" s="109" t="s">
        <v>125</v>
      </c>
      <c r="D8" s="128"/>
      <c r="E8" s="125" t="s">
        <v>11</v>
      </c>
    </row>
    <row r="9" spans="1:5" x14ac:dyDescent="0.35">
      <c r="A9" s="118">
        <v>2</v>
      </c>
      <c r="B9" s="114" t="s">
        <v>115</v>
      </c>
      <c r="C9" s="109" t="str">
        <f>VLOOKUP(Table25755252691013434446474849565758596315181719224566677172737476777879939495100104109111113115117125[[#This Row],[PEG]],Table1016[#All],2,FALSE)</f>
        <v>To get started, tell me your Account Number</v>
      </c>
      <c r="D9" s="141" t="s">
        <v>245</v>
      </c>
      <c r="E9" s="125" t="str">
        <f>VLOOKUP(Table25755252691013434446474849565758596315181719224566677172737476777879939495100104109111113115117125[[#This Row],[PEG]],Table1016[#All],3,FALSE)</f>
        <v>Prompt</v>
      </c>
    </row>
    <row r="10" spans="1:5" x14ac:dyDescent="0.35">
      <c r="A10" s="118">
        <v>3</v>
      </c>
      <c r="B10" s="114" t="s">
        <v>124</v>
      </c>
      <c r="C10" s="109" t="s">
        <v>412</v>
      </c>
      <c r="D10" s="141"/>
      <c r="E10" s="125" t="e">
        <f>VLOOKUP(Table25755252691013434446474849565758596315181719224566677172737476777879939495100104109111113115117125[[#This Row],[PEG]],Table1016[#All],3,FALSE)</f>
        <v>#N/A</v>
      </c>
    </row>
    <row r="11" spans="1:5" ht="174" x14ac:dyDescent="0.35">
      <c r="A11" s="118">
        <v>4</v>
      </c>
      <c r="B11" s="114" t="s">
        <v>12</v>
      </c>
      <c r="C11" s="109" t="str">
        <f>VLOOKUP(Table25755252691013434446474849565758596315181719224566677172737476777879939495100104109111113115117125[[#This Row],[PEG]],Table1016[#All],2,FALSE)</f>
        <v>SAP HANA – SAP01_GetMember
inputs:
idnumber = iIdnumber	T
idtype 	= iIdtype
outputs:
~ Billing Reference
~ Enrollment Details
~ Billing Details
~ Last Payment
~ Recurring Payment Method
~ Stored Payment Method</v>
      </c>
      <c r="D11" s="141" t="s">
        <v>371</v>
      </c>
      <c r="E11" s="125" t="str">
        <f>VLOOKUP(Table25755252691013434446474849565758596315181719224566677172737476777879939495100104109111113115117125[[#This Row],[PEG]],Table1016[#All],3,FALSE)</f>
        <v>DB</v>
      </c>
    </row>
    <row r="12" spans="1:5" x14ac:dyDescent="0.35">
      <c r="A12" s="118">
        <v>5</v>
      </c>
      <c r="B12" s="114" t="s">
        <v>115</v>
      </c>
      <c r="C12" s="109" t="str">
        <f>VLOOKUP(Table25755252691013434446474849565758596315181719224566677172737476777879939495100104109111113115117125[[#This Row],[PEG]],Table1016[#All],2,FALSE)</f>
        <v>Thanks, I found your account!</v>
      </c>
      <c r="D12" s="141" t="s">
        <v>248</v>
      </c>
      <c r="E12" s="125" t="str">
        <f>VLOOKUP(Table25755252691013434446474849565758596315181719224566677172737476777879939495100104109111113115117125[[#This Row],[PEG]],Table1016[#All],3,FALSE)</f>
        <v>Prompt</v>
      </c>
    </row>
    <row r="13" spans="1:5" x14ac:dyDescent="0.35">
      <c r="A13" s="118">
        <v>6</v>
      </c>
      <c r="B13" s="114" t="s">
        <v>115</v>
      </c>
      <c r="C13" s="109" t="str">
        <f>VLOOKUP(Table25755252691013434446474849565758596315181719224566677172737476777879939495100104109111113115117125[[#This Row],[PEG]],Table1016[#All],2,FALSE)</f>
        <v>A current balance of &lt;SAP01_CurrentDue&gt; is due by &lt;SAP01_Duedate&gt;.</v>
      </c>
      <c r="D13" s="141" t="s">
        <v>258</v>
      </c>
      <c r="E13" s="125" t="str">
        <f>VLOOKUP(Table25755252691013434446474849565758596315181719224566677172737476777879939495100104109111113115117125[[#This Row],[PEG]],Table1016[#All],3,FALSE)</f>
        <v>Prompt</v>
      </c>
    </row>
    <row r="14" spans="1:5" x14ac:dyDescent="0.35">
      <c r="A14" s="118">
        <v>7</v>
      </c>
      <c r="B14" s="114" t="s">
        <v>115</v>
      </c>
      <c r="C14" s="109" t="str">
        <f>VLOOKUP(Table25755252691013434446474849565758596315181719224566677172737476777879939495100104109111113115117125[[#This Row],[PEG]],Table1016[#All],2,FALSE)</f>
        <v>Would you like to pay this in full today?</v>
      </c>
      <c r="D14" s="141" t="s">
        <v>260</v>
      </c>
      <c r="E14" s="125" t="str">
        <f>VLOOKUP(Table25755252691013434446474849565758596315181719224566677172737476777879939495100104109111113115117125[[#This Row],[PEG]],Table1016[#All],3,FALSE)</f>
        <v>Prompt</v>
      </c>
    </row>
    <row r="15" spans="1:5" x14ac:dyDescent="0.35">
      <c r="A15" s="118">
        <v>8</v>
      </c>
      <c r="B15" s="114" t="s">
        <v>124</v>
      </c>
      <c r="C15" s="109" t="s">
        <v>402</v>
      </c>
      <c r="D15" s="164"/>
      <c r="E15" s="125" t="e">
        <f>VLOOKUP(Table25755252691013434446474849565758596315181719224566677172737476777879939495100104109111113115117125[[#This Row],[PEG]],Table1016[#All],3,FALSE)</f>
        <v>#N/A</v>
      </c>
    </row>
    <row r="16" spans="1:5" x14ac:dyDescent="0.35">
      <c r="A16" s="118">
        <v>9</v>
      </c>
      <c r="B16" s="114" t="s">
        <v>115</v>
      </c>
      <c r="C16" s="109" t="str">
        <f>VLOOKUP(Table25755252691013434446474849565758596315181719224566677172737476777879939495100104109111113115117125[[#This Row],[PEG]],Table1016[#All],2,FALSE)</f>
        <v>Ok, are you using Credit, Debit, Checking or Savings?</v>
      </c>
      <c r="D16" s="164" t="s">
        <v>286</v>
      </c>
      <c r="E16" s="125" t="str">
        <f>VLOOKUP(Table25755252691013434446474849565758596315181719224566677172737476777879939495100104109111113115117125[[#This Row],[PEG]],Table1016[#All],3,FALSE)</f>
        <v>Prompt</v>
      </c>
    </row>
    <row r="17" spans="1:5" x14ac:dyDescent="0.35">
      <c r="A17" s="118">
        <v>10</v>
      </c>
      <c r="B17" s="114" t="s">
        <v>124</v>
      </c>
      <c r="C17" s="109" t="s">
        <v>413</v>
      </c>
      <c r="D17" s="165"/>
      <c r="E17" s="125" t="e">
        <f>VLOOKUP(Table25755252691013434446474849565758596315181719224566677172737476777879939495100104109111113115117125[[#This Row],[PEG]],Table1016[#All],3,FALSE)</f>
        <v>#N/A</v>
      </c>
    </row>
    <row r="18" spans="1:5" x14ac:dyDescent="0.35">
      <c r="A18" s="118">
        <v>11</v>
      </c>
      <c r="B18" s="114" t="s">
        <v>115</v>
      </c>
      <c r="C18" s="109" t="str">
        <f>VLOOKUP(Table25755252691013434446474849565758596315181719224566677172737476777879939495100104109111113115117125[[#This Row],[PEG]],Table1016[#All],2,FALSE)</f>
        <v>Tell me the card number you wish to use.</v>
      </c>
      <c r="D18" s="165" t="s">
        <v>318</v>
      </c>
      <c r="E18" s="125" t="str">
        <f>VLOOKUP(Table25755252691013434446474849565758596315181719224566677172737476777879939495100104109111113115117125[[#This Row],[PEG]],Table1016[#All],3,FALSE)</f>
        <v>Prompt</v>
      </c>
    </row>
    <row r="19" spans="1:5" x14ac:dyDescent="0.35">
      <c r="A19" s="118">
        <v>12</v>
      </c>
      <c r="B19" s="114" t="s">
        <v>124</v>
      </c>
      <c r="C19" s="109" t="s">
        <v>557</v>
      </c>
      <c r="D19" s="165"/>
      <c r="E19" s="125" t="e">
        <f>VLOOKUP(Table25755252691013434446474849565758596315181719224566677172737476777879939495100104109111113115117125[[#This Row],[PEG]],Table1016[#All],3,FALSE)</f>
        <v>#N/A</v>
      </c>
    </row>
    <row r="20" spans="1:5" x14ac:dyDescent="0.35">
      <c r="A20" s="118">
        <v>13</v>
      </c>
      <c r="B20" s="114" t="s">
        <v>115</v>
      </c>
      <c r="C20" s="109" t="str">
        <f>VLOOKUP(Table25755252691013434446474849565758596315181719224566677172737476777879939495100104109111113115117125[[#This Row],[PEG]],Table1016[#All],2,FALSE)</f>
        <v>Is &lt;ivrCardNbr&gt; the right number?</v>
      </c>
      <c r="D20" s="165" t="s">
        <v>320</v>
      </c>
      <c r="E20" s="125">
        <f>VLOOKUP(Table25755252691013434446474849565758596315181719224566677172737476777879939495100104109111113115117125[[#This Row],[PEG]],Table1016[#All],3,FALSE)</f>
        <v>0</v>
      </c>
    </row>
    <row r="21" spans="1:5" x14ac:dyDescent="0.35">
      <c r="A21" s="118">
        <v>14</v>
      </c>
      <c r="B21" s="114" t="s">
        <v>124</v>
      </c>
      <c r="C21" s="109" t="s">
        <v>402</v>
      </c>
      <c r="D21" s="165"/>
      <c r="E21" s="125" t="e">
        <f>VLOOKUP(Table25755252691013434446474849565758596315181719224566677172737476777879939495100104109111113115117125[[#This Row],[PEG]],Table1016[#All],3,FALSE)</f>
        <v>#N/A</v>
      </c>
    </row>
    <row r="22" spans="1:5" ht="29" x14ac:dyDescent="0.35">
      <c r="A22" s="118">
        <v>15</v>
      </c>
      <c r="B22" s="114" t="s">
        <v>115</v>
      </c>
      <c r="C22" s="109" t="str">
        <f>VLOOKUP(Table25755252691013434446474849565758596315181719224566677172737476777879939495100104109111113115117125[[#This Row],[PEG]],Table1016[#All],2,FALSE)</f>
        <v>Now, what is the expiration date?  Just say it like this, March &lt;Current Year +3&gt; 
Now go ahead.</v>
      </c>
      <c r="D22" s="165" t="s">
        <v>323</v>
      </c>
      <c r="E22" s="125" t="str">
        <f>VLOOKUP(Table25755252691013434446474849565758596315181719224566677172737476777879939495100104109111113115117125[[#This Row],[PEG]],Table1016[#All],3,FALSE)</f>
        <v>Prompt</v>
      </c>
    </row>
    <row r="23" spans="1:5" x14ac:dyDescent="0.35">
      <c r="A23" s="118">
        <v>16</v>
      </c>
      <c r="B23" s="114" t="s">
        <v>124</v>
      </c>
      <c r="C23" s="109" t="s">
        <v>399</v>
      </c>
      <c r="D23" s="165"/>
      <c r="E23" s="125" t="e">
        <f>VLOOKUP(Table25755252691013434446474849565758596315181719224566677172737476777879939495100104109111113115117125[[#This Row],[PEG]],Table1016[#All],3,FALSE)</f>
        <v>#N/A</v>
      </c>
    </row>
    <row r="24" spans="1:5" ht="29" x14ac:dyDescent="0.35">
      <c r="A24" s="118">
        <v>17</v>
      </c>
      <c r="B24" s="114" t="s">
        <v>115</v>
      </c>
      <c r="C24" s="109" t="str">
        <f>VLOOKUP(Table25755252691013434446474849565758596315181719224566677172737476777879939495100104109111113115117125[[#This Row],[PEG]],Table1016[#All],2,FALSE)</f>
        <v>To confirm, you want to pay &lt;ivrPmtAmt&gt; with a card ending in &lt;last 4 digits of ivrCardNbr&gt;.
Is that right?</v>
      </c>
      <c r="D24" s="165" t="s">
        <v>326</v>
      </c>
      <c r="E24" s="125" t="str">
        <f>VLOOKUP(Table25755252691013434446474849565758596315181719224566677172737476777879939495100104109111113115117125[[#This Row],[PEG]],Table1016[#All],3,FALSE)</f>
        <v>Prompt</v>
      </c>
    </row>
    <row r="25" spans="1:5" x14ac:dyDescent="0.35">
      <c r="A25" s="118">
        <v>18</v>
      </c>
      <c r="B25" s="114" t="s">
        <v>124</v>
      </c>
      <c r="C25" s="109" t="s">
        <v>402</v>
      </c>
      <c r="D25" s="165"/>
      <c r="E25" s="125" t="e">
        <f>VLOOKUP(Table25755252691013434446474849565758596315181719224566677172737476777879939495100104109111113115117125[[#This Row],[PEG]],Table1016[#All],3,FALSE)</f>
        <v>#N/A</v>
      </c>
    </row>
    <row r="26" spans="1:5" x14ac:dyDescent="0.35">
      <c r="A26" s="118">
        <v>19</v>
      </c>
      <c r="B26" s="114" t="s">
        <v>115</v>
      </c>
      <c r="C26" s="109" t="str">
        <f>VLOOKUP(Table25755252691013434446474849565758596315181719224566677172737476777879939495100104109111113115117125[[#This Row],[PEG]],Table1016[#All],2,FALSE)</f>
        <v>Before I give you the confirmation number, would you like to use this account to setup recurring monthly payments?</v>
      </c>
      <c r="D26" s="165" t="s">
        <v>329</v>
      </c>
      <c r="E26" s="125" t="str">
        <f>VLOOKUP(Table25755252691013434446474849565758596315181719224566677172737476777879939495100104109111113115117125[[#This Row],[PEG]],Table1016[#All],3,FALSE)</f>
        <v>Prompt</v>
      </c>
    </row>
    <row r="27" spans="1:5" x14ac:dyDescent="0.35">
      <c r="A27" s="118">
        <v>20</v>
      </c>
      <c r="B27" s="114" t="s">
        <v>124</v>
      </c>
      <c r="C27" s="109" t="s">
        <v>571</v>
      </c>
      <c r="D27" s="144"/>
      <c r="E27" s="125" t="e">
        <f>VLOOKUP(Table25755252691013434446474849565758596315181719224566677172737476777879939495100104109111113115117125[[#This Row],[PEG]],Table1016[#All],3,FALSE)</f>
        <v>#N/A</v>
      </c>
    </row>
    <row r="28" spans="1:5" ht="333.5" x14ac:dyDescent="0.35">
      <c r="A28" s="118">
        <v>21</v>
      </c>
      <c r="B28" s="114" t="s">
        <v>12</v>
      </c>
      <c r="C28" s="109" t="str">
        <f>VLOOKUP(Table25755252691013434446474849565758596315181719224566677172737476777879939495100104109111113115117125[[#This Row],[PEG]],Table1016[#All],2,FALSE)</f>
        <v xml:space="preserve">CyberSource – CYB02_AuthCard
Input a card_tokenId or a card_number.
inputs:
clientReference_code = IVR.sessionid+"-" +paymentCount
card_tokenId = ivrStoredCardTokenId	
card_number = ivrCardNbr
card_expirationMonth	= ivrCardExpMM		
card_expirationYear = ivrCardExpYYYY			
totalAmount = ivrPmtAmt		
first_name =
last_name =
actionTokenizeFlag = true		
outputs:
CYB02_submitTimeUtc	
CYB02_id	
CYB02_status	
CYB02_approvalCode					
CYB02_responseCode	
CYB02_errorReason
CYB02_errorMesssage
CYB02_cardTokenId	</v>
      </c>
      <c r="D28" s="165" t="s">
        <v>382</v>
      </c>
      <c r="E28" s="125" t="str">
        <f>VLOOKUP(Table25755252691013434446474849565758596315181719224566677172737476777879939495100104109111113115117125[[#This Row],[PEG]],Table1016[#All],3,FALSE)</f>
        <v>DB</v>
      </c>
    </row>
    <row r="29" spans="1:5" x14ac:dyDescent="0.35">
      <c r="A29" s="118">
        <v>22</v>
      </c>
      <c r="B29" s="114" t="s">
        <v>115</v>
      </c>
      <c r="C29" s="109" t="str">
        <f>VLOOKUP(Table25755252691013434446474849565758596315181719224566677172737476777879939495100104109111113115117125[[#This Row],[PEG]],Table1016[#All],2,FALSE)</f>
        <v>I was unable to process a payment using the card provided.  Would you like to use a different payment method?</v>
      </c>
      <c r="D29" s="117" t="s">
        <v>332</v>
      </c>
      <c r="E29" s="125" t="str">
        <f>VLOOKUP(Table25755252691013434446474849565758596315181719224566677172737476777879939495100104109111113115117125[[#This Row],[PEG]],Table1016[#All],3,FALSE)</f>
        <v>Prompt</v>
      </c>
    </row>
    <row r="30" spans="1:5" x14ac:dyDescent="0.35">
      <c r="A30" s="118">
        <v>23</v>
      </c>
      <c r="B30" s="114" t="s">
        <v>124</v>
      </c>
      <c r="C30" s="109" t="s">
        <v>388</v>
      </c>
      <c r="D30" s="117"/>
      <c r="E30" s="125" t="e">
        <f>VLOOKUP(Table25755252691013434446474849565758596315181719224566677172737476777879939495100104109111113115117125[[#This Row],[PEG]],Table1016[#All],3,FALSE)</f>
        <v>#N/A</v>
      </c>
    </row>
    <row r="31" spans="1:5" x14ac:dyDescent="0.35">
      <c r="A31" s="118">
        <v>24</v>
      </c>
      <c r="B31" s="114" t="s">
        <v>115</v>
      </c>
      <c r="C31" s="109" t="str">
        <f>VLOOKUP(Table25755252691013434446474849565758596315181719224566677172737476777879939495100104109111113115117125[[#This Row],[PEG]],Table1016[#All],2,FALSE)</f>
        <v>Ok, are you using Credit, Debit, Checking or Savings?</v>
      </c>
      <c r="D31" s="117" t="s">
        <v>286</v>
      </c>
      <c r="E31" s="125" t="str">
        <f>VLOOKUP(Table25755252691013434446474849565758596315181719224566677172737476777879939495100104109111113115117125[[#This Row],[PEG]],Table1016[#All],3,FALSE)</f>
        <v>Prompt</v>
      </c>
    </row>
    <row r="32" spans="1:5" x14ac:dyDescent="0.35">
      <c r="A32" s="118">
        <v>25</v>
      </c>
      <c r="B32" s="114" t="s">
        <v>13</v>
      </c>
      <c r="C32" s="109" t="s">
        <v>13</v>
      </c>
      <c r="D32" s="117"/>
      <c r="E32" s="125" t="e">
        <f>VLOOKUP(Table25755252691013434446474849565758596315181719224566677172737476777879939495100104109111113115117125[[#This Row],[PEG]],Table1016[#All],3,FALSE)</f>
        <v>#N/A</v>
      </c>
    </row>
  </sheetData>
  <mergeCells count="1">
    <mergeCell ref="A1:B1"/>
  </mergeCells>
  <conditionalFormatting sqref="B29 B31:B32">
    <cfRule type="containsText" dxfId="4002" priority="12" operator="containsText" text="Hear">
      <formula>NOT(ISERROR(SEARCH("Hear",B29)))</formula>
    </cfRule>
  </conditionalFormatting>
  <conditionalFormatting sqref="B30">
    <cfRule type="containsText" dxfId="4001" priority="9" operator="containsText" text="Hear">
      <formula>NOT(ISERROR(SEARCH("Hear",B30)))</formula>
    </cfRule>
  </conditionalFormatting>
  <conditionalFormatting sqref="B8:B18">
    <cfRule type="containsText" dxfId="4000" priority="4" operator="containsText" text="Hear">
      <formula>NOT(ISERROR(SEARCH("Hear",B8)))</formula>
    </cfRule>
  </conditionalFormatting>
  <conditionalFormatting sqref="B19:B28">
    <cfRule type="containsText" dxfId="3999" priority="5" operator="containsText" text="Hear">
      <formula>NOT(ISERROR(SEARCH("Hear",B19)))</formula>
    </cfRule>
  </conditionalFormatting>
  <conditionalFormatting sqref="C8:C32">
    <cfRule type="expression" dxfId="3998" priority="2">
      <formula>$B8="Dial"</formula>
    </cfRule>
    <cfRule type="expression" dxfId="3997" priority="3">
      <formula>$B8="HANGUP"</formula>
    </cfRule>
  </conditionalFormatting>
  <conditionalFormatting sqref="C8:C32">
    <cfRule type="expression" dxfId="3996" priority="1">
      <formula>$B8="Speak"</formula>
    </cfRule>
  </conditionalFormatting>
  <hyperlinks>
    <hyperlink ref="A1" location="'Test Case Overview'!A1" display="Return to Test Case Overview" xr:uid="{E1B84A8B-FBAE-48B1-955D-2A538DE011D3}"/>
  </hyperlinks>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containsText" priority="1662" operator="containsText" text="DB" id="{B2909859-26AE-430D-ADFD-700F4C638A59}">
            <xm:f>NOT(ISERROR(SEARCH("DB",'TC1'!#REF!)))</xm:f>
            <x14:dxf>
              <font>
                <color rgb="FF006100"/>
              </font>
              <fill>
                <patternFill>
                  <bgColor rgb="FFC6EFCE"/>
                </patternFill>
              </fill>
            </x14:dxf>
          </x14:cfRule>
          <x14:cfRule type="containsText" priority="1663" operator="containsText" text="WEB SERVICE" id="{643094B7-7842-445E-84E2-9C42D1E745C8}">
            <xm:f>NOT(ISERROR(SEARCH("WEB SERVICE",'TC1'!#REF!)))</xm:f>
            <x14:dxf>
              <font>
                <color rgb="FF9C0006"/>
              </font>
              <fill>
                <patternFill>
                  <bgColor rgb="FFFFC7CE"/>
                </patternFill>
              </fill>
            </x14:dxf>
          </x14:cfRule>
          <xm:sqref>E17:E32</xm:sqref>
        </x14:conditionalFormatting>
        <x14:conditionalFormatting xmlns:xm="http://schemas.microsoft.com/office/excel/2006/main">
          <x14:cfRule type="containsText" priority="4432" operator="containsText" text="DB" id="{B2909859-26AE-430D-ADFD-700F4C638A59}">
            <xm:f>NOT(ISERROR(SEARCH("DB",'TC1'!#REF!)))</xm:f>
            <x14:dxf>
              <font>
                <color rgb="FF006100"/>
              </font>
              <fill>
                <patternFill>
                  <bgColor rgb="FFC6EFCE"/>
                </patternFill>
              </fill>
            </x14:dxf>
          </x14:cfRule>
          <x14:cfRule type="containsText" priority="4433" operator="containsText" text="WEB SERVICE" id="{643094B7-7842-445E-84E2-9C42D1E745C8}">
            <xm:f>NOT(ISERROR(SEARCH("WEB SERVICE",'TC1'!#REF!)))</xm:f>
            <x14:dxf>
              <font>
                <color rgb="FF9C0006"/>
              </font>
              <fill>
                <patternFill>
                  <bgColor rgb="FFFFC7CE"/>
                </patternFill>
              </fill>
            </x14:dxf>
          </x14:cfRule>
          <xm:sqref>E9:E11</xm:sqref>
        </x14:conditionalFormatting>
        <x14:conditionalFormatting xmlns:xm="http://schemas.microsoft.com/office/excel/2006/main">
          <x14:cfRule type="containsText" priority="4434" operator="containsText" text="DB" id="{B2909859-26AE-430D-ADFD-700F4C638A59}">
            <xm:f>NOT(ISERROR(SEARCH("DB",'TC1'!E9)))</xm:f>
            <x14:dxf>
              <font>
                <color rgb="FF006100"/>
              </font>
              <fill>
                <patternFill>
                  <bgColor rgb="FFC6EFCE"/>
                </patternFill>
              </fill>
            </x14:dxf>
          </x14:cfRule>
          <x14:cfRule type="containsText" priority="4435" operator="containsText" text="WEB SERVICE" id="{643094B7-7842-445E-84E2-9C42D1E745C8}">
            <xm:f>NOT(ISERROR(SEARCH("WEB SERVICE",'TC1'!E9)))</xm:f>
            <x14:dxf>
              <font>
                <color rgb="FF9C0006"/>
              </font>
              <fill>
                <patternFill>
                  <bgColor rgb="FFFFC7CE"/>
                </patternFill>
              </fill>
            </x14:dxf>
          </x14:cfRule>
          <xm:sqref>E12:E15</xm:sqref>
        </x14:conditionalFormatting>
        <x14:conditionalFormatting xmlns:xm="http://schemas.microsoft.com/office/excel/2006/main">
          <x14:cfRule type="containsText" priority="6871" operator="containsText" text="DB" id="{B2909859-26AE-430D-ADFD-700F4C638A59}">
            <xm:f>NOT(ISERROR(SEARCH("DB",'TC1'!E15)))</xm:f>
            <x14:dxf>
              <font>
                <color rgb="FF006100"/>
              </font>
              <fill>
                <patternFill>
                  <bgColor rgb="FFC6EFCE"/>
                </patternFill>
              </fill>
            </x14:dxf>
          </x14:cfRule>
          <x14:cfRule type="containsText" priority="6872" operator="containsText" text="WEB SERVICE" id="{643094B7-7842-445E-84E2-9C42D1E745C8}">
            <xm:f>NOT(ISERROR(SEARCH("WEB SERVICE",'TC1'!E15)))</xm:f>
            <x14:dxf>
              <font>
                <color rgb="FF9C0006"/>
              </font>
              <fill>
                <patternFill>
                  <bgColor rgb="FFFFC7CE"/>
                </patternFill>
              </fill>
            </x14:dxf>
          </x14:cfRule>
          <xm:sqref>E16</xm:sqref>
        </x14:conditionalFormatting>
      </x14:conditionalFormattings>
    </ext>
  </extLst>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72"/>
  <dimension ref="A1:E32"/>
  <sheetViews>
    <sheetView zoomScaleNormal="100" workbookViewId="0">
      <selection sqref="A1:B1"/>
    </sheetView>
  </sheetViews>
  <sheetFormatPr defaultRowHeight="14.5" x14ac:dyDescent="0.35"/>
  <cols>
    <col min="1" max="1" width="14.453125" bestFit="1" customWidth="1"/>
    <col min="2" max="2" width="42.6328125" customWidth="1"/>
    <col min="3" max="3" width="106.1796875" customWidth="1"/>
    <col min="4" max="4" width="21.81640625" bestFit="1" customWidth="1"/>
    <col min="5" max="5" width="20.6328125" customWidth="1"/>
  </cols>
  <sheetData>
    <row r="1" spans="1:5" ht="18.5" x14ac:dyDescent="0.35">
      <c r="A1" s="192" t="s">
        <v>4</v>
      </c>
      <c r="B1" s="192"/>
      <c r="C1" s="105"/>
      <c r="D1" s="111"/>
      <c r="E1" s="97"/>
    </row>
    <row r="2" spans="1:5" x14ac:dyDescent="0.35">
      <c r="A2" s="106" t="s">
        <v>5</v>
      </c>
      <c r="B2" s="107" t="str">
        <f ca="1">MID(CELL("filename",A1),FIND("]",CELL("filename",A1))+1,LEN(CELL("filename",A1))-FIND("]",CELL("filename",A1)))</f>
        <v>TC70</v>
      </c>
      <c r="C2" s="98"/>
      <c r="D2" s="111"/>
      <c r="E2" s="97"/>
    </row>
    <row r="3" spans="1:5" x14ac:dyDescent="0.35">
      <c r="A3" s="104" t="s">
        <v>19</v>
      </c>
      <c r="B3" s="112">
        <f ca="1">VLOOKUP(B2,Table1[#All],2,FALSE)</f>
        <v>0</v>
      </c>
      <c r="C3" s="98"/>
      <c r="D3" s="111"/>
      <c r="E3" s="97"/>
    </row>
    <row r="4" spans="1:5" ht="29" x14ac:dyDescent="0.35">
      <c r="A4" s="113" t="s">
        <v>20</v>
      </c>
      <c r="B4" s="99">
        <f ca="1">VLOOKUP(B2,Table1[#All],4,FALSE)</f>
        <v>0</v>
      </c>
      <c r="C4" s="98"/>
      <c r="D4" s="111"/>
      <c r="E4" s="97"/>
    </row>
    <row r="5" spans="1:5" x14ac:dyDescent="0.35">
      <c r="A5" s="104" t="s">
        <v>6</v>
      </c>
      <c r="B5" s="93" t="str">
        <f ca="1">VLOOKUP(B2,Table1[#All],3,FALSE)</f>
        <v>Get Card Declined - No</v>
      </c>
      <c r="C5" s="98"/>
      <c r="D5" s="111"/>
      <c r="E5" s="97"/>
    </row>
    <row r="6" spans="1:5" x14ac:dyDescent="0.35">
      <c r="A6" s="97"/>
      <c r="B6" s="97"/>
      <c r="C6" s="98"/>
      <c r="D6" s="111"/>
      <c r="E6" s="97"/>
    </row>
    <row r="7" spans="1:5" ht="15.5" x14ac:dyDescent="0.35">
      <c r="A7" s="100" t="s">
        <v>7</v>
      </c>
      <c r="B7" s="101" t="s">
        <v>8</v>
      </c>
      <c r="C7" s="102" t="s">
        <v>9</v>
      </c>
      <c r="D7" s="102" t="s">
        <v>14</v>
      </c>
      <c r="E7" s="103" t="s">
        <v>10</v>
      </c>
    </row>
    <row r="8" spans="1:5" x14ac:dyDescent="0.35">
      <c r="A8" s="118">
        <v>1</v>
      </c>
      <c r="B8" s="114" t="s">
        <v>114</v>
      </c>
      <c r="C8" s="109" t="s">
        <v>125</v>
      </c>
      <c r="D8" s="128"/>
      <c r="E8" s="125" t="s">
        <v>11</v>
      </c>
    </row>
    <row r="9" spans="1:5" x14ac:dyDescent="0.35">
      <c r="A9" s="118">
        <v>2</v>
      </c>
      <c r="B9" s="114" t="s">
        <v>115</v>
      </c>
      <c r="C9" s="109" t="str">
        <f>VLOOKUP(Table25755252691013434446474849565758596315181719224566677172737476777879939495100104109111113115117127[[#This Row],[PEG]],Table1016[#All],2,FALSE)</f>
        <v>To get started, tell me your Account Number</v>
      </c>
      <c r="D9" s="141" t="s">
        <v>245</v>
      </c>
      <c r="E9" s="125" t="str">
        <f>VLOOKUP(Table25755252691013434446474849565758596315181719224566677172737476777879939495100104109111113115117127[[#This Row],[PEG]],Table1016[#All],3,FALSE)</f>
        <v>Prompt</v>
      </c>
    </row>
    <row r="10" spans="1:5" x14ac:dyDescent="0.35">
      <c r="A10" s="118">
        <v>3</v>
      </c>
      <c r="B10" s="114" t="s">
        <v>124</v>
      </c>
      <c r="C10" s="109" t="s">
        <v>412</v>
      </c>
      <c r="D10" s="141"/>
      <c r="E10" s="125" t="e">
        <f>VLOOKUP(Table25755252691013434446474849565758596315181719224566677172737476777879939495100104109111113115117127[[#This Row],[PEG]],Table1016[#All],3,FALSE)</f>
        <v>#N/A</v>
      </c>
    </row>
    <row r="11" spans="1:5" ht="174" x14ac:dyDescent="0.35">
      <c r="A11" s="118">
        <v>4</v>
      </c>
      <c r="B11" s="114" t="s">
        <v>12</v>
      </c>
      <c r="C11" s="109" t="str">
        <f>VLOOKUP(Table25755252691013434446474849565758596315181719224566677172737476777879939495100104109111113115117127[[#This Row],[PEG]],Table1016[#All],2,FALSE)</f>
        <v>SAP HANA – SAP01_GetMember
inputs:
idnumber = iIdnumber	T
idtype 	= iIdtype
outputs:
~ Billing Reference
~ Enrollment Details
~ Billing Details
~ Last Payment
~ Recurring Payment Method
~ Stored Payment Method</v>
      </c>
      <c r="D11" s="141" t="s">
        <v>371</v>
      </c>
      <c r="E11" s="125" t="str">
        <f>VLOOKUP(Table25755252691013434446474849565758596315181719224566677172737476777879939495100104109111113115117127[[#This Row],[PEG]],Table1016[#All],3,FALSE)</f>
        <v>DB</v>
      </c>
    </row>
    <row r="12" spans="1:5" x14ac:dyDescent="0.35">
      <c r="A12" s="118">
        <v>5</v>
      </c>
      <c r="B12" s="114" t="s">
        <v>115</v>
      </c>
      <c r="C12" s="109" t="str">
        <f>VLOOKUP(Table25755252691013434446474849565758596315181719224566677172737476777879939495100104109111113115117127[[#This Row],[PEG]],Table1016[#All],2,FALSE)</f>
        <v>Thanks, I found your account!</v>
      </c>
      <c r="D12" s="141" t="s">
        <v>248</v>
      </c>
      <c r="E12" s="125" t="str">
        <f>VLOOKUP(Table25755252691013434446474849565758596315181719224566677172737476777879939495100104109111113115117127[[#This Row],[PEG]],Table1016[#All],3,FALSE)</f>
        <v>Prompt</v>
      </c>
    </row>
    <row r="13" spans="1:5" x14ac:dyDescent="0.35">
      <c r="A13" s="118">
        <v>6</v>
      </c>
      <c r="B13" s="114" t="s">
        <v>115</v>
      </c>
      <c r="C13" s="109" t="str">
        <f>VLOOKUP(Table25755252691013434446474849565758596315181719224566677172737476777879939495100104109111113115117127[[#This Row],[PEG]],Table1016[#All],2,FALSE)</f>
        <v>A current balance of &lt;SAP01_CurrentDue&gt; is due by &lt;SAP01_Duedate&gt;.</v>
      </c>
      <c r="D13" s="141" t="s">
        <v>258</v>
      </c>
      <c r="E13" s="125" t="str">
        <f>VLOOKUP(Table25755252691013434446474849565758596315181719224566677172737476777879939495100104109111113115117127[[#This Row],[PEG]],Table1016[#All],3,FALSE)</f>
        <v>Prompt</v>
      </c>
    </row>
    <row r="14" spans="1:5" x14ac:dyDescent="0.35">
      <c r="A14" s="118">
        <v>7</v>
      </c>
      <c r="B14" s="114" t="s">
        <v>115</v>
      </c>
      <c r="C14" s="109" t="str">
        <f>VLOOKUP(Table25755252691013434446474849565758596315181719224566677172737476777879939495100104109111113115117127[[#This Row],[PEG]],Table1016[#All],2,FALSE)</f>
        <v>Would you like to pay this in full today?</v>
      </c>
      <c r="D14" s="141" t="s">
        <v>260</v>
      </c>
      <c r="E14" s="125" t="str">
        <f>VLOOKUP(Table25755252691013434446474849565758596315181719224566677172737476777879939495100104109111113115117127[[#This Row],[PEG]],Table1016[#All],3,FALSE)</f>
        <v>Prompt</v>
      </c>
    </row>
    <row r="15" spans="1:5" x14ac:dyDescent="0.35">
      <c r="A15" s="118">
        <v>8</v>
      </c>
      <c r="B15" s="114" t="s">
        <v>124</v>
      </c>
      <c r="C15" s="109" t="s">
        <v>402</v>
      </c>
      <c r="D15" s="164"/>
      <c r="E15" s="125" t="e">
        <f>VLOOKUP(Table25755252691013434446474849565758596315181719224566677172737476777879939495100104109111113115117127[[#This Row],[PEG]],Table1016[#All],3,FALSE)</f>
        <v>#N/A</v>
      </c>
    </row>
    <row r="16" spans="1:5" x14ac:dyDescent="0.35">
      <c r="A16" s="118">
        <v>9</v>
      </c>
      <c r="B16" s="114" t="s">
        <v>115</v>
      </c>
      <c r="C16" s="109" t="str">
        <f>VLOOKUP(Table25755252691013434446474849565758596315181719224566677172737476777879939495100104109111113115117127[[#This Row],[PEG]],Table1016[#All],2,FALSE)</f>
        <v>Ok, are you using Credit, Debit, Checking or Savings?</v>
      </c>
      <c r="D16" s="164" t="s">
        <v>286</v>
      </c>
      <c r="E16" s="125" t="str">
        <f>VLOOKUP(Table25755252691013434446474849565758596315181719224566677172737476777879939495100104109111113115117127[[#This Row],[PEG]],Table1016[#All],3,FALSE)</f>
        <v>Prompt</v>
      </c>
    </row>
    <row r="17" spans="1:5" x14ac:dyDescent="0.35">
      <c r="A17" s="118">
        <v>10</v>
      </c>
      <c r="B17" s="114" t="s">
        <v>124</v>
      </c>
      <c r="C17" s="109" t="s">
        <v>397</v>
      </c>
      <c r="D17" s="165"/>
      <c r="E17" s="125" t="e">
        <f>VLOOKUP(Table25755252691013434446474849565758596315181719224566677172737476777879939495100104109111113115117127[[#This Row],[PEG]],Table1016[#All],3,FALSE)</f>
        <v>#N/A</v>
      </c>
    </row>
    <row r="18" spans="1:5" x14ac:dyDescent="0.35">
      <c r="A18" s="118">
        <v>11</v>
      </c>
      <c r="B18" s="114" t="s">
        <v>115</v>
      </c>
      <c r="C18" s="109" t="str">
        <f>VLOOKUP(Table25755252691013434446474849565758596315181719224566677172737476777879939495100104109111113115117127[[#This Row],[PEG]],Table1016[#All],2,FALSE)</f>
        <v>Tell me the card number you wish to use.</v>
      </c>
      <c r="D18" s="165" t="s">
        <v>318</v>
      </c>
      <c r="E18" s="125" t="str">
        <f>VLOOKUP(Table25755252691013434446474849565758596315181719224566677172737476777879939495100104109111113115117127[[#This Row],[PEG]],Table1016[#All],3,FALSE)</f>
        <v>Prompt</v>
      </c>
    </row>
    <row r="19" spans="1:5" x14ac:dyDescent="0.35">
      <c r="A19" s="118">
        <v>12</v>
      </c>
      <c r="B19" s="114" t="s">
        <v>124</v>
      </c>
      <c r="C19" s="109" t="s">
        <v>557</v>
      </c>
      <c r="D19" s="165"/>
      <c r="E19" s="125" t="e">
        <f>VLOOKUP(Table25755252691013434446474849565758596315181719224566677172737476777879939495100104109111113115117127[[#This Row],[PEG]],Table1016[#All],3,FALSE)</f>
        <v>#N/A</v>
      </c>
    </row>
    <row r="20" spans="1:5" x14ac:dyDescent="0.35">
      <c r="A20" s="118">
        <v>13</v>
      </c>
      <c r="B20" s="114" t="s">
        <v>115</v>
      </c>
      <c r="C20" s="109" t="str">
        <f>VLOOKUP(Table25755252691013434446474849565758596315181719224566677172737476777879939495100104109111113115117127[[#This Row],[PEG]],Table1016[#All],2,FALSE)</f>
        <v>Is &lt;ivrCardNbr&gt; the right number?</v>
      </c>
      <c r="D20" s="165" t="s">
        <v>320</v>
      </c>
      <c r="E20" s="125">
        <f>VLOOKUP(Table25755252691013434446474849565758596315181719224566677172737476777879939495100104109111113115117127[[#This Row],[PEG]],Table1016[#All],3,FALSE)</f>
        <v>0</v>
      </c>
    </row>
    <row r="21" spans="1:5" x14ac:dyDescent="0.35">
      <c r="A21" s="118">
        <v>14</v>
      </c>
      <c r="B21" s="114" t="s">
        <v>124</v>
      </c>
      <c r="C21" s="109" t="s">
        <v>402</v>
      </c>
      <c r="D21" s="165"/>
      <c r="E21" s="125" t="e">
        <f>VLOOKUP(Table25755252691013434446474849565758596315181719224566677172737476777879939495100104109111113115117127[[#This Row],[PEG]],Table1016[#All],3,FALSE)</f>
        <v>#N/A</v>
      </c>
    </row>
    <row r="22" spans="1:5" ht="29" x14ac:dyDescent="0.35">
      <c r="A22" s="118">
        <v>15</v>
      </c>
      <c r="B22" s="114" t="s">
        <v>115</v>
      </c>
      <c r="C22" s="109" t="str">
        <f>VLOOKUP(Table25755252691013434446474849565758596315181719224566677172737476777879939495100104109111113115117127[[#This Row],[PEG]],Table1016[#All],2,FALSE)</f>
        <v>Now, what is the expiration date?  Just say it like this, March &lt;Current Year +3&gt; 
Now go ahead.</v>
      </c>
      <c r="D22" s="165" t="s">
        <v>323</v>
      </c>
      <c r="E22" s="125" t="str">
        <f>VLOOKUP(Table25755252691013434446474849565758596315181719224566677172737476777879939495100104109111113115117127[[#This Row],[PEG]],Table1016[#All],3,FALSE)</f>
        <v>Prompt</v>
      </c>
    </row>
    <row r="23" spans="1:5" x14ac:dyDescent="0.35">
      <c r="A23" s="118">
        <v>16</v>
      </c>
      <c r="B23" s="114" t="s">
        <v>124</v>
      </c>
      <c r="C23" s="109" t="s">
        <v>399</v>
      </c>
      <c r="D23" s="165"/>
      <c r="E23" s="125" t="e">
        <f>VLOOKUP(Table25755252691013434446474849565758596315181719224566677172737476777879939495100104109111113115117127[[#This Row],[PEG]],Table1016[#All],3,FALSE)</f>
        <v>#N/A</v>
      </c>
    </row>
    <row r="24" spans="1:5" ht="29" x14ac:dyDescent="0.35">
      <c r="A24" s="118">
        <v>17</v>
      </c>
      <c r="B24" s="114" t="s">
        <v>115</v>
      </c>
      <c r="C24" s="109" t="str">
        <f>VLOOKUP(Table25755252691013434446474849565758596315181719224566677172737476777879939495100104109111113115117127[[#This Row],[PEG]],Table1016[#All],2,FALSE)</f>
        <v>To confirm, you want to pay &lt;ivrPmtAmt&gt; with a card ending in &lt;last 4 digits of ivrCardNbr&gt;.
Is that right?</v>
      </c>
      <c r="D24" s="165" t="s">
        <v>326</v>
      </c>
      <c r="E24" s="125" t="str">
        <f>VLOOKUP(Table25755252691013434446474849565758596315181719224566677172737476777879939495100104109111113115117127[[#This Row],[PEG]],Table1016[#All],3,FALSE)</f>
        <v>Prompt</v>
      </c>
    </row>
    <row r="25" spans="1:5" x14ac:dyDescent="0.35">
      <c r="A25" s="118">
        <v>18</v>
      </c>
      <c r="B25" s="114" t="s">
        <v>124</v>
      </c>
      <c r="C25" s="109" t="s">
        <v>402</v>
      </c>
      <c r="D25" s="165"/>
      <c r="E25" s="125" t="e">
        <f>VLOOKUP(Table25755252691013434446474849565758596315181719224566677172737476777879939495100104109111113115117127[[#This Row],[PEG]],Table1016[#All],3,FALSE)</f>
        <v>#N/A</v>
      </c>
    </row>
    <row r="26" spans="1:5" x14ac:dyDescent="0.35">
      <c r="A26" s="118">
        <v>19</v>
      </c>
      <c r="B26" s="114" t="s">
        <v>115</v>
      </c>
      <c r="C26" s="109" t="str">
        <f>VLOOKUP(Table25755252691013434446474849565758596315181719224566677172737476777879939495100104109111113115117127[[#This Row],[PEG]],Table1016[#All],2,FALSE)</f>
        <v>Before I give you the confirmation number, would you like to use this account to setup recurring monthly payments?</v>
      </c>
      <c r="D26" s="165" t="s">
        <v>329</v>
      </c>
      <c r="E26" s="125" t="str">
        <f>VLOOKUP(Table25755252691013434446474849565758596315181719224566677172737476777879939495100104109111113115117127[[#This Row],[PEG]],Table1016[#All],3,FALSE)</f>
        <v>Prompt</v>
      </c>
    </row>
    <row r="27" spans="1:5" x14ac:dyDescent="0.35">
      <c r="A27" s="118">
        <v>20</v>
      </c>
      <c r="B27" s="114" t="s">
        <v>124</v>
      </c>
      <c r="C27" s="109" t="s">
        <v>571</v>
      </c>
      <c r="D27" s="144"/>
      <c r="E27" s="125" t="e">
        <f>VLOOKUP(Table25755252691013434446474849565758596315181719224566677172737476777879939495100104109111113115117127[[#This Row],[PEG]],Table1016[#All],3,FALSE)</f>
        <v>#N/A</v>
      </c>
    </row>
    <row r="28" spans="1:5" ht="333.5" x14ac:dyDescent="0.35">
      <c r="A28" s="118">
        <v>21</v>
      </c>
      <c r="B28" s="114" t="s">
        <v>12</v>
      </c>
      <c r="C28" s="109" t="str">
        <f>VLOOKUP(Table25755252691013434446474849565758596315181719224566677172737476777879939495100104109111113115117127[[#This Row],[PEG]],Table1016[#All],2,FALSE)</f>
        <v xml:space="preserve">CyberSource – CYB02_AuthCard
Input a card_tokenId or a card_number.
inputs:
clientReference_code = IVR.sessionid+"-" +paymentCount
card_tokenId = ivrStoredCardTokenId	
card_number = ivrCardNbr
card_expirationMonth	= ivrCardExpMM		
card_expirationYear = ivrCardExpYYYY			
totalAmount = ivrPmtAmt		
first_name =
last_name =
actionTokenizeFlag = true		
outputs:
CYB02_submitTimeUtc	
CYB02_id	
CYB02_status	
CYB02_approvalCode					
CYB02_responseCode	
CYB02_errorReason
CYB02_errorMesssage
CYB02_cardTokenId	</v>
      </c>
      <c r="D28" s="165" t="s">
        <v>382</v>
      </c>
      <c r="E28" s="125" t="str">
        <f>VLOOKUP(Table25755252691013434446474849565758596315181719224566677172737476777879939495100104109111113115117127[[#This Row],[PEG]],Table1016[#All],3,FALSE)</f>
        <v>DB</v>
      </c>
    </row>
    <row r="29" spans="1:5" x14ac:dyDescent="0.35">
      <c r="A29" s="118">
        <v>22</v>
      </c>
      <c r="B29" s="114" t="s">
        <v>115</v>
      </c>
      <c r="C29" s="109" t="str">
        <f>VLOOKUP(Table25755252691013434446474849565758596315181719224566677172737476777879939495100104109111113115117127[[#This Row],[PEG]],Table1016[#All],2,FALSE)</f>
        <v>I was unable to process a payment using the card provided.  Would you like to use a different payment method?</v>
      </c>
      <c r="D29" s="117" t="s">
        <v>332</v>
      </c>
      <c r="E29" s="125" t="str">
        <f>VLOOKUP(Table25755252691013434446474849565758596315181719224566677172737476777879939495100104109111113115117127[[#This Row],[PEG]],Table1016[#All],3,FALSE)</f>
        <v>Prompt</v>
      </c>
    </row>
    <row r="30" spans="1:5" x14ac:dyDescent="0.35">
      <c r="A30" s="118">
        <v>23</v>
      </c>
      <c r="B30" s="114" t="s">
        <v>12</v>
      </c>
      <c r="C30" s="109" t="s">
        <v>390</v>
      </c>
      <c r="D30" s="117"/>
      <c r="E30" s="125" t="e">
        <f>VLOOKUP(Table25755252691013434446474849565758596315181719224566677172737476777879939495100104109111113115117127[[#This Row],[PEG]],Table1016[#All],3,FALSE)</f>
        <v>#N/A</v>
      </c>
    </row>
    <row r="31" spans="1:5" ht="29" x14ac:dyDescent="0.35">
      <c r="A31" s="118">
        <v>24</v>
      </c>
      <c r="B31" s="114" t="s">
        <v>115</v>
      </c>
      <c r="C31" s="109" t="str">
        <f>VLOOKUP(Table25755252691013434446474849565758596315181719224566677172737476777879939495100104109111113115117127[[#This Row],[PEG]],Table1016[#All],2,FALSE)</f>
        <v>It seems you are having trouble. For future transactions you can also access your plan details, or manage your account online anytime at members.lacare.com. One moment while I get someone to help. Make sure to have your invoice available.</v>
      </c>
      <c r="D31" s="117" t="s">
        <v>361</v>
      </c>
      <c r="E31" s="125" t="str">
        <f>VLOOKUP(Table25755252691013434446474849565758596315181719224566677172737476777879939495100104109111113115117127[[#This Row],[PEG]],Table1016[#All],3,FALSE)</f>
        <v>Prompt</v>
      </c>
    </row>
    <row r="32" spans="1:5" x14ac:dyDescent="0.35">
      <c r="A32" s="118">
        <v>25</v>
      </c>
      <c r="B32" s="114" t="s">
        <v>13</v>
      </c>
      <c r="C32" s="109" t="s">
        <v>13</v>
      </c>
      <c r="D32" s="117"/>
      <c r="E32" s="125" t="e">
        <f>VLOOKUP(Table25755252691013434446474849565758596315181719224566677172737476777879939495100104109111113115117127[[#This Row],[PEG]],Table1016[#All],3,FALSE)</f>
        <v>#N/A</v>
      </c>
    </row>
  </sheetData>
  <mergeCells count="1">
    <mergeCell ref="A1:B1"/>
  </mergeCells>
  <conditionalFormatting sqref="B31:B32">
    <cfRule type="containsText" dxfId="3987" priority="13" operator="containsText" text="Hear">
      <formula>NOT(ISERROR(SEARCH("Hear",B31)))</formula>
    </cfRule>
  </conditionalFormatting>
  <conditionalFormatting sqref="B30">
    <cfRule type="containsText" dxfId="3986" priority="10" operator="containsText" text="Hear">
      <formula>NOT(ISERROR(SEARCH("Hear",B30)))</formula>
    </cfRule>
  </conditionalFormatting>
  <conditionalFormatting sqref="B29">
    <cfRule type="containsText" dxfId="3985" priority="6" operator="containsText" text="Hear">
      <formula>NOT(ISERROR(SEARCH("Hear",B29)))</formula>
    </cfRule>
  </conditionalFormatting>
  <conditionalFormatting sqref="B8:B18">
    <cfRule type="containsText" dxfId="3984" priority="4" operator="containsText" text="Hear">
      <formula>NOT(ISERROR(SEARCH("Hear",B8)))</formula>
    </cfRule>
  </conditionalFormatting>
  <conditionalFormatting sqref="B19:B28">
    <cfRule type="containsText" dxfId="3983" priority="5" operator="containsText" text="Hear">
      <formula>NOT(ISERROR(SEARCH("Hear",B19)))</formula>
    </cfRule>
  </conditionalFormatting>
  <conditionalFormatting sqref="C8:C32">
    <cfRule type="expression" dxfId="3982" priority="2">
      <formula>$B8="Dial"</formula>
    </cfRule>
    <cfRule type="expression" dxfId="3981" priority="3">
      <formula>$B8="HANGUP"</formula>
    </cfRule>
  </conditionalFormatting>
  <conditionalFormatting sqref="C8:C32">
    <cfRule type="expression" dxfId="3980" priority="1">
      <formula>$B8="Speak"</formula>
    </cfRule>
  </conditionalFormatting>
  <hyperlinks>
    <hyperlink ref="A1" location="'Test Case Overview'!A1" display="Return to Test Case Overview" xr:uid="{36BD45AB-5A8C-4B3C-AF45-04CA5EF703CB}"/>
  </hyperlinks>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containsText" priority="1683" operator="containsText" text="DB" id="{1982E940-09C6-42FA-903F-BD800988F63A}">
            <xm:f>NOT(ISERROR(SEARCH("DB",'TC1'!#REF!)))</xm:f>
            <x14:dxf>
              <font>
                <color rgb="FF006100"/>
              </font>
              <fill>
                <patternFill>
                  <bgColor rgb="FFC6EFCE"/>
                </patternFill>
              </fill>
            </x14:dxf>
          </x14:cfRule>
          <x14:cfRule type="containsText" priority="1684" operator="containsText" text="WEB SERVICE" id="{3CFD3EB8-A685-4799-A735-F068CF37A7EB}">
            <xm:f>NOT(ISERROR(SEARCH("WEB SERVICE",'TC1'!#REF!)))</xm:f>
            <x14:dxf>
              <font>
                <color rgb="FF9C0006"/>
              </font>
              <fill>
                <patternFill>
                  <bgColor rgb="FFFFC7CE"/>
                </patternFill>
              </fill>
            </x14:dxf>
          </x14:cfRule>
          <xm:sqref>E17:E32</xm:sqref>
        </x14:conditionalFormatting>
        <x14:conditionalFormatting xmlns:xm="http://schemas.microsoft.com/office/excel/2006/main">
          <x14:cfRule type="containsText" priority="4451" operator="containsText" text="DB" id="{1982E940-09C6-42FA-903F-BD800988F63A}">
            <xm:f>NOT(ISERROR(SEARCH("DB",'TC1'!#REF!)))</xm:f>
            <x14:dxf>
              <font>
                <color rgb="FF006100"/>
              </font>
              <fill>
                <patternFill>
                  <bgColor rgb="FFC6EFCE"/>
                </patternFill>
              </fill>
            </x14:dxf>
          </x14:cfRule>
          <x14:cfRule type="containsText" priority="4452" operator="containsText" text="WEB SERVICE" id="{3CFD3EB8-A685-4799-A735-F068CF37A7EB}">
            <xm:f>NOT(ISERROR(SEARCH("WEB SERVICE",'TC1'!#REF!)))</xm:f>
            <x14:dxf>
              <font>
                <color rgb="FF9C0006"/>
              </font>
              <fill>
                <patternFill>
                  <bgColor rgb="FFFFC7CE"/>
                </patternFill>
              </fill>
            </x14:dxf>
          </x14:cfRule>
          <xm:sqref>E9:E11</xm:sqref>
        </x14:conditionalFormatting>
        <x14:conditionalFormatting xmlns:xm="http://schemas.microsoft.com/office/excel/2006/main">
          <x14:cfRule type="containsText" priority="4453" operator="containsText" text="DB" id="{1982E940-09C6-42FA-903F-BD800988F63A}">
            <xm:f>NOT(ISERROR(SEARCH("DB",'TC1'!E9)))</xm:f>
            <x14:dxf>
              <font>
                <color rgb="FF006100"/>
              </font>
              <fill>
                <patternFill>
                  <bgColor rgb="FFC6EFCE"/>
                </patternFill>
              </fill>
            </x14:dxf>
          </x14:cfRule>
          <x14:cfRule type="containsText" priority="4454" operator="containsText" text="WEB SERVICE" id="{3CFD3EB8-A685-4799-A735-F068CF37A7EB}">
            <xm:f>NOT(ISERROR(SEARCH("WEB SERVICE",'TC1'!E9)))</xm:f>
            <x14:dxf>
              <font>
                <color rgb="FF9C0006"/>
              </font>
              <fill>
                <patternFill>
                  <bgColor rgb="FFFFC7CE"/>
                </patternFill>
              </fill>
            </x14:dxf>
          </x14:cfRule>
          <xm:sqref>E12:E15</xm:sqref>
        </x14:conditionalFormatting>
        <x14:conditionalFormatting xmlns:xm="http://schemas.microsoft.com/office/excel/2006/main">
          <x14:cfRule type="containsText" priority="6887" operator="containsText" text="DB" id="{1982E940-09C6-42FA-903F-BD800988F63A}">
            <xm:f>NOT(ISERROR(SEARCH("DB",'TC1'!E15)))</xm:f>
            <x14:dxf>
              <font>
                <color rgb="FF006100"/>
              </font>
              <fill>
                <patternFill>
                  <bgColor rgb="FFC6EFCE"/>
                </patternFill>
              </fill>
            </x14:dxf>
          </x14:cfRule>
          <x14:cfRule type="containsText" priority="6888" operator="containsText" text="WEB SERVICE" id="{3CFD3EB8-A685-4799-A735-F068CF37A7EB}">
            <xm:f>NOT(ISERROR(SEARCH("WEB SERVICE",'TC1'!E15)))</xm:f>
            <x14:dxf>
              <font>
                <color rgb="FF9C0006"/>
              </font>
              <fill>
                <patternFill>
                  <bgColor rgb="FFFFC7CE"/>
                </patternFill>
              </fill>
            </x14:dxf>
          </x14:cfRule>
          <xm:sqref>E16</xm:sqref>
        </x14:conditionalFormatting>
      </x14:conditionalFormattings>
    </ext>
  </extLst>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73"/>
  <dimension ref="A1:E42"/>
  <sheetViews>
    <sheetView zoomScaleNormal="100" workbookViewId="0">
      <selection activeCell="A2" sqref="A2"/>
    </sheetView>
  </sheetViews>
  <sheetFormatPr defaultRowHeight="14.5" x14ac:dyDescent="0.35"/>
  <cols>
    <col min="1" max="1" width="14.453125" bestFit="1" customWidth="1"/>
    <col min="2" max="2" width="42.6328125" customWidth="1"/>
    <col min="3" max="3" width="106.1796875" customWidth="1"/>
    <col min="4" max="4" width="21.81640625" bestFit="1" customWidth="1"/>
    <col min="5" max="5" width="20.6328125" customWidth="1"/>
  </cols>
  <sheetData>
    <row r="1" spans="1:5" ht="18.5" x14ac:dyDescent="0.35">
      <c r="A1" s="192" t="s">
        <v>4</v>
      </c>
      <c r="B1" s="192"/>
      <c r="C1" s="105"/>
      <c r="D1" s="111"/>
      <c r="E1" s="97"/>
    </row>
    <row r="2" spans="1:5" x14ac:dyDescent="0.35">
      <c r="A2" s="106" t="s">
        <v>5</v>
      </c>
      <c r="B2" s="107" t="str">
        <f ca="1">MID(CELL("filename",A1),FIND("]",CELL("filename",A1))+1,LEN(CELL("filename",A1))-FIND("]",CELL("filename",A1)))</f>
        <v>TC71</v>
      </c>
      <c r="C2" s="98"/>
      <c r="D2" s="111"/>
      <c r="E2" s="97"/>
    </row>
    <row r="3" spans="1:5" x14ac:dyDescent="0.35">
      <c r="A3" s="104" t="s">
        <v>19</v>
      </c>
      <c r="B3" s="112" t="e">
        <f ca="1">VLOOKUP(B2,Table1[#All],2,FALSE)</f>
        <v>#N/A</v>
      </c>
      <c r="C3" s="98"/>
      <c r="D3" s="111"/>
      <c r="E3" s="97"/>
    </row>
    <row r="4" spans="1:5" ht="29" x14ac:dyDescent="0.35">
      <c r="A4" s="113" t="s">
        <v>20</v>
      </c>
      <c r="B4" s="99" t="e">
        <f ca="1">VLOOKUP(B2,Table1[#All],4,FALSE)</f>
        <v>#N/A</v>
      </c>
      <c r="C4" s="98"/>
      <c r="D4" s="111"/>
      <c r="E4" s="97"/>
    </row>
    <row r="5" spans="1:5" x14ac:dyDescent="0.35">
      <c r="A5" s="104" t="s">
        <v>6</v>
      </c>
      <c r="B5" s="93" t="e">
        <f ca="1">VLOOKUP(B2,Table1[#All],3,FALSE)</f>
        <v>#N/A</v>
      </c>
      <c r="C5" s="98"/>
      <c r="D5" s="111"/>
      <c r="E5" s="97"/>
    </row>
    <row r="6" spans="1:5" x14ac:dyDescent="0.35">
      <c r="A6" s="97"/>
      <c r="B6" s="97"/>
      <c r="C6" s="98"/>
      <c r="D6" s="111"/>
      <c r="E6" s="97"/>
    </row>
    <row r="7" spans="1:5" ht="15.5" x14ac:dyDescent="0.35">
      <c r="A7" s="100" t="s">
        <v>7</v>
      </c>
      <c r="B7" s="101" t="s">
        <v>8</v>
      </c>
      <c r="C7" s="102" t="s">
        <v>9</v>
      </c>
      <c r="D7" s="102" t="s">
        <v>14</v>
      </c>
      <c r="E7" s="103" t="s">
        <v>10</v>
      </c>
    </row>
    <row r="8" spans="1:5" x14ac:dyDescent="0.35">
      <c r="A8" s="118">
        <v>1</v>
      </c>
      <c r="B8" s="114" t="s">
        <v>114</v>
      </c>
      <c r="C8" s="109" t="s">
        <v>125</v>
      </c>
      <c r="D8" s="128"/>
      <c r="E8" s="125" t="s">
        <v>11</v>
      </c>
    </row>
    <row r="9" spans="1:5" x14ac:dyDescent="0.35">
      <c r="A9" s="118">
        <v>2</v>
      </c>
      <c r="B9" s="114" t="s">
        <v>12</v>
      </c>
      <c r="C9" s="109" t="e">
        <f>VLOOKUP(Table25755252691013434446474849565758596315181719224566677172737476777879939495100104109111113115117129[[#This Row],[PEG]],Table1016[#All],2,FALSE)</f>
        <v>#N/A</v>
      </c>
      <c r="D9" s="128"/>
      <c r="E9" s="125" t="e">
        <f>VLOOKUP(Table25755252691013434446474849565758596315181719224566677172737476777879939495100104109111113115117129[[#This Row],[PEG]],Table1016[#All],3,FALSE)</f>
        <v>#N/A</v>
      </c>
    </row>
    <row r="10" spans="1:5" x14ac:dyDescent="0.35">
      <c r="A10" s="118">
        <v>3</v>
      </c>
      <c r="B10" s="114" t="s">
        <v>115</v>
      </c>
      <c r="C10" s="109" t="e">
        <f>VLOOKUP(Table25755252691013434446474849565758596315181719224566677172737476777879939495100104109111113115117129[[#This Row],[PEG]],Table1016[#All],2,FALSE)</f>
        <v>#N/A</v>
      </c>
      <c r="D10" s="128"/>
      <c r="E10" s="125" t="e">
        <f>VLOOKUP(Table25755252691013434446474849565758596315181719224566677172737476777879939495100104109111113115117129[[#This Row],[PEG]],Table1016[#All],3,FALSE)</f>
        <v>#N/A</v>
      </c>
    </row>
    <row r="11" spans="1:5" x14ac:dyDescent="0.35">
      <c r="A11" s="118">
        <v>4</v>
      </c>
      <c r="B11" s="114" t="s">
        <v>115</v>
      </c>
      <c r="C11" s="109" t="e">
        <f>VLOOKUP(Table25755252691013434446474849565758596315181719224566677172737476777879939495100104109111113115117129[[#This Row],[PEG]],Table1016[#All],2,FALSE)</f>
        <v>#N/A</v>
      </c>
      <c r="D11" s="128"/>
      <c r="E11" s="125" t="e">
        <f>VLOOKUP(Table25755252691013434446474849565758596315181719224566677172737476777879939495100104109111113115117129[[#This Row],[PEG]],Table1016[#All],3,FALSE)</f>
        <v>#N/A</v>
      </c>
    </row>
    <row r="12" spans="1:5" x14ac:dyDescent="0.35">
      <c r="A12" s="118">
        <v>5</v>
      </c>
      <c r="B12" s="114" t="s">
        <v>114</v>
      </c>
      <c r="C12" s="109" t="e">
        <f>VLOOKUP(Table25755252691013434446474849565758596315181719224566677172737476777879939495100104109111113115117129[[#This Row],[PEG]],Table1016[#All],2,FALSE)</f>
        <v>#N/A</v>
      </c>
      <c r="D12" s="128"/>
      <c r="E12" s="125" t="e">
        <f>VLOOKUP(Table25755252691013434446474849565758596315181719224566677172737476777879939495100104109111113115117129[[#This Row],[PEG]],Table1016[#All],3,FALSE)</f>
        <v>#N/A</v>
      </c>
    </row>
    <row r="13" spans="1:5" x14ac:dyDescent="0.35">
      <c r="A13" s="118">
        <v>6</v>
      </c>
      <c r="B13" s="114" t="s">
        <v>115</v>
      </c>
      <c r="C13" s="109" t="e">
        <f>VLOOKUP(Table25755252691013434446474849565758596315181719224566677172737476777879939495100104109111113115117129[[#This Row],[PEG]],Table1016[#All],2,FALSE)</f>
        <v>#N/A</v>
      </c>
      <c r="D13" s="128"/>
      <c r="E13" s="125" t="e">
        <f>VLOOKUP(Table25755252691013434446474849565758596315181719224566677172737476777879939495100104109111113115117129[[#This Row],[PEG]],Table1016[#All],3,FALSE)</f>
        <v>#N/A</v>
      </c>
    </row>
    <row r="14" spans="1:5" x14ac:dyDescent="0.35">
      <c r="A14" s="118">
        <v>7</v>
      </c>
      <c r="B14" s="114" t="s">
        <v>114</v>
      </c>
      <c r="C14" s="109" t="e">
        <f>VLOOKUP(Table25755252691013434446474849565758596315181719224566677172737476777879939495100104109111113115117129[[#This Row],[PEG]],Table1016[#All],2,FALSE)</f>
        <v>#N/A</v>
      </c>
      <c r="D14" s="128"/>
      <c r="E14" s="125" t="e">
        <f>VLOOKUP(Table25755252691013434446474849565758596315181719224566677172737476777879939495100104109111113115117129[[#This Row],[PEG]],Table1016[#All],3,FALSE)</f>
        <v>#N/A</v>
      </c>
    </row>
    <row r="15" spans="1:5" x14ac:dyDescent="0.35">
      <c r="A15" s="118">
        <v>8</v>
      </c>
      <c r="B15" s="114" t="s">
        <v>115</v>
      </c>
      <c r="C15" s="109" t="e">
        <f>VLOOKUP(Table25755252691013434446474849565758596315181719224566677172737476777879939495100104109111113115117129[[#This Row],[PEG]],Table1016[#All],2,FALSE)</f>
        <v>#N/A</v>
      </c>
      <c r="D15" s="116"/>
      <c r="E15" s="125" t="e">
        <f>VLOOKUP(Table25755252691013434446474849565758596315181719224566677172737476777879939495100104109111113115117129[[#This Row],[PEG]],Table1016[#All],3,FALSE)</f>
        <v>#N/A</v>
      </c>
    </row>
    <row r="16" spans="1:5" x14ac:dyDescent="0.35">
      <c r="A16" s="118">
        <v>9</v>
      </c>
      <c r="B16" s="114" t="s">
        <v>12</v>
      </c>
      <c r="C16" s="109" t="e">
        <f>VLOOKUP(Table25755252691013434446474849565758596315181719224566677172737476777879939495100104109111113115117129[[#This Row],[PEG]],Table1016[#All],2,FALSE)</f>
        <v>#N/A</v>
      </c>
      <c r="D16" s="116"/>
      <c r="E16" s="125" t="e">
        <f>VLOOKUP(Table25755252691013434446474849565758596315181719224566677172737476777879939495100104109111113115117129[[#This Row],[PEG]],Table1016[#All],3,FALSE)</f>
        <v>#N/A</v>
      </c>
    </row>
    <row r="17" spans="1:5" x14ac:dyDescent="0.35">
      <c r="A17" s="118">
        <v>10</v>
      </c>
      <c r="B17" s="114" t="s">
        <v>12</v>
      </c>
      <c r="C17" s="109" t="e">
        <f>VLOOKUP(Table25755252691013434446474849565758596315181719224566677172737476777879939495100104109111113115117129[[#This Row],[PEG]],Table1016[#All],2,FALSE)</f>
        <v>#N/A</v>
      </c>
      <c r="D17" s="117"/>
      <c r="E17" s="125" t="e">
        <f>VLOOKUP(Table25755252691013434446474849565758596315181719224566677172737476777879939495100104109111113115117129[[#This Row],[PEG]],Table1016[#All],3,FALSE)</f>
        <v>#N/A</v>
      </c>
    </row>
    <row r="18" spans="1:5" x14ac:dyDescent="0.35">
      <c r="A18" s="118">
        <v>11</v>
      </c>
      <c r="B18" s="114" t="s">
        <v>115</v>
      </c>
      <c r="C18" s="109" t="e">
        <f>VLOOKUP(Table25755252691013434446474849565758596315181719224566677172737476777879939495100104109111113115117129[[#This Row],[PEG]],Table1016[#All],2,FALSE)</f>
        <v>#N/A</v>
      </c>
      <c r="D18" s="117"/>
      <c r="E18" s="125" t="e">
        <f>VLOOKUP(Table25755252691013434446474849565758596315181719224566677172737476777879939495100104109111113115117129[[#This Row],[PEG]],Table1016[#All],3,FALSE)</f>
        <v>#N/A</v>
      </c>
    </row>
    <row r="19" spans="1:5" x14ac:dyDescent="0.35">
      <c r="A19" s="118">
        <v>12</v>
      </c>
      <c r="B19" s="114" t="s">
        <v>115</v>
      </c>
      <c r="C19" s="109" t="e">
        <f>VLOOKUP(Table25755252691013434446474849565758596315181719224566677172737476777879939495100104109111113115117129[[#This Row],[PEG]],Table1016[#All],2,FALSE)</f>
        <v>#N/A</v>
      </c>
      <c r="D19" s="117"/>
      <c r="E19" s="125" t="e">
        <f>VLOOKUP(Table25755252691013434446474849565758596315181719224566677172737476777879939495100104109111113115117129[[#This Row],[PEG]],Table1016[#All],3,FALSE)</f>
        <v>#N/A</v>
      </c>
    </row>
    <row r="20" spans="1:5" x14ac:dyDescent="0.35">
      <c r="A20" s="118">
        <v>13</v>
      </c>
      <c r="B20" s="114" t="s">
        <v>114</v>
      </c>
      <c r="C20" s="109" t="e">
        <f>VLOOKUP(Table25755252691013434446474849565758596315181719224566677172737476777879939495100104109111113115117129[[#This Row],[PEG]],Table1016[#All],2,FALSE)</f>
        <v>#N/A</v>
      </c>
      <c r="D20" s="117"/>
      <c r="E20" s="125" t="e">
        <f>VLOOKUP(Table25755252691013434446474849565758596315181719224566677172737476777879939495100104109111113115117129[[#This Row],[PEG]],Table1016[#All],3,FALSE)</f>
        <v>#N/A</v>
      </c>
    </row>
    <row r="21" spans="1:5" x14ac:dyDescent="0.35">
      <c r="A21" s="118">
        <v>14</v>
      </c>
      <c r="B21" s="114" t="s">
        <v>12</v>
      </c>
      <c r="C21" s="109" t="e">
        <f>VLOOKUP(Table25755252691013434446474849565758596315181719224566677172737476777879939495100104109111113115117129[[#This Row],[PEG]],Table1016[#All],2,FALSE)</f>
        <v>#N/A</v>
      </c>
      <c r="D21" s="117"/>
      <c r="E21" s="125" t="e">
        <f>VLOOKUP(Table25755252691013434446474849565758596315181719224566677172737476777879939495100104109111113115117129[[#This Row],[PEG]],Table1016[#All],3,FALSE)</f>
        <v>#N/A</v>
      </c>
    </row>
    <row r="22" spans="1:5" x14ac:dyDescent="0.35">
      <c r="A22" s="118">
        <v>15</v>
      </c>
      <c r="B22" s="114" t="s">
        <v>12</v>
      </c>
      <c r="C22" s="109" t="e">
        <f>VLOOKUP(Table25755252691013434446474849565758596315181719224566677172737476777879939495100104109111113115117129[[#This Row],[PEG]],Table1016[#All],2,FALSE)</f>
        <v>#N/A</v>
      </c>
      <c r="D22" s="117"/>
      <c r="E22" s="125" t="e">
        <f>VLOOKUP(Table25755252691013434446474849565758596315181719224566677172737476777879939495100104109111113115117129[[#This Row],[PEG]],Table1016[#All],3,FALSE)</f>
        <v>#N/A</v>
      </c>
    </row>
    <row r="23" spans="1:5" x14ac:dyDescent="0.35">
      <c r="A23" s="118">
        <v>16</v>
      </c>
      <c r="B23" s="114" t="s">
        <v>115</v>
      </c>
      <c r="C23" s="109" t="e">
        <f>VLOOKUP(Table25755252691013434446474849565758596315181719224566677172737476777879939495100104109111113115117129[[#This Row],[PEG]],Table1016[#All],2,FALSE)</f>
        <v>#N/A</v>
      </c>
      <c r="D23" s="117"/>
      <c r="E23" s="125" t="e">
        <f>VLOOKUP(Table25755252691013434446474849565758596315181719224566677172737476777879939495100104109111113115117129[[#This Row],[PEG]],Table1016[#All],3,FALSE)</f>
        <v>#N/A</v>
      </c>
    </row>
    <row r="24" spans="1:5" x14ac:dyDescent="0.35">
      <c r="A24" s="118">
        <v>17</v>
      </c>
      <c r="B24" s="114" t="s">
        <v>114</v>
      </c>
      <c r="C24" s="109" t="e">
        <f>VLOOKUP(Table25755252691013434446474849565758596315181719224566677172737476777879939495100104109111113115117129[[#This Row],[PEG]],Table1016[#All],2,FALSE)</f>
        <v>#N/A</v>
      </c>
      <c r="D24" s="117"/>
      <c r="E24" s="125" t="e">
        <f>VLOOKUP(Table25755252691013434446474849565758596315181719224566677172737476777879939495100104109111113115117129[[#This Row],[PEG]],Table1016[#All],3,FALSE)</f>
        <v>#N/A</v>
      </c>
    </row>
    <row r="25" spans="1:5" x14ac:dyDescent="0.35">
      <c r="A25" s="118">
        <v>18</v>
      </c>
      <c r="B25" s="114" t="s">
        <v>12</v>
      </c>
      <c r="C25" s="109" t="e">
        <f>VLOOKUP(Table25755252691013434446474849565758596315181719224566677172737476777879939495100104109111113115117129[[#This Row],[PEG]],Table1016[#All],2,FALSE)</f>
        <v>#N/A</v>
      </c>
      <c r="D25" s="117"/>
      <c r="E25" s="125" t="e">
        <f>VLOOKUP(Table25755252691013434446474849565758596315181719224566677172737476777879939495100104109111113115117129[[#This Row],[PEG]],Table1016[#All],3,FALSE)</f>
        <v>#N/A</v>
      </c>
    </row>
    <row r="26" spans="1:5" x14ac:dyDescent="0.35">
      <c r="A26" s="118">
        <v>19</v>
      </c>
      <c r="B26" s="114" t="s">
        <v>12</v>
      </c>
      <c r="C26" s="109" t="e">
        <f>VLOOKUP(Table25755252691013434446474849565758596315181719224566677172737476777879939495100104109111113115117129[[#This Row],[PEG]],Table1016[#All],2,FALSE)</f>
        <v>#N/A</v>
      </c>
      <c r="D26" s="117"/>
      <c r="E26" s="125" t="e">
        <f>VLOOKUP(Table25755252691013434446474849565758596315181719224566677172737476777879939495100104109111113115117129[[#This Row],[PEG]],Table1016[#All],3,FALSE)</f>
        <v>#N/A</v>
      </c>
    </row>
    <row r="27" spans="1:5" x14ac:dyDescent="0.35">
      <c r="A27" s="118">
        <v>20</v>
      </c>
      <c r="B27" s="114" t="s">
        <v>115</v>
      </c>
      <c r="C27" s="109" t="e">
        <f>VLOOKUP(Table25755252691013434446474849565758596315181719224566677172737476777879939495100104109111113115117129[[#This Row],[PEG]],Table1016[#All],2,FALSE)</f>
        <v>#N/A</v>
      </c>
      <c r="D27" s="117"/>
      <c r="E27" s="125" t="e">
        <f>VLOOKUP(Table25755252691013434446474849565758596315181719224566677172737476777879939495100104109111113115117129[[#This Row],[PEG]],Table1016[#All],3,FALSE)</f>
        <v>#N/A</v>
      </c>
    </row>
    <row r="28" spans="1:5" x14ac:dyDescent="0.35">
      <c r="A28" s="118">
        <v>21</v>
      </c>
      <c r="B28" s="114" t="s">
        <v>114</v>
      </c>
      <c r="C28" s="109" t="e">
        <f>VLOOKUP(Table25755252691013434446474849565758596315181719224566677172737476777879939495100104109111113115117129[[#This Row],[PEG]],Table1016[#All],2,FALSE)</f>
        <v>#N/A</v>
      </c>
      <c r="D28" s="117"/>
      <c r="E28" s="125" t="e">
        <f>VLOOKUP(Table25755252691013434446474849565758596315181719224566677172737476777879939495100104109111113115117129[[#This Row],[PEG]],Table1016[#All],3,FALSE)</f>
        <v>#N/A</v>
      </c>
    </row>
    <row r="29" spans="1:5" x14ac:dyDescent="0.35">
      <c r="A29" s="118">
        <v>22</v>
      </c>
      <c r="B29" s="114" t="s">
        <v>12</v>
      </c>
      <c r="C29" s="109" t="e">
        <f>VLOOKUP(Table25755252691013434446474849565758596315181719224566677172737476777879939495100104109111113115117129[[#This Row],[PEG]],Table1016[#All],2,FALSE)</f>
        <v>#N/A</v>
      </c>
      <c r="D29" s="117"/>
      <c r="E29" s="125" t="e">
        <f>VLOOKUP(Table25755252691013434446474849565758596315181719224566677172737476777879939495100104109111113115117129[[#This Row],[PEG]],Table1016[#All],3,FALSE)</f>
        <v>#N/A</v>
      </c>
    </row>
    <row r="30" spans="1:5" x14ac:dyDescent="0.35">
      <c r="A30" s="118">
        <v>23</v>
      </c>
      <c r="B30" s="114" t="s">
        <v>12</v>
      </c>
      <c r="C30" s="109" t="e">
        <f>VLOOKUP(Table25755252691013434446474849565758596315181719224566677172737476777879939495100104109111113115117129[[#This Row],[PEG]],Table1016[#All],2,FALSE)</f>
        <v>#N/A</v>
      </c>
      <c r="D30" s="117"/>
      <c r="E30" s="125" t="e">
        <f>VLOOKUP(Table25755252691013434446474849565758596315181719224566677172737476777879939495100104109111113115117129[[#This Row],[PEG]],Table1016[#All],3,FALSE)</f>
        <v>#N/A</v>
      </c>
    </row>
    <row r="31" spans="1:5" x14ac:dyDescent="0.35">
      <c r="A31" s="118">
        <v>24</v>
      </c>
      <c r="B31" s="114" t="s">
        <v>115</v>
      </c>
      <c r="C31" s="109" t="e">
        <f>VLOOKUP(Table25755252691013434446474849565758596315181719224566677172737476777879939495100104109111113115117129[[#This Row],[PEG]],Table1016[#All],2,FALSE)</f>
        <v>#N/A</v>
      </c>
      <c r="D31" s="117"/>
      <c r="E31" s="125" t="e">
        <f>VLOOKUP(Table25755252691013434446474849565758596315181719224566677172737476777879939495100104109111113115117129[[#This Row],[PEG]],Table1016[#All],3,FALSE)</f>
        <v>#N/A</v>
      </c>
    </row>
    <row r="32" spans="1:5" x14ac:dyDescent="0.35">
      <c r="A32" s="118">
        <v>25</v>
      </c>
      <c r="B32" s="114" t="s">
        <v>115</v>
      </c>
      <c r="C32" s="109" t="e">
        <f>VLOOKUP(Table25755252691013434446474849565758596315181719224566677172737476777879939495100104109111113115117129[[#This Row],[PEG]],Table1016[#All],2,FALSE)</f>
        <v>#N/A</v>
      </c>
      <c r="D32" s="117"/>
      <c r="E32" s="125" t="e">
        <f>VLOOKUP(Table25755252691013434446474849565758596315181719224566677172737476777879939495100104109111113115117129[[#This Row],[PEG]],Table1016[#All],3,FALSE)</f>
        <v>#N/A</v>
      </c>
    </row>
    <row r="33" spans="1:5" x14ac:dyDescent="0.35">
      <c r="A33" s="118">
        <v>26</v>
      </c>
      <c r="B33" s="114" t="s">
        <v>124</v>
      </c>
      <c r="C33" s="109" t="e">
        <f>VLOOKUP(Table25755252691013434446474849565758596315181719224566677172737476777879939495100104109111113115117129[[#This Row],[PEG]],Table1016[#All],2,FALSE)</f>
        <v>#N/A</v>
      </c>
      <c r="D33" s="117"/>
      <c r="E33" s="125" t="e">
        <f>VLOOKUP(Table25755252691013434446474849565758596315181719224566677172737476777879939495100104109111113115117129[[#This Row],[PEG]],Table1016[#All],3,FALSE)</f>
        <v>#N/A</v>
      </c>
    </row>
    <row r="34" spans="1:5" x14ac:dyDescent="0.35">
      <c r="A34" s="118">
        <v>27</v>
      </c>
      <c r="B34" s="114" t="s">
        <v>115</v>
      </c>
      <c r="C34" s="109" t="e">
        <f>VLOOKUP(Table25755252691013434446474849565758596315181719224566677172737476777879939495100104109111113115117129[[#This Row],[PEG]],Table1016[#All],2,FALSE)</f>
        <v>#N/A</v>
      </c>
      <c r="D34" s="117"/>
      <c r="E34" s="125" t="e">
        <f>VLOOKUP(Table25755252691013434446474849565758596315181719224566677172737476777879939495100104109111113115117129[[#This Row],[PEG]],Table1016[#All],3,FALSE)</f>
        <v>#N/A</v>
      </c>
    </row>
    <row r="35" spans="1:5" x14ac:dyDescent="0.35">
      <c r="A35" s="118">
        <v>28</v>
      </c>
      <c r="B35" s="114" t="s">
        <v>124</v>
      </c>
      <c r="C35" s="109" t="e">
        <f>VLOOKUP(Table25755252691013434446474849565758596315181719224566677172737476777879939495100104109111113115117129[[#This Row],[PEG]],Table1016[#All],2,FALSE)</f>
        <v>#N/A</v>
      </c>
      <c r="D35" s="117"/>
      <c r="E35" s="125" t="e">
        <f>VLOOKUP(Table25755252691013434446474849565758596315181719224566677172737476777879939495100104109111113115117129[[#This Row],[PEG]],Table1016[#All],3,FALSE)</f>
        <v>#N/A</v>
      </c>
    </row>
    <row r="36" spans="1:5" x14ac:dyDescent="0.35">
      <c r="A36" s="118">
        <v>29</v>
      </c>
      <c r="B36" s="114" t="s">
        <v>115</v>
      </c>
      <c r="C36" s="109" t="e">
        <f>VLOOKUP(Table25755252691013434446474849565758596315181719224566677172737476777879939495100104109111113115117129[[#This Row],[PEG]],Table1016[#All],2,FALSE)</f>
        <v>#N/A</v>
      </c>
      <c r="D36" s="117"/>
      <c r="E36" s="125" t="e">
        <f>VLOOKUP(Table25755252691013434446474849565758596315181719224566677172737476777879939495100104109111113115117129[[#This Row],[PEG]],Table1016[#All],3,FALSE)</f>
        <v>#N/A</v>
      </c>
    </row>
    <row r="37" spans="1:5" x14ac:dyDescent="0.35">
      <c r="A37" s="118">
        <v>30</v>
      </c>
      <c r="B37" s="114" t="s">
        <v>12</v>
      </c>
      <c r="C37" s="109" t="e">
        <f>VLOOKUP(Table25755252691013434446474849565758596315181719224566677172737476777879939495100104109111113115117129[[#This Row],[PEG]],Table1016[#All],2,FALSE)</f>
        <v>#N/A</v>
      </c>
      <c r="D37" s="117"/>
      <c r="E37" s="125" t="e">
        <f>VLOOKUP(Table25755252691013434446474849565758596315181719224566677172737476777879939495100104109111113115117129[[#This Row],[PEG]],Table1016[#All],3,FALSE)</f>
        <v>#N/A</v>
      </c>
    </row>
    <row r="38" spans="1:5" x14ac:dyDescent="0.35">
      <c r="A38" s="118">
        <v>31</v>
      </c>
      <c r="B38" s="114" t="s">
        <v>12</v>
      </c>
      <c r="C38" s="109" t="e">
        <f>VLOOKUP(Table25755252691013434446474849565758596315181719224566677172737476777879939495100104109111113115117129[[#This Row],[PEG]],Table1016[#All],2,FALSE)</f>
        <v>#N/A</v>
      </c>
      <c r="D38" s="117"/>
      <c r="E38" s="125" t="e">
        <f>VLOOKUP(Table25755252691013434446474849565758596315181719224566677172737476777879939495100104109111113115117129[[#This Row],[PEG]],Table1016[#All],3,FALSE)</f>
        <v>#N/A</v>
      </c>
    </row>
    <row r="39" spans="1:5" x14ac:dyDescent="0.35">
      <c r="A39" s="118">
        <v>32</v>
      </c>
      <c r="B39" s="114" t="s">
        <v>12</v>
      </c>
      <c r="C39" s="109" t="e">
        <f>VLOOKUP(Table25755252691013434446474849565758596315181719224566677172737476777879939495100104109111113115117129[[#This Row],[PEG]],Table1016[#All],2,FALSE)</f>
        <v>#N/A</v>
      </c>
      <c r="D39" s="117"/>
      <c r="E39" s="125" t="e">
        <f>VLOOKUP(Table25755252691013434446474849565758596315181719224566677172737476777879939495100104109111113115117129[[#This Row],[PEG]],Table1016[#All],3,FALSE)</f>
        <v>#N/A</v>
      </c>
    </row>
    <row r="40" spans="1:5" x14ac:dyDescent="0.35">
      <c r="A40" s="118">
        <v>33</v>
      </c>
      <c r="B40" s="114" t="s">
        <v>12</v>
      </c>
      <c r="C40" s="109" t="e">
        <f>VLOOKUP(Table25755252691013434446474849565758596315181719224566677172737476777879939495100104109111113115117129[[#This Row],[PEG]],Table1016[#All],2,FALSE)</f>
        <v>#N/A</v>
      </c>
      <c r="D40" s="117"/>
      <c r="E40" s="125" t="e">
        <f>VLOOKUP(Table25755252691013434446474849565758596315181719224566677172737476777879939495100104109111113115117129[[#This Row],[PEG]],Table1016[#All],3,FALSE)</f>
        <v>#N/A</v>
      </c>
    </row>
    <row r="41" spans="1:5" x14ac:dyDescent="0.35">
      <c r="A41" s="118">
        <v>34</v>
      </c>
      <c r="B41" s="114" t="s">
        <v>115</v>
      </c>
      <c r="C41" s="109" t="e">
        <f>VLOOKUP(Table25755252691013434446474849565758596315181719224566677172737476777879939495100104109111113115117129[[#This Row],[PEG]],Table1016[#All],2,FALSE)</f>
        <v>#N/A</v>
      </c>
      <c r="D41" s="117"/>
      <c r="E41" s="125" t="e">
        <f>VLOOKUP(Table25755252691013434446474849565758596315181719224566677172737476777879939495100104109111113115117129[[#This Row],[PEG]],Table1016[#All],3,FALSE)</f>
        <v>#N/A</v>
      </c>
    </row>
    <row r="42" spans="1:5" x14ac:dyDescent="0.35">
      <c r="A42" s="118">
        <v>35</v>
      </c>
      <c r="B42" s="114" t="s">
        <v>13</v>
      </c>
      <c r="C42" s="18" t="s">
        <v>13</v>
      </c>
      <c r="D42" s="115"/>
      <c r="E42" s="32"/>
    </row>
  </sheetData>
  <mergeCells count="1">
    <mergeCell ref="A1:B1"/>
  </mergeCells>
  <conditionalFormatting sqref="B8:B18">
    <cfRule type="containsText" dxfId="3971" priority="1" operator="containsText" text="Hear">
      <formula>NOT(ISERROR(SEARCH("Hear",B8)))</formula>
    </cfRule>
  </conditionalFormatting>
  <conditionalFormatting sqref="B36:B38 B40:B41">
    <cfRule type="containsText" dxfId="3970" priority="3" operator="containsText" text="Hear">
      <formula>NOT(ISERROR(SEARCH("Hear",B36)))</formula>
    </cfRule>
  </conditionalFormatting>
  <conditionalFormatting sqref="B19:B29 B31:B35 B42">
    <cfRule type="containsText" dxfId="3969" priority="7" operator="containsText" text="Hear">
      <formula>NOT(ISERROR(SEARCH("Hear",B19)))</formula>
    </cfRule>
  </conditionalFormatting>
  <conditionalFormatting sqref="E42">
    <cfRule type="containsText" dxfId="3968" priority="5" operator="containsText" text="WEB SERVICE">
      <formula>NOT(ISERROR(SEARCH("WEB SERVICE",E42)))</formula>
    </cfRule>
    <cfRule type="containsText" dxfId="3967" priority="6" operator="containsText" text="DB">
      <formula>NOT(ISERROR(SEARCH("DB",E42)))</formula>
    </cfRule>
  </conditionalFormatting>
  <conditionalFormatting sqref="C42">
    <cfRule type="expression" dxfId="3966" priority="10">
      <formula>$B42="HANGUP"</formula>
    </cfRule>
  </conditionalFormatting>
  <conditionalFormatting sqref="B30">
    <cfRule type="containsText" dxfId="3965" priority="4" operator="containsText" text="Hear">
      <formula>NOT(ISERROR(SEARCH("Hear",B30)))</formula>
    </cfRule>
  </conditionalFormatting>
  <hyperlinks>
    <hyperlink ref="A1" location="'Test Case Overview'!A1" display="Return to Test Case Overview" xr:uid="{D5364767-9CB8-43A6-A6D1-23B64B5019E4}"/>
  </hyperlinks>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expression" priority="11" id="{A6E4A480-61C5-48F9-A57F-D728E556A81D}">
            <xm:f>'TC1'!$B8="HANGUP"</xm:f>
            <x14:dxf>
              <font>
                <b/>
                <i val="0"/>
              </font>
            </x14:dxf>
          </x14:cfRule>
          <x14:cfRule type="expression" priority="12" id="{DC129306-33F5-4EF0-959E-60891A561973}">
            <xm:f>'TC1'!$B8="Dial"</xm:f>
            <x14:dxf>
              <font>
                <b/>
                <i val="0"/>
                <color rgb="FFFF0000"/>
              </font>
            </x14:dxf>
          </x14:cfRule>
          <xm:sqref>C8</xm:sqref>
        </x14:conditionalFormatting>
        <x14:conditionalFormatting xmlns:xm="http://schemas.microsoft.com/office/excel/2006/main">
          <x14:cfRule type="expression" priority="13" id="{FEED2EC3-81C2-4E6B-BA2D-A21AA4D84858}">
            <xm:f>'TC1'!$B8="Speak"</xm:f>
            <x14:dxf>
              <font>
                <b/>
                <i val="0"/>
                <color rgb="FFFF0000"/>
              </font>
            </x14:dxf>
          </x14:cfRule>
          <xm:sqref>C8</xm:sqref>
        </x14:conditionalFormatting>
        <x14:conditionalFormatting xmlns:xm="http://schemas.microsoft.com/office/excel/2006/main">
          <x14:cfRule type="containsText" priority="2" operator="containsText" text="Hear" id="{B18A7873-2B95-40FC-8B51-B384D2A0A161}">
            <xm:f>NOT(ISERROR(SEARCH("Hear",'TC3'!B34)))</xm:f>
            <x14:dxf>
              <font>
                <color theme="9" tint="-0.24994659260841701"/>
              </font>
              <fill>
                <patternFill>
                  <bgColor theme="9" tint="0.59996337778862885"/>
                </patternFill>
              </fill>
            </x14:dxf>
          </x14:cfRule>
          <xm:sqref>B41</xm:sqref>
        </x14:conditionalFormatting>
        <x14:conditionalFormatting xmlns:xm="http://schemas.microsoft.com/office/excel/2006/main">
          <x14:cfRule type="expression" priority="1683" id="{A6E4A480-61C5-48F9-A57F-D728E556A81D}">
            <xm:f>'TC1'!$B16="HANGUP"</xm:f>
            <x14:dxf>
              <font>
                <b/>
                <i val="0"/>
              </font>
            </x14:dxf>
          </x14:cfRule>
          <x14:cfRule type="expression" priority="1684" id="{DC129306-33F5-4EF0-959E-60891A561973}">
            <xm:f>'TC1'!$B16="Dial"</xm:f>
            <x14:dxf>
              <font>
                <b/>
                <i val="0"/>
                <color rgb="FFFF0000"/>
              </font>
            </x14:dxf>
          </x14:cfRule>
          <xm:sqref>C34:C41</xm:sqref>
        </x14:conditionalFormatting>
        <x14:conditionalFormatting xmlns:xm="http://schemas.microsoft.com/office/excel/2006/main">
          <x14:cfRule type="expression" priority="1685" id="{A6E4A480-61C5-48F9-A57F-D728E556A81D}">
            <xm:f>'TC1'!#REF!="HANGUP"</xm:f>
            <x14:dxf>
              <font>
                <b/>
                <i val="0"/>
              </font>
            </x14:dxf>
          </x14:cfRule>
          <x14:cfRule type="expression" priority="1686" id="{DC129306-33F5-4EF0-959E-60891A561973}">
            <xm:f>'TC1'!#REF!="Dial"</xm:f>
            <x14:dxf>
              <font>
                <b/>
                <i val="0"/>
                <color rgb="FFFF0000"/>
              </font>
            </x14:dxf>
          </x14:cfRule>
          <xm:sqref>C17:C33</xm:sqref>
        </x14:conditionalFormatting>
        <x14:conditionalFormatting xmlns:xm="http://schemas.microsoft.com/office/excel/2006/main">
          <x14:cfRule type="expression" priority="1690" id="{FEED2EC3-81C2-4E6B-BA2D-A21AA4D84858}">
            <xm:f>'TC1'!$B16="Speak"</xm:f>
            <x14:dxf>
              <font>
                <b/>
                <i val="0"/>
                <color rgb="FFFF0000"/>
              </font>
            </x14:dxf>
          </x14:cfRule>
          <xm:sqref>C34:C41</xm:sqref>
        </x14:conditionalFormatting>
        <x14:conditionalFormatting xmlns:xm="http://schemas.microsoft.com/office/excel/2006/main">
          <x14:cfRule type="expression" priority="1691" id="{FEED2EC3-81C2-4E6B-BA2D-A21AA4D84858}">
            <xm:f>'TC1'!#REF!="Speak"</xm:f>
            <x14:dxf>
              <font>
                <b/>
                <i val="0"/>
                <color rgb="FFFF0000"/>
              </font>
            </x14:dxf>
          </x14:cfRule>
          <xm:sqref>C17:C33</xm:sqref>
        </x14:conditionalFormatting>
        <x14:conditionalFormatting xmlns:xm="http://schemas.microsoft.com/office/excel/2006/main">
          <x14:cfRule type="containsText" priority="1695" operator="containsText" text="DB" id="{D4B9A78A-A341-493A-990F-817E6E61ABBA}">
            <xm:f>NOT(ISERROR(SEARCH("DB",'TC1'!E16)))</xm:f>
            <x14:dxf>
              <font>
                <color rgb="FF006100"/>
              </font>
              <fill>
                <patternFill>
                  <bgColor rgb="FFC6EFCE"/>
                </patternFill>
              </fill>
            </x14:dxf>
          </x14:cfRule>
          <x14:cfRule type="containsText" priority="1696" operator="containsText" text="WEB SERVICE" id="{8807406F-33DA-4FBE-97E1-90F3EB5612B2}">
            <xm:f>NOT(ISERROR(SEARCH("WEB SERVICE",'TC1'!E16)))</xm:f>
            <x14:dxf>
              <font>
                <color rgb="FF9C0006"/>
              </font>
              <fill>
                <patternFill>
                  <bgColor rgb="FFFFC7CE"/>
                </patternFill>
              </fill>
            </x14:dxf>
          </x14:cfRule>
          <xm:sqref>E34:E41</xm:sqref>
        </x14:conditionalFormatting>
        <x14:conditionalFormatting xmlns:xm="http://schemas.microsoft.com/office/excel/2006/main">
          <x14:cfRule type="containsText" priority="1697" operator="containsText" text="DB" id="{D4B9A78A-A341-493A-990F-817E6E61ABBA}">
            <xm:f>NOT(ISERROR(SEARCH("DB",'TC1'!#REF!)))</xm:f>
            <x14:dxf>
              <font>
                <color rgb="FF006100"/>
              </font>
              <fill>
                <patternFill>
                  <bgColor rgb="FFC6EFCE"/>
                </patternFill>
              </fill>
            </x14:dxf>
          </x14:cfRule>
          <x14:cfRule type="containsText" priority="1698" operator="containsText" text="WEB SERVICE" id="{8807406F-33DA-4FBE-97E1-90F3EB5612B2}">
            <xm:f>NOT(ISERROR(SEARCH("WEB SERVICE",'TC1'!#REF!)))</xm:f>
            <x14:dxf>
              <font>
                <color rgb="FF9C0006"/>
              </font>
              <fill>
                <patternFill>
                  <bgColor rgb="FFFFC7CE"/>
                </patternFill>
              </fill>
            </x14:dxf>
          </x14:cfRule>
          <xm:sqref>E17:E33</xm:sqref>
        </x14:conditionalFormatting>
        <x14:conditionalFormatting xmlns:xm="http://schemas.microsoft.com/office/excel/2006/main">
          <x14:cfRule type="expression" priority="4453" id="{A6E4A480-61C5-48F9-A57F-D728E556A81D}">
            <xm:f>'TC1'!$B9="HANGUP"</xm:f>
            <x14:dxf>
              <font>
                <b/>
                <i val="0"/>
              </font>
            </x14:dxf>
          </x14:cfRule>
          <x14:cfRule type="expression" priority="4454" id="{DC129306-33F5-4EF0-959E-60891A561973}">
            <xm:f>'TC1'!$B9="Dial"</xm:f>
            <x14:dxf>
              <font>
                <b/>
                <i val="0"/>
                <color rgb="FFFF0000"/>
              </font>
            </x14:dxf>
          </x14:cfRule>
          <xm:sqref>C12:C15</xm:sqref>
        </x14:conditionalFormatting>
        <x14:conditionalFormatting xmlns:xm="http://schemas.microsoft.com/office/excel/2006/main">
          <x14:cfRule type="expression" priority="4455" id="{A6E4A480-61C5-48F9-A57F-D728E556A81D}">
            <xm:f>'TC1'!#REF!="HANGUP"</xm:f>
            <x14:dxf>
              <font>
                <b/>
                <i val="0"/>
              </font>
            </x14:dxf>
          </x14:cfRule>
          <x14:cfRule type="expression" priority="4456" id="{DC129306-33F5-4EF0-959E-60891A561973}">
            <xm:f>'TC1'!#REF!="Dial"</xm:f>
            <x14:dxf>
              <font>
                <b/>
                <i val="0"/>
                <color rgb="FFFF0000"/>
              </font>
            </x14:dxf>
          </x14:cfRule>
          <xm:sqref>C9:C11</xm:sqref>
        </x14:conditionalFormatting>
        <x14:conditionalFormatting xmlns:xm="http://schemas.microsoft.com/office/excel/2006/main">
          <x14:cfRule type="expression" priority="4460" id="{FEED2EC3-81C2-4E6B-BA2D-A21AA4D84858}">
            <xm:f>'TC1'!$B9="Speak"</xm:f>
            <x14:dxf>
              <font>
                <b/>
                <i val="0"/>
                <color rgb="FFFF0000"/>
              </font>
            </x14:dxf>
          </x14:cfRule>
          <xm:sqref>C12:C15</xm:sqref>
        </x14:conditionalFormatting>
        <x14:conditionalFormatting xmlns:xm="http://schemas.microsoft.com/office/excel/2006/main">
          <x14:cfRule type="expression" priority="4461" id="{FEED2EC3-81C2-4E6B-BA2D-A21AA4D84858}">
            <xm:f>'TC1'!#REF!="Speak"</xm:f>
            <x14:dxf>
              <font>
                <b/>
                <i val="0"/>
                <color rgb="FFFF0000"/>
              </font>
            </x14:dxf>
          </x14:cfRule>
          <xm:sqref>C9:C11</xm:sqref>
        </x14:conditionalFormatting>
        <x14:conditionalFormatting xmlns:xm="http://schemas.microsoft.com/office/excel/2006/main">
          <x14:cfRule type="containsText" priority="4463" operator="containsText" text="DB" id="{D4B9A78A-A341-493A-990F-817E6E61ABBA}">
            <xm:f>NOT(ISERROR(SEARCH("DB",'TC1'!#REF!)))</xm:f>
            <x14:dxf>
              <font>
                <color rgb="FF006100"/>
              </font>
              <fill>
                <patternFill>
                  <bgColor rgb="FFC6EFCE"/>
                </patternFill>
              </fill>
            </x14:dxf>
          </x14:cfRule>
          <x14:cfRule type="containsText" priority="4464" operator="containsText" text="WEB SERVICE" id="{8807406F-33DA-4FBE-97E1-90F3EB5612B2}">
            <xm:f>NOT(ISERROR(SEARCH("WEB SERVICE",'TC1'!#REF!)))</xm:f>
            <x14:dxf>
              <font>
                <color rgb="FF9C0006"/>
              </font>
              <fill>
                <patternFill>
                  <bgColor rgb="FFFFC7CE"/>
                </patternFill>
              </fill>
            </x14:dxf>
          </x14:cfRule>
          <xm:sqref>E9:E11</xm:sqref>
        </x14:conditionalFormatting>
        <x14:conditionalFormatting xmlns:xm="http://schemas.microsoft.com/office/excel/2006/main">
          <x14:cfRule type="containsText" priority="4465" operator="containsText" text="DB" id="{D4B9A78A-A341-493A-990F-817E6E61ABBA}">
            <xm:f>NOT(ISERROR(SEARCH("DB",'TC1'!E9)))</xm:f>
            <x14:dxf>
              <font>
                <color rgb="FF006100"/>
              </font>
              <fill>
                <patternFill>
                  <bgColor rgb="FFC6EFCE"/>
                </patternFill>
              </fill>
            </x14:dxf>
          </x14:cfRule>
          <x14:cfRule type="containsText" priority="4466" operator="containsText" text="WEB SERVICE" id="{8807406F-33DA-4FBE-97E1-90F3EB5612B2}">
            <xm:f>NOT(ISERROR(SEARCH("WEB SERVICE",'TC1'!E9)))</xm:f>
            <x14:dxf>
              <font>
                <color rgb="FF9C0006"/>
              </font>
              <fill>
                <patternFill>
                  <bgColor rgb="FFFFC7CE"/>
                </patternFill>
              </fill>
            </x14:dxf>
          </x14:cfRule>
          <xm:sqref>E12:E15</xm:sqref>
        </x14:conditionalFormatting>
        <x14:conditionalFormatting xmlns:xm="http://schemas.microsoft.com/office/excel/2006/main">
          <x14:cfRule type="expression" priority="6890" id="{A6E4A480-61C5-48F9-A57F-D728E556A81D}">
            <xm:f>'TC1'!$B15="HANGUP"</xm:f>
            <x14:dxf>
              <font>
                <b/>
                <i val="0"/>
              </font>
            </x14:dxf>
          </x14:cfRule>
          <x14:cfRule type="expression" priority="6891" id="{DC129306-33F5-4EF0-959E-60891A561973}">
            <xm:f>'TC1'!$B15="Dial"</xm:f>
            <x14:dxf>
              <font>
                <b/>
                <i val="0"/>
                <color rgb="FFFF0000"/>
              </font>
            </x14:dxf>
          </x14:cfRule>
          <xm:sqref>C16</xm:sqref>
        </x14:conditionalFormatting>
        <x14:conditionalFormatting xmlns:xm="http://schemas.microsoft.com/office/excel/2006/main">
          <x14:cfRule type="expression" priority="6893" id="{FEED2EC3-81C2-4E6B-BA2D-A21AA4D84858}">
            <xm:f>'TC1'!$B15="Speak"</xm:f>
            <x14:dxf>
              <font>
                <b/>
                <i val="0"/>
                <color rgb="FFFF0000"/>
              </font>
            </x14:dxf>
          </x14:cfRule>
          <xm:sqref>C16</xm:sqref>
        </x14:conditionalFormatting>
        <x14:conditionalFormatting xmlns:xm="http://schemas.microsoft.com/office/excel/2006/main">
          <x14:cfRule type="containsText" priority="6896" operator="containsText" text="DB" id="{D4B9A78A-A341-493A-990F-817E6E61ABBA}">
            <xm:f>NOT(ISERROR(SEARCH("DB",'TC1'!E15)))</xm:f>
            <x14:dxf>
              <font>
                <color rgb="FF006100"/>
              </font>
              <fill>
                <patternFill>
                  <bgColor rgb="FFC6EFCE"/>
                </patternFill>
              </fill>
            </x14:dxf>
          </x14:cfRule>
          <x14:cfRule type="containsText" priority="6897" operator="containsText" text="WEB SERVICE" id="{8807406F-33DA-4FBE-97E1-90F3EB5612B2}">
            <xm:f>NOT(ISERROR(SEARCH("WEB SERVICE",'TC1'!E15)))</xm:f>
            <x14:dxf>
              <font>
                <color rgb="FF9C0006"/>
              </font>
              <fill>
                <patternFill>
                  <bgColor rgb="FFFFC7CE"/>
                </patternFill>
              </fill>
            </x14:dxf>
          </x14:cfRule>
          <xm:sqref>E16</xm:sqref>
        </x14:conditionalFormatting>
        <x14:conditionalFormatting xmlns:xm="http://schemas.microsoft.com/office/excel/2006/main">
          <x14:cfRule type="containsText" priority="9254" operator="containsText" text="Hear" id="{FC33A3F2-5908-46D1-8D0C-388E065DCB9A}">
            <xm:f>NOT(ISERROR(SEARCH("Hear",'TC26'!#REF!)))</xm:f>
            <x14:dxf>
              <font>
                <color theme="9" tint="-0.24994659260841701"/>
              </font>
              <fill>
                <patternFill>
                  <bgColor theme="9" tint="0.59996337778862885"/>
                </patternFill>
              </fill>
            </x14:dxf>
          </x14:cfRule>
          <xm:sqref>B39</xm:sqref>
        </x14:conditionalFormatting>
      </x14:conditionalFormattings>
    </ext>
  </extLst>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800-000000000000}">
  <sheetPr codeName="Sheet74"/>
  <dimension ref="A1:E42"/>
  <sheetViews>
    <sheetView zoomScaleNormal="100" workbookViewId="0">
      <selection sqref="A1:B1"/>
    </sheetView>
  </sheetViews>
  <sheetFormatPr defaultRowHeight="14.5" x14ac:dyDescent="0.35"/>
  <cols>
    <col min="1" max="1" width="14.453125" bestFit="1" customWidth="1"/>
    <col min="2" max="2" width="42.6328125" customWidth="1"/>
    <col min="3" max="3" width="106.1796875" customWidth="1"/>
    <col min="4" max="4" width="21.81640625" bestFit="1" customWidth="1"/>
    <col min="5" max="5" width="20.6328125" customWidth="1"/>
  </cols>
  <sheetData>
    <row r="1" spans="1:5" ht="18.5" x14ac:dyDescent="0.35">
      <c r="A1" s="192" t="s">
        <v>4</v>
      </c>
      <c r="B1" s="192"/>
      <c r="C1" s="105"/>
      <c r="D1" s="111"/>
      <c r="E1" s="97"/>
    </row>
    <row r="2" spans="1:5" x14ac:dyDescent="0.35">
      <c r="A2" s="106" t="s">
        <v>5</v>
      </c>
      <c r="B2" s="107" t="str">
        <f ca="1">MID(CELL("filename",A1),FIND("]",CELL("filename",A1))+1,LEN(CELL("filename",A1))-FIND("]",CELL("filename",A1)))</f>
        <v>TC72</v>
      </c>
      <c r="C2" s="98"/>
      <c r="D2" s="111"/>
      <c r="E2" s="97"/>
    </row>
    <row r="3" spans="1:5" x14ac:dyDescent="0.35">
      <c r="A3" s="104" t="s">
        <v>19</v>
      </c>
      <c r="B3" s="112" t="e">
        <f ca="1">VLOOKUP(B2,Table1[#All],2,FALSE)</f>
        <v>#N/A</v>
      </c>
      <c r="C3" s="98"/>
      <c r="D3" s="111"/>
      <c r="E3" s="97"/>
    </row>
    <row r="4" spans="1:5" ht="29" x14ac:dyDescent="0.35">
      <c r="A4" s="113" t="s">
        <v>20</v>
      </c>
      <c r="B4" s="99" t="e">
        <f ca="1">VLOOKUP(B2,Table1[#All],4,FALSE)</f>
        <v>#N/A</v>
      </c>
      <c r="C4" s="98"/>
      <c r="D4" s="111"/>
      <c r="E4" s="97"/>
    </row>
    <row r="5" spans="1:5" x14ac:dyDescent="0.35">
      <c r="A5" s="104" t="s">
        <v>6</v>
      </c>
      <c r="B5" s="93" t="e">
        <f ca="1">VLOOKUP(B2,Table1[#All],3,FALSE)</f>
        <v>#N/A</v>
      </c>
      <c r="C5" s="98"/>
      <c r="D5" s="111"/>
      <c r="E5" s="97"/>
    </row>
    <row r="6" spans="1:5" x14ac:dyDescent="0.35">
      <c r="A6" s="97"/>
      <c r="B6" s="97"/>
      <c r="C6" s="98"/>
      <c r="D6" s="111"/>
      <c r="E6" s="97"/>
    </row>
    <row r="7" spans="1:5" ht="15.5" x14ac:dyDescent="0.35">
      <c r="A7" s="100" t="s">
        <v>7</v>
      </c>
      <c r="B7" s="101" t="s">
        <v>8</v>
      </c>
      <c r="C7" s="102" t="s">
        <v>9</v>
      </c>
      <c r="D7" s="102" t="s">
        <v>14</v>
      </c>
      <c r="E7" s="103" t="s">
        <v>10</v>
      </c>
    </row>
    <row r="8" spans="1:5" x14ac:dyDescent="0.35">
      <c r="A8" s="118">
        <v>1</v>
      </c>
      <c r="B8" s="114" t="s">
        <v>114</v>
      </c>
      <c r="C8" s="109" t="s">
        <v>125</v>
      </c>
      <c r="D8" s="128"/>
      <c r="E8" s="125" t="s">
        <v>11</v>
      </c>
    </row>
    <row r="9" spans="1:5" x14ac:dyDescent="0.35">
      <c r="A9" s="118">
        <v>2</v>
      </c>
      <c r="B9" s="114" t="s">
        <v>12</v>
      </c>
      <c r="C9" s="109" t="e">
        <f>VLOOKUP(Table25755252691013434446474849565758596315181719224566677172737476777879939495100104109111113115117131[[#This Row],[PEG]],Table1016[#All],2,FALSE)</f>
        <v>#N/A</v>
      </c>
      <c r="D9" s="128"/>
      <c r="E9" s="125" t="e">
        <f>VLOOKUP(Table25755252691013434446474849565758596315181719224566677172737476777879939495100104109111113115117131[[#This Row],[PEG]],Table1016[#All],3,FALSE)</f>
        <v>#N/A</v>
      </c>
    </row>
    <row r="10" spans="1:5" x14ac:dyDescent="0.35">
      <c r="A10" s="118">
        <v>3</v>
      </c>
      <c r="B10" s="114" t="s">
        <v>115</v>
      </c>
      <c r="C10" s="109" t="e">
        <f>VLOOKUP(Table25755252691013434446474849565758596315181719224566677172737476777879939495100104109111113115117131[[#This Row],[PEG]],Table1016[#All],2,FALSE)</f>
        <v>#N/A</v>
      </c>
      <c r="D10" s="128"/>
      <c r="E10" s="125" t="e">
        <f>VLOOKUP(Table25755252691013434446474849565758596315181719224566677172737476777879939495100104109111113115117131[[#This Row],[PEG]],Table1016[#All],3,FALSE)</f>
        <v>#N/A</v>
      </c>
    </row>
    <row r="11" spans="1:5" x14ac:dyDescent="0.35">
      <c r="A11" s="118">
        <v>4</v>
      </c>
      <c r="B11" s="114" t="s">
        <v>115</v>
      </c>
      <c r="C11" s="109" t="e">
        <f>VLOOKUP(Table25755252691013434446474849565758596315181719224566677172737476777879939495100104109111113115117131[[#This Row],[PEG]],Table1016[#All],2,FALSE)</f>
        <v>#N/A</v>
      </c>
      <c r="D11" s="128"/>
      <c r="E11" s="125" t="e">
        <f>VLOOKUP(Table25755252691013434446474849565758596315181719224566677172737476777879939495100104109111113115117131[[#This Row],[PEG]],Table1016[#All],3,FALSE)</f>
        <v>#N/A</v>
      </c>
    </row>
    <row r="12" spans="1:5" x14ac:dyDescent="0.35">
      <c r="A12" s="118">
        <v>5</v>
      </c>
      <c r="B12" s="114" t="s">
        <v>114</v>
      </c>
      <c r="C12" s="109" t="e">
        <f>VLOOKUP(Table25755252691013434446474849565758596315181719224566677172737476777879939495100104109111113115117131[[#This Row],[PEG]],Table1016[#All],2,FALSE)</f>
        <v>#N/A</v>
      </c>
      <c r="D12" s="128"/>
      <c r="E12" s="125" t="e">
        <f>VLOOKUP(Table25755252691013434446474849565758596315181719224566677172737476777879939495100104109111113115117131[[#This Row],[PEG]],Table1016[#All],3,FALSE)</f>
        <v>#N/A</v>
      </c>
    </row>
    <row r="13" spans="1:5" x14ac:dyDescent="0.35">
      <c r="A13" s="118">
        <v>6</v>
      </c>
      <c r="B13" s="114" t="s">
        <v>115</v>
      </c>
      <c r="C13" s="109" t="e">
        <f>VLOOKUP(Table25755252691013434446474849565758596315181719224566677172737476777879939495100104109111113115117131[[#This Row],[PEG]],Table1016[#All],2,FALSE)</f>
        <v>#N/A</v>
      </c>
      <c r="D13" s="128"/>
      <c r="E13" s="125" t="e">
        <f>VLOOKUP(Table25755252691013434446474849565758596315181719224566677172737476777879939495100104109111113115117131[[#This Row],[PEG]],Table1016[#All],3,FALSE)</f>
        <v>#N/A</v>
      </c>
    </row>
    <row r="14" spans="1:5" x14ac:dyDescent="0.35">
      <c r="A14" s="118">
        <v>7</v>
      </c>
      <c r="B14" s="114" t="s">
        <v>114</v>
      </c>
      <c r="C14" s="109" t="e">
        <f>VLOOKUP(Table25755252691013434446474849565758596315181719224566677172737476777879939495100104109111113115117131[[#This Row],[PEG]],Table1016[#All],2,FALSE)</f>
        <v>#N/A</v>
      </c>
      <c r="D14" s="128"/>
      <c r="E14" s="125" t="e">
        <f>VLOOKUP(Table25755252691013434446474849565758596315181719224566677172737476777879939495100104109111113115117131[[#This Row],[PEG]],Table1016[#All],3,FALSE)</f>
        <v>#N/A</v>
      </c>
    </row>
    <row r="15" spans="1:5" x14ac:dyDescent="0.35">
      <c r="A15" s="118">
        <v>8</v>
      </c>
      <c r="B15" s="114" t="s">
        <v>115</v>
      </c>
      <c r="C15" s="109" t="e">
        <f>VLOOKUP(Table25755252691013434446474849565758596315181719224566677172737476777879939495100104109111113115117131[[#This Row],[PEG]],Table1016[#All],2,FALSE)</f>
        <v>#N/A</v>
      </c>
      <c r="D15" s="116"/>
      <c r="E15" s="125" t="e">
        <f>VLOOKUP(Table25755252691013434446474849565758596315181719224566677172737476777879939495100104109111113115117131[[#This Row],[PEG]],Table1016[#All],3,FALSE)</f>
        <v>#N/A</v>
      </c>
    </row>
    <row r="16" spans="1:5" x14ac:dyDescent="0.35">
      <c r="A16" s="118">
        <v>9</v>
      </c>
      <c r="B16" s="114" t="s">
        <v>12</v>
      </c>
      <c r="C16" s="109" t="e">
        <f>VLOOKUP(Table25755252691013434446474849565758596315181719224566677172737476777879939495100104109111113115117131[[#This Row],[PEG]],Table1016[#All],2,FALSE)</f>
        <v>#N/A</v>
      </c>
      <c r="D16" s="116"/>
      <c r="E16" s="125" t="e">
        <f>VLOOKUP(Table25755252691013434446474849565758596315181719224566677172737476777879939495100104109111113115117131[[#This Row],[PEG]],Table1016[#All],3,FALSE)</f>
        <v>#N/A</v>
      </c>
    </row>
    <row r="17" spans="1:5" x14ac:dyDescent="0.35">
      <c r="A17" s="118">
        <v>10</v>
      </c>
      <c r="B17" s="114" t="s">
        <v>12</v>
      </c>
      <c r="C17" s="109" t="e">
        <f>VLOOKUP(Table25755252691013434446474849565758596315181719224566677172737476777879939495100104109111113115117131[[#This Row],[PEG]],Table1016[#All],2,FALSE)</f>
        <v>#N/A</v>
      </c>
      <c r="D17" s="117"/>
      <c r="E17" s="125" t="e">
        <f>VLOOKUP(Table25755252691013434446474849565758596315181719224566677172737476777879939495100104109111113115117131[[#This Row],[PEG]],Table1016[#All],3,FALSE)</f>
        <v>#N/A</v>
      </c>
    </row>
    <row r="18" spans="1:5" x14ac:dyDescent="0.35">
      <c r="A18" s="118">
        <v>11</v>
      </c>
      <c r="B18" s="114" t="s">
        <v>115</v>
      </c>
      <c r="C18" s="109" t="e">
        <f>VLOOKUP(Table25755252691013434446474849565758596315181719224566677172737476777879939495100104109111113115117131[[#This Row],[PEG]],Table1016[#All],2,FALSE)</f>
        <v>#N/A</v>
      </c>
      <c r="D18" s="117"/>
      <c r="E18" s="125" t="e">
        <f>VLOOKUP(Table25755252691013434446474849565758596315181719224566677172737476777879939495100104109111113115117131[[#This Row],[PEG]],Table1016[#All],3,FALSE)</f>
        <v>#N/A</v>
      </c>
    </row>
    <row r="19" spans="1:5" x14ac:dyDescent="0.35">
      <c r="A19" s="118">
        <v>12</v>
      </c>
      <c r="B19" s="114" t="s">
        <v>115</v>
      </c>
      <c r="C19" s="109" t="e">
        <f>VLOOKUP(Table25755252691013434446474849565758596315181719224566677172737476777879939495100104109111113115117131[[#This Row],[PEG]],Table1016[#All],2,FALSE)</f>
        <v>#N/A</v>
      </c>
      <c r="D19" s="117"/>
      <c r="E19" s="125" t="e">
        <f>VLOOKUP(Table25755252691013434446474849565758596315181719224566677172737476777879939495100104109111113115117131[[#This Row],[PEG]],Table1016[#All],3,FALSE)</f>
        <v>#N/A</v>
      </c>
    </row>
    <row r="20" spans="1:5" x14ac:dyDescent="0.35">
      <c r="A20" s="118">
        <v>13</v>
      </c>
      <c r="B20" s="114" t="s">
        <v>114</v>
      </c>
      <c r="C20" s="109" t="e">
        <f>VLOOKUP(Table25755252691013434446474849565758596315181719224566677172737476777879939495100104109111113115117131[[#This Row],[PEG]],Table1016[#All],2,FALSE)</f>
        <v>#N/A</v>
      </c>
      <c r="D20" s="117"/>
      <c r="E20" s="125" t="e">
        <f>VLOOKUP(Table25755252691013434446474849565758596315181719224566677172737476777879939495100104109111113115117131[[#This Row],[PEG]],Table1016[#All],3,FALSE)</f>
        <v>#N/A</v>
      </c>
    </row>
    <row r="21" spans="1:5" x14ac:dyDescent="0.35">
      <c r="A21" s="118">
        <v>14</v>
      </c>
      <c r="B21" s="114" t="s">
        <v>12</v>
      </c>
      <c r="C21" s="109" t="e">
        <f>VLOOKUP(Table25755252691013434446474849565758596315181719224566677172737476777879939495100104109111113115117131[[#This Row],[PEG]],Table1016[#All],2,FALSE)</f>
        <v>#N/A</v>
      </c>
      <c r="D21" s="117"/>
      <c r="E21" s="125" t="e">
        <f>VLOOKUP(Table25755252691013434446474849565758596315181719224566677172737476777879939495100104109111113115117131[[#This Row],[PEG]],Table1016[#All],3,FALSE)</f>
        <v>#N/A</v>
      </c>
    </row>
    <row r="22" spans="1:5" x14ac:dyDescent="0.35">
      <c r="A22" s="118">
        <v>15</v>
      </c>
      <c r="B22" s="114" t="s">
        <v>12</v>
      </c>
      <c r="C22" s="109" t="e">
        <f>VLOOKUP(Table25755252691013434446474849565758596315181719224566677172737476777879939495100104109111113115117131[[#This Row],[PEG]],Table1016[#All],2,FALSE)</f>
        <v>#N/A</v>
      </c>
      <c r="D22" s="117"/>
      <c r="E22" s="125" t="e">
        <f>VLOOKUP(Table25755252691013434446474849565758596315181719224566677172737476777879939495100104109111113115117131[[#This Row],[PEG]],Table1016[#All],3,FALSE)</f>
        <v>#N/A</v>
      </c>
    </row>
    <row r="23" spans="1:5" x14ac:dyDescent="0.35">
      <c r="A23" s="118">
        <v>16</v>
      </c>
      <c r="B23" s="114" t="s">
        <v>115</v>
      </c>
      <c r="C23" s="109" t="e">
        <f>VLOOKUP(Table25755252691013434446474849565758596315181719224566677172737476777879939495100104109111113115117131[[#This Row],[PEG]],Table1016[#All],2,FALSE)</f>
        <v>#N/A</v>
      </c>
      <c r="D23" s="117"/>
      <c r="E23" s="125" t="e">
        <f>VLOOKUP(Table25755252691013434446474849565758596315181719224566677172737476777879939495100104109111113115117131[[#This Row],[PEG]],Table1016[#All],3,FALSE)</f>
        <v>#N/A</v>
      </c>
    </row>
    <row r="24" spans="1:5" x14ac:dyDescent="0.35">
      <c r="A24" s="118">
        <v>17</v>
      </c>
      <c r="B24" s="114" t="s">
        <v>114</v>
      </c>
      <c r="C24" s="109" t="e">
        <f>VLOOKUP(Table25755252691013434446474849565758596315181719224566677172737476777879939495100104109111113115117131[[#This Row],[PEG]],Table1016[#All],2,FALSE)</f>
        <v>#N/A</v>
      </c>
      <c r="D24" s="117"/>
      <c r="E24" s="125" t="e">
        <f>VLOOKUP(Table25755252691013434446474849565758596315181719224566677172737476777879939495100104109111113115117131[[#This Row],[PEG]],Table1016[#All],3,FALSE)</f>
        <v>#N/A</v>
      </c>
    </row>
    <row r="25" spans="1:5" x14ac:dyDescent="0.35">
      <c r="A25" s="118">
        <v>18</v>
      </c>
      <c r="B25" s="114" t="s">
        <v>12</v>
      </c>
      <c r="C25" s="109" t="e">
        <f>VLOOKUP(Table25755252691013434446474849565758596315181719224566677172737476777879939495100104109111113115117131[[#This Row],[PEG]],Table1016[#All],2,FALSE)</f>
        <v>#N/A</v>
      </c>
      <c r="D25" s="117"/>
      <c r="E25" s="125" t="e">
        <f>VLOOKUP(Table25755252691013434446474849565758596315181719224566677172737476777879939495100104109111113115117131[[#This Row],[PEG]],Table1016[#All],3,FALSE)</f>
        <v>#N/A</v>
      </c>
    </row>
    <row r="26" spans="1:5" x14ac:dyDescent="0.35">
      <c r="A26" s="118">
        <v>19</v>
      </c>
      <c r="B26" s="114" t="s">
        <v>12</v>
      </c>
      <c r="C26" s="109" t="e">
        <f>VLOOKUP(Table25755252691013434446474849565758596315181719224566677172737476777879939495100104109111113115117131[[#This Row],[PEG]],Table1016[#All],2,FALSE)</f>
        <v>#N/A</v>
      </c>
      <c r="D26" s="117"/>
      <c r="E26" s="125" t="e">
        <f>VLOOKUP(Table25755252691013434446474849565758596315181719224566677172737476777879939495100104109111113115117131[[#This Row],[PEG]],Table1016[#All],3,FALSE)</f>
        <v>#N/A</v>
      </c>
    </row>
    <row r="27" spans="1:5" x14ac:dyDescent="0.35">
      <c r="A27" s="118">
        <v>20</v>
      </c>
      <c r="B27" s="114" t="s">
        <v>115</v>
      </c>
      <c r="C27" s="109" t="e">
        <f>VLOOKUP(Table25755252691013434446474849565758596315181719224566677172737476777879939495100104109111113115117131[[#This Row],[PEG]],Table1016[#All],2,FALSE)</f>
        <v>#N/A</v>
      </c>
      <c r="D27" s="117"/>
      <c r="E27" s="125" t="e">
        <f>VLOOKUP(Table25755252691013434446474849565758596315181719224566677172737476777879939495100104109111113115117131[[#This Row],[PEG]],Table1016[#All],3,FALSE)</f>
        <v>#N/A</v>
      </c>
    </row>
    <row r="28" spans="1:5" x14ac:dyDescent="0.35">
      <c r="A28" s="118">
        <v>21</v>
      </c>
      <c r="B28" s="114" t="s">
        <v>114</v>
      </c>
      <c r="C28" s="109" t="e">
        <f>VLOOKUP(Table25755252691013434446474849565758596315181719224566677172737476777879939495100104109111113115117131[[#This Row],[PEG]],Table1016[#All],2,FALSE)</f>
        <v>#N/A</v>
      </c>
      <c r="D28" s="117"/>
      <c r="E28" s="125" t="e">
        <f>VLOOKUP(Table25755252691013434446474849565758596315181719224566677172737476777879939495100104109111113115117131[[#This Row],[PEG]],Table1016[#All],3,FALSE)</f>
        <v>#N/A</v>
      </c>
    </row>
    <row r="29" spans="1:5" x14ac:dyDescent="0.35">
      <c r="A29" s="118">
        <v>22</v>
      </c>
      <c r="B29" s="114" t="s">
        <v>12</v>
      </c>
      <c r="C29" s="109" t="e">
        <f>VLOOKUP(Table25755252691013434446474849565758596315181719224566677172737476777879939495100104109111113115117131[[#This Row],[PEG]],Table1016[#All],2,FALSE)</f>
        <v>#N/A</v>
      </c>
      <c r="D29" s="117"/>
      <c r="E29" s="125" t="e">
        <f>VLOOKUP(Table25755252691013434446474849565758596315181719224566677172737476777879939495100104109111113115117131[[#This Row],[PEG]],Table1016[#All],3,FALSE)</f>
        <v>#N/A</v>
      </c>
    </row>
    <row r="30" spans="1:5" x14ac:dyDescent="0.35">
      <c r="A30" s="118">
        <v>23</v>
      </c>
      <c r="B30" s="114" t="s">
        <v>12</v>
      </c>
      <c r="C30" s="109" t="e">
        <f>VLOOKUP(Table25755252691013434446474849565758596315181719224566677172737476777879939495100104109111113115117131[[#This Row],[PEG]],Table1016[#All],2,FALSE)</f>
        <v>#N/A</v>
      </c>
      <c r="D30" s="117"/>
      <c r="E30" s="125" t="e">
        <f>VLOOKUP(Table25755252691013434446474849565758596315181719224566677172737476777879939495100104109111113115117131[[#This Row],[PEG]],Table1016[#All],3,FALSE)</f>
        <v>#N/A</v>
      </c>
    </row>
    <row r="31" spans="1:5" x14ac:dyDescent="0.35">
      <c r="A31" s="118">
        <v>24</v>
      </c>
      <c r="B31" s="114" t="s">
        <v>115</v>
      </c>
      <c r="C31" s="109" t="e">
        <f>VLOOKUP(Table25755252691013434446474849565758596315181719224566677172737476777879939495100104109111113115117131[[#This Row],[PEG]],Table1016[#All],2,FALSE)</f>
        <v>#N/A</v>
      </c>
      <c r="D31" s="117"/>
      <c r="E31" s="125" t="e">
        <f>VLOOKUP(Table25755252691013434446474849565758596315181719224566677172737476777879939495100104109111113115117131[[#This Row],[PEG]],Table1016[#All],3,FALSE)</f>
        <v>#N/A</v>
      </c>
    </row>
    <row r="32" spans="1:5" x14ac:dyDescent="0.35">
      <c r="A32" s="118">
        <v>25</v>
      </c>
      <c r="B32" s="114" t="s">
        <v>115</v>
      </c>
      <c r="C32" s="109" t="e">
        <f>VLOOKUP(Table25755252691013434446474849565758596315181719224566677172737476777879939495100104109111113115117131[[#This Row],[PEG]],Table1016[#All],2,FALSE)</f>
        <v>#N/A</v>
      </c>
      <c r="D32" s="117"/>
      <c r="E32" s="125" t="e">
        <f>VLOOKUP(Table25755252691013434446474849565758596315181719224566677172737476777879939495100104109111113115117131[[#This Row],[PEG]],Table1016[#All],3,FALSE)</f>
        <v>#N/A</v>
      </c>
    </row>
    <row r="33" spans="1:5" x14ac:dyDescent="0.35">
      <c r="A33" s="118">
        <v>26</v>
      </c>
      <c r="B33" s="114" t="s">
        <v>124</v>
      </c>
      <c r="C33" s="109" t="e">
        <f>VLOOKUP(Table25755252691013434446474849565758596315181719224566677172737476777879939495100104109111113115117131[[#This Row],[PEG]],Table1016[#All],2,FALSE)</f>
        <v>#N/A</v>
      </c>
      <c r="D33" s="117"/>
      <c r="E33" s="125" t="e">
        <f>VLOOKUP(Table25755252691013434446474849565758596315181719224566677172737476777879939495100104109111113115117131[[#This Row],[PEG]],Table1016[#All],3,FALSE)</f>
        <v>#N/A</v>
      </c>
    </row>
    <row r="34" spans="1:5" x14ac:dyDescent="0.35">
      <c r="A34" s="118">
        <v>27</v>
      </c>
      <c r="B34" s="114" t="s">
        <v>115</v>
      </c>
      <c r="C34" s="109" t="e">
        <f>VLOOKUP(Table25755252691013434446474849565758596315181719224566677172737476777879939495100104109111113115117131[[#This Row],[PEG]],Table1016[#All],2,FALSE)</f>
        <v>#N/A</v>
      </c>
      <c r="D34" s="117"/>
      <c r="E34" s="125" t="e">
        <f>VLOOKUP(Table25755252691013434446474849565758596315181719224566677172737476777879939495100104109111113115117131[[#This Row],[PEG]],Table1016[#All],3,FALSE)</f>
        <v>#N/A</v>
      </c>
    </row>
    <row r="35" spans="1:5" x14ac:dyDescent="0.35">
      <c r="A35" s="118">
        <v>28</v>
      </c>
      <c r="B35" s="114" t="s">
        <v>124</v>
      </c>
      <c r="C35" s="109" t="e">
        <f>VLOOKUP(Table25755252691013434446474849565758596315181719224566677172737476777879939495100104109111113115117131[[#This Row],[PEG]],Table1016[#All],2,FALSE)</f>
        <v>#N/A</v>
      </c>
      <c r="D35" s="117"/>
      <c r="E35" s="125" t="e">
        <f>VLOOKUP(Table25755252691013434446474849565758596315181719224566677172737476777879939495100104109111113115117131[[#This Row],[PEG]],Table1016[#All],3,FALSE)</f>
        <v>#N/A</v>
      </c>
    </row>
    <row r="36" spans="1:5" x14ac:dyDescent="0.35">
      <c r="A36" s="118">
        <v>29</v>
      </c>
      <c r="B36" s="114" t="s">
        <v>115</v>
      </c>
      <c r="C36" s="109" t="e">
        <f>VLOOKUP(Table25755252691013434446474849565758596315181719224566677172737476777879939495100104109111113115117131[[#This Row],[PEG]],Table1016[#All],2,FALSE)</f>
        <v>#N/A</v>
      </c>
      <c r="D36" s="117"/>
      <c r="E36" s="125" t="e">
        <f>VLOOKUP(Table25755252691013434446474849565758596315181719224566677172737476777879939495100104109111113115117131[[#This Row],[PEG]],Table1016[#All],3,FALSE)</f>
        <v>#N/A</v>
      </c>
    </row>
    <row r="37" spans="1:5" x14ac:dyDescent="0.35">
      <c r="A37" s="118">
        <v>30</v>
      </c>
      <c r="B37" s="114" t="s">
        <v>12</v>
      </c>
      <c r="C37" s="109" t="e">
        <f>VLOOKUP(Table25755252691013434446474849565758596315181719224566677172737476777879939495100104109111113115117131[[#This Row],[PEG]],Table1016[#All],2,FALSE)</f>
        <v>#N/A</v>
      </c>
      <c r="D37" s="117"/>
      <c r="E37" s="125" t="e">
        <f>VLOOKUP(Table25755252691013434446474849565758596315181719224566677172737476777879939495100104109111113115117131[[#This Row],[PEG]],Table1016[#All],3,FALSE)</f>
        <v>#N/A</v>
      </c>
    </row>
    <row r="38" spans="1:5" x14ac:dyDescent="0.35">
      <c r="A38" s="118">
        <v>31</v>
      </c>
      <c r="B38" s="114" t="s">
        <v>12</v>
      </c>
      <c r="C38" s="109" t="e">
        <f>VLOOKUP(Table25755252691013434446474849565758596315181719224566677172737476777879939495100104109111113115117131[[#This Row],[PEG]],Table1016[#All],2,FALSE)</f>
        <v>#N/A</v>
      </c>
      <c r="D38" s="117"/>
      <c r="E38" s="125" t="e">
        <f>VLOOKUP(Table25755252691013434446474849565758596315181719224566677172737476777879939495100104109111113115117131[[#This Row],[PEG]],Table1016[#All],3,FALSE)</f>
        <v>#N/A</v>
      </c>
    </row>
    <row r="39" spans="1:5" x14ac:dyDescent="0.35">
      <c r="A39" s="118">
        <v>32</v>
      </c>
      <c r="B39" s="114" t="s">
        <v>12</v>
      </c>
      <c r="C39" s="109" t="e">
        <f>VLOOKUP(Table25755252691013434446474849565758596315181719224566677172737476777879939495100104109111113115117131[[#This Row],[PEG]],Table1016[#All],2,FALSE)</f>
        <v>#N/A</v>
      </c>
      <c r="D39" s="117"/>
      <c r="E39" s="125" t="e">
        <f>VLOOKUP(Table25755252691013434446474849565758596315181719224566677172737476777879939495100104109111113115117131[[#This Row],[PEG]],Table1016[#All],3,FALSE)</f>
        <v>#N/A</v>
      </c>
    </row>
    <row r="40" spans="1:5" x14ac:dyDescent="0.35">
      <c r="A40" s="118">
        <v>33</v>
      </c>
      <c r="B40" s="114" t="s">
        <v>12</v>
      </c>
      <c r="C40" s="109" t="e">
        <f>VLOOKUP(Table25755252691013434446474849565758596315181719224566677172737476777879939495100104109111113115117131[[#This Row],[PEG]],Table1016[#All],2,FALSE)</f>
        <v>#N/A</v>
      </c>
      <c r="D40" s="117"/>
      <c r="E40" s="125" t="e">
        <f>VLOOKUP(Table25755252691013434446474849565758596315181719224566677172737476777879939495100104109111113115117131[[#This Row],[PEG]],Table1016[#All],3,FALSE)</f>
        <v>#N/A</v>
      </c>
    </row>
    <row r="41" spans="1:5" x14ac:dyDescent="0.35">
      <c r="A41" s="118">
        <v>34</v>
      </c>
      <c r="B41" s="114" t="s">
        <v>115</v>
      </c>
      <c r="C41" s="109" t="e">
        <f>VLOOKUP(Table25755252691013434446474849565758596315181719224566677172737476777879939495100104109111113115117131[[#This Row],[PEG]],Table1016[#All],2,FALSE)</f>
        <v>#N/A</v>
      </c>
      <c r="D41" s="117"/>
      <c r="E41" s="125" t="e">
        <f>VLOOKUP(Table25755252691013434446474849565758596315181719224566677172737476777879939495100104109111113115117131[[#This Row],[PEG]],Table1016[#All],3,FALSE)</f>
        <v>#N/A</v>
      </c>
    </row>
    <row r="42" spans="1:5" x14ac:dyDescent="0.35">
      <c r="A42" s="118">
        <v>35</v>
      </c>
      <c r="B42" s="114" t="s">
        <v>13</v>
      </c>
      <c r="C42" s="18" t="s">
        <v>13</v>
      </c>
      <c r="D42" s="115"/>
      <c r="E42" s="32"/>
    </row>
  </sheetData>
  <mergeCells count="1">
    <mergeCell ref="A1:B1"/>
  </mergeCells>
  <conditionalFormatting sqref="B8:B18">
    <cfRule type="containsText" dxfId="3934" priority="1" operator="containsText" text="Hear">
      <formula>NOT(ISERROR(SEARCH("Hear",B8)))</formula>
    </cfRule>
  </conditionalFormatting>
  <conditionalFormatting sqref="B36:B38 B40:B41">
    <cfRule type="containsText" dxfId="3933" priority="3" operator="containsText" text="Hear">
      <formula>NOT(ISERROR(SEARCH("Hear",B36)))</formula>
    </cfRule>
  </conditionalFormatting>
  <conditionalFormatting sqref="B19:B29 B31:B35 B42">
    <cfRule type="containsText" dxfId="3932" priority="7" operator="containsText" text="Hear">
      <formula>NOT(ISERROR(SEARCH("Hear",B19)))</formula>
    </cfRule>
  </conditionalFormatting>
  <conditionalFormatting sqref="E42">
    <cfRule type="containsText" dxfId="3931" priority="5" operator="containsText" text="WEB SERVICE">
      <formula>NOT(ISERROR(SEARCH("WEB SERVICE",E42)))</formula>
    </cfRule>
    <cfRule type="containsText" dxfId="3930" priority="6" operator="containsText" text="DB">
      <formula>NOT(ISERROR(SEARCH("DB",E42)))</formula>
    </cfRule>
  </conditionalFormatting>
  <conditionalFormatting sqref="C42">
    <cfRule type="expression" dxfId="3929" priority="10">
      <formula>$B42="HANGUP"</formula>
    </cfRule>
  </conditionalFormatting>
  <conditionalFormatting sqref="B30">
    <cfRule type="containsText" dxfId="3928" priority="4" operator="containsText" text="Hear">
      <formula>NOT(ISERROR(SEARCH("Hear",B30)))</formula>
    </cfRule>
  </conditionalFormatting>
  <hyperlinks>
    <hyperlink ref="A1" location="'Test Case Overview'!A1" display="Return to Test Case Overview" xr:uid="{AE70A2B6-10A7-4758-A125-61D5F9CC4500}"/>
  </hyperlinks>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expression" priority="11" id="{A843BD21-F6F7-4F73-81A6-6B9E3459F8AF}">
            <xm:f>'TC1'!$B8="HANGUP"</xm:f>
            <x14:dxf>
              <font>
                <b/>
                <i val="0"/>
              </font>
            </x14:dxf>
          </x14:cfRule>
          <x14:cfRule type="expression" priority="12" id="{140125A8-FB36-497E-9CF9-B5CE8F7F5585}">
            <xm:f>'TC1'!$B8="Dial"</xm:f>
            <x14:dxf>
              <font>
                <b/>
                <i val="0"/>
                <color rgb="FFFF0000"/>
              </font>
            </x14:dxf>
          </x14:cfRule>
          <xm:sqref>C8</xm:sqref>
        </x14:conditionalFormatting>
        <x14:conditionalFormatting xmlns:xm="http://schemas.microsoft.com/office/excel/2006/main">
          <x14:cfRule type="expression" priority="13" id="{3E9F3BCD-D926-4CFE-9E55-AF91E3EF8797}">
            <xm:f>'TC1'!$B8="Speak"</xm:f>
            <x14:dxf>
              <font>
                <b/>
                <i val="0"/>
                <color rgb="FFFF0000"/>
              </font>
            </x14:dxf>
          </x14:cfRule>
          <xm:sqref>C8</xm:sqref>
        </x14:conditionalFormatting>
        <x14:conditionalFormatting xmlns:xm="http://schemas.microsoft.com/office/excel/2006/main">
          <x14:cfRule type="containsText" priority="2" operator="containsText" text="Hear" id="{202C3AAE-6BD6-4D55-B294-0530CCE51828}">
            <xm:f>NOT(ISERROR(SEARCH("Hear",'TC3'!B34)))</xm:f>
            <x14:dxf>
              <font>
                <color theme="9" tint="-0.24994659260841701"/>
              </font>
              <fill>
                <patternFill>
                  <bgColor theme="9" tint="0.59996337778862885"/>
                </patternFill>
              </fill>
            </x14:dxf>
          </x14:cfRule>
          <xm:sqref>B41</xm:sqref>
        </x14:conditionalFormatting>
        <x14:conditionalFormatting xmlns:xm="http://schemas.microsoft.com/office/excel/2006/main">
          <x14:cfRule type="expression" priority="1703" id="{A843BD21-F6F7-4F73-81A6-6B9E3459F8AF}">
            <xm:f>'TC1'!$B16="HANGUP"</xm:f>
            <x14:dxf>
              <font>
                <b/>
                <i val="0"/>
              </font>
            </x14:dxf>
          </x14:cfRule>
          <x14:cfRule type="expression" priority="1704" id="{140125A8-FB36-497E-9CF9-B5CE8F7F5585}">
            <xm:f>'TC1'!$B16="Dial"</xm:f>
            <x14:dxf>
              <font>
                <b/>
                <i val="0"/>
                <color rgb="FFFF0000"/>
              </font>
            </x14:dxf>
          </x14:cfRule>
          <xm:sqref>C34:C41</xm:sqref>
        </x14:conditionalFormatting>
        <x14:conditionalFormatting xmlns:xm="http://schemas.microsoft.com/office/excel/2006/main">
          <x14:cfRule type="expression" priority="1705" id="{A843BD21-F6F7-4F73-81A6-6B9E3459F8AF}">
            <xm:f>'TC1'!#REF!="HANGUP"</xm:f>
            <x14:dxf>
              <font>
                <b/>
                <i val="0"/>
              </font>
            </x14:dxf>
          </x14:cfRule>
          <x14:cfRule type="expression" priority="1706" id="{140125A8-FB36-497E-9CF9-B5CE8F7F5585}">
            <xm:f>'TC1'!#REF!="Dial"</xm:f>
            <x14:dxf>
              <font>
                <b/>
                <i val="0"/>
                <color rgb="FFFF0000"/>
              </font>
            </x14:dxf>
          </x14:cfRule>
          <xm:sqref>C17:C33</xm:sqref>
        </x14:conditionalFormatting>
        <x14:conditionalFormatting xmlns:xm="http://schemas.microsoft.com/office/excel/2006/main">
          <x14:cfRule type="expression" priority="1710" id="{3E9F3BCD-D926-4CFE-9E55-AF91E3EF8797}">
            <xm:f>'TC1'!$B16="Speak"</xm:f>
            <x14:dxf>
              <font>
                <b/>
                <i val="0"/>
                <color rgb="FFFF0000"/>
              </font>
            </x14:dxf>
          </x14:cfRule>
          <xm:sqref>C34:C41</xm:sqref>
        </x14:conditionalFormatting>
        <x14:conditionalFormatting xmlns:xm="http://schemas.microsoft.com/office/excel/2006/main">
          <x14:cfRule type="expression" priority="1711" id="{3E9F3BCD-D926-4CFE-9E55-AF91E3EF8797}">
            <xm:f>'TC1'!#REF!="Speak"</xm:f>
            <x14:dxf>
              <font>
                <b/>
                <i val="0"/>
                <color rgb="FFFF0000"/>
              </font>
            </x14:dxf>
          </x14:cfRule>
          <xm:sqref>C17:C33</xm:sqref>
        </x14:conditionalFormatting>
        <x14:conditionalFormatting xmlns:xm="http://schemas.microsoft.com/office/excel/2006/main">
          <x14:cfRule type="containsText" priority="1715" operator="containsText" text="DB" id="{A1D96F75-9B14-44B9-A66A-705470FB0A18}">
            <xm:f>NOT(ISERROR(SEARCH("DB",'TC1'!E16)))</xm:f>
            <x14:dxf>
              <font>
                <color rgb="FF006100"/>
              </font>
              <fill>
                <patternFill>
                  <bgColor rgb="FFC6EFCE"/>
                </patternFill>
              </fill>
            </x14:dxf>
          </x14:cfRule>
          <x14:cfRule type="containsText" priority="1716" operator="containsText" text="WEB SERVICE" id="{9B2C62E8-703E-4FFE-AEBF-710FFFD7B47A}">
            <xm:f>NOT(ISERROR(SEARCH("WEB SERVICE",'TC1'!E16)))</xm:f>
            <x14:dxf>
              <font>
                <color rgb="FF9C0006"/>
              </font>
              <fill>
                <patternFill>
                  <bgColor rgb="FFFFC7CE"/>
                </patternFill>
              </fill>
            </x14:dxf>
          </x14:cfRule>
          <xm:sqref>E34:E41</xm:sqref>
        </x14:conditionalFormatting>
        <x14:conditionalFormatting xmlns:xm="http://schemas.microsoft.com/office/excel/2006/main">
          <x14:cfRule type="containsText" priority="1717" operator="containsText" text="DB" id="{A1D96F75-9B14-44B9-A66A-705470FB0A18}">
            <xm:f>NOT(ISERROR(SEARCH("DB",'TC1'!#REF!)))</xm:f>
            <x14:dxf>
              <font>
                <color rgb="FF006100"/>
              </font>
              <fill>
                <patternFill>
                  <bgColor rgb="FFC6EFCE"/>
                </patternFill>
              </fill>
            </x14:dxf>
          </x14:cfRule>
          <x14:cfRule type="containsText" priority="1718" operator="containsText" text="WEB SERVICE" id="{9B2C62E8-703E-4FFE-AEBF-710FFFD7B47A}">
            <xm:f>NOT(ISERROR(SEARCH("WEB SERVICE",'TC1'!#REF!)))</xm:f>
            <x14:dxf>
              <font>
                <color rgb="FF9C0006"/>
              </font>
              <fill>
                <patternFill>
                  <bgColor rgb="FFFFC7CE"/>
                </patternFill>
              </fill>
            </x14:dxf>
          </x14:cfRule>
          <xm:sqref>E17:E33</xm:sqref>
        </x14:conditionalFormatting>
        <x14:conditionalFormatting xmlns:xm="http://schemas.microsoft.com/office/excel/2006/main">
          <x14:cfRule type="expression" priority="4471" id="{A843BD21-F6F7-4F73-81A6-6B9E3459F8AF}">
            <xm:f>'TC1'!$B9="HANGUP"</xm:f>
            <x14:dxf>
              <font>
                <b/>
                <i val="0"/>
              </font>
            </x14:dxf>
          </x14:cfRule>
          <x14:cfRule type="expression" priority="4472" id="{140125A8-FB36-497E-9CF9-B5CE8F7F5585}">
            <xm:f>'TC1'!$B9="Dial"</xm:f>
            <x14:dxf>
              <font>
                <b/>
                <i val="0"/>
                <color rgb="FFFF0000"/>
              </font>
            </x14:dxf>
          </x14:cfRule>
          <xm:sqref>C12:C15</xm:sqref>
        </x14:conditionalFormatting>
        <x14:conditionalFormatting xmlns:xm="http://schemas.microsoft.com/office/excel/2006/main">
          <x14:cfRule type="expression" priority="4473" id="{A843BD21-F6F7-4F73-81A6-6B9E3459F8AF}">
            <xm:f>'TC1'!#REF!="HANGUP"</xm:f>
            <x14:dxf>
              <font>
                <b/>
                <i val="0"/>
              </font>
            </x14:dxf>
          </x14:cfRule>
          <x14:cfRule type="expression" priority="4474" id="{140125A8-FB36-497E-9CF9-B5CE8F7F5585}">
            <xm:f>'TC1'!#REF!="Dial"</xm:f>
            <x14:dxf>
              <font>
                <b/>
                <i val="0"/>
                <color rgb="FFFF0000"/>
              </font>
            </x14:dxf>
          </x14:cfRule>
          <xm:sqref>C9:C11</xm:sqref>
        </x14:conditionalFormatting>
        <x14:conditionalFormatting xmlns:xm="http://schemas.microsoft.com/office/excel/2006/main">
          <x14:cfRule type="expression" priority="4478" id="{3E9F3BCD-D926-4CFE-9E55-AF91E3EF8797}">
            <xm:f>'TC1'!$B9="Speak"</xm:f>
            <x14:dxf>
              <font>
                <b/>
                <i val="0"/>
                <color rgb="FFFF0000"/>
              </font>
            </x14:dxf>
          </x14:cfRule>
          <xm:sqref>C12:C15</xm:sqref>
        </x14:conditionalFormatting>
        <x14:conditionalFormatting xmlns:xm="http://schemas.microsoft.com/office/excel/2006/main">
          <x14:cfRule type="expression" priority="4479" id="{3E9F3BCD-D926-4CFE-9E55-AF91E3EF8797}">
            <xm:f>'TC1'!#REF!="Speak"</xm:f>
            <x14:dxf>
              <font>
                <b/>
                <i val="0"/>
                <color rgb="FFFF0000"/>
              </font>
            </x14:dxf>
          </x14:cfRule>
          <xm:sqref>C9:C11</xm:sqref>
        </x14:conditionalFormatting>
        <x14:conditionalFormatting xmlns:xm="http://schemas.microsoft.com/office/excel/2006/main">
          <x14:cfRule type="containsText" priority="4481" operator="containsText" text="DB" id="{A1D96F75-9B14-44B9-A66A-705470FB0A18}">
            <xm:f>NOT(ISERROR(SEARCH("DB",'TC1'!#REF!)))</xm:f>
            <x14:dxf>
              <font>
                <color rgb="FF006100"/>
              </font>
              <fill>
                <patternFill>
                  <bgColor rgb="FFC6EFCE"/>
                </patternFill>
              </fill>
            </x14:dxf>
          </x14:cfRule>
          <x14:cfRule type="containsText" priority="4482" operator="containsText" text="WEB SERVICE" id="{9B2C62E8-703E-4FFE-AEBF-710FFFD7B47A}">
            <xm:f>NOT(ISERROR(SEARCH("WEB SERVICE",'TC1'!#REF!)))</xm:f>
            <x14:dxf>
              <font>
                <color rgb="FF9C0006"/>
              </font>
              <fill>
                <patternFill>
                  <bgColor rgb="FFFFC7CE"/>
                </patternFill>
              </fill>
            </x14:dxf>
          </x14:cfRule>
          <xm:sqref>E9:E11</xm:sqref>
        </x14:conditionalFormatting>
        <x14:conditionalFormatting xmlns:xm="http://schemas.microsoft.com/office/excel/2006/main">
          <x14:cfRule type="containsText" priority="4483" operator="containsText" text="DB" id="{A1D96F75-9B14-44B9-A66A-705470FB0A18}">
            <xm:f>NOT(ISERROR(SEARCH("DB",'TC1'!E9)))</xm:f>
            <x14:dxf>
              <font>
                <color rgb="FF006100"/>
              </font>
              <fill>
                <patternFill>
                  <bgColor rgb="FFC6EFCE"/>
                </patternFill>
              </fill>
            </x14:dxf>
          </x14:cfRule>
          <x14:cfRule type="containsText" priority="4484" operator="containsText" text="WEB SERVICE" id="{9B2C62E8-703E-4FFE-AEBF-710FFFD7B47A}">
            <xm:f>NOT(ISERROR(SEARCH("WEB SERVICE",'TC1'!E9)))</xm:f>
            <x14:dxf>
              <font>
                <color rgb="FF9C0006"/>
              </font>
              <fill>
                <patternFill>
                  <bgColor rgb="FFFFC7CE"/>
                </patternFill>
              </fill>
            </x14:dxf>
          </x14:cfRule>
          <xm:sqref>E12:E15</xm:sqref>
        </x14:conditionalFormatting>
        <x14:conditionalFormatting xmlns:xm="http://schemas.microsoft.com/office/excel/2006/main">
          <x14:cfRule type="expression" priority="6905" id="{A843BD21-F6F7-4F73-81A6-6B9E3459F8AF}">
            <xm:f>'TC1'!$B15="HANGUP"</xm:f>
            <x14:dxf>
              <font>
                <b/>
                <i val="0"/>
              </font>
            </x14:dxf>
          </x14:cfRule>
          <x14:cfRule type="expression" priority="6906" id="{140125A8-FB36-497E-9CF9-B5CE8F7F5585}">
            <xm:f>'TC1'!$B15="Dial"</xm:f>
            <x14:dxf>
              <font>
                <b/>
                <i val="0"/>
                <color rgb="FFFF0000"/>
              </font>
            </x14:dxf>
          </x14:cfRule>
          <xm:sqref>C16</xm:sqref>
        </x14:conditionalFormatting>
        <x14:conditionalFormatting xmlns:xm="http://schemas.microsoft.com/office/excel/2006/main">
          <x14:cfRule type="expression" priority="6908" id="{3E9F3BCD-D926-4CFE-9E55-AF91E3EF8797}">
            <xm:f>'TC1'!$B15="Speak"</xm:f>
            <x14:dxf>
              <font>
                <b/>
                <i val="0"/>
                <color rgb="FFFF0000"/>
              </font>
            </x14:dxf>
          </x14:cfRule>
          <xm:sqref>C16</xm:sqref>
        </x14:conditionalFormatting>
        <x14:conditionalFormatting xmlns:xm="http://schemas.microsoft.com/office/excel/2006/main">
          <x14:cfRule type="containsText" priority="6911" operator="containsText" text="DB" id="{A1D96F75-9B14-44B9-A66A-705470FB0A18}">
            <xm:f>NOT(ISERROR(SEARCH("DB",'TC1'!E15)))</xm:f>
            <x14:dxf>
              <font>
                <color rgb="FF006100"/>
              </font>
              <fill>
                <patternFill>
                  <bgColor rgb="FFC6EFCE"/>
                </patternFill>
              </fill>
            </x14:dxf>
          </x14:cfRule>
          <x14:cfRule type="containsText" priority="6912" operator="containsText" text="WEB SERVICE" id="{9B2C62E8-703E-4FFE-AEBF-710FFFD7B47A}">
            <xm:f>NOT(ISERROR(SEARCH("WEB SERVICE",'TC1'!E15)))</xm:f>
            <x14:dxf>
              <font>
                <color rgb="FF9C0006"/>
              </font>
              <fill>
                <patternFill>
                  <bgColor rgb="FFFFC7CE"/>
                </patternFill>
              </fill>
            </x14:dxf>
          </x14:cfRule>
          <xm:sqref>E16</xm:sqref>
        </x14:conditionalFormatting>
        <x14:conditionalFormatting xmlns:xm="http://schemas.microsoft.com/office/excel/2006/main">
          <x14:cfRule type="containsText" priority="9274" operator="containsText" text="Hear" id="{FB87D9F7-CB6A-4AFB-BF63-397ABE24720D}">
            <xm:f>NOT(ISERROR(SEARCH("Hear",'TC26'!#REF!)))</xm:f>
            <x14:dxf>
              <font>
                <color theme="9" tint="-0.24994659260841701"/>
              </font>
              <fill>
                <patternFill>
                  <bgColor theme="9" tint="0.59996337778862885"/>
                </patternFill>
              </fill>
            </x14:dxf>
          </x14:cfRule>
          <xm:sqref>B39</xm:sqref>
        </x14:conditionalFormatting>
      </x14:conditionalFormattings>
    </ext>
  </extLst>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900-000000000000}">
  <sheetPr codeName="Sheet75"/>
  <dimension ref="A1:E42"/>
  <sheetViews>
    <sheetView zoomScaleNormal="100" workbookViewId="0">
      <selection activeCell="A2" sqref="A2"/>
    </sheetView>
  </sheetViews>
  <sheetFormatPr defaultRowHeight="14.5" x14ac:dyDescent="0.35"/>
  <cols>
    <col min="1" max="1" width="14.453125" bestFit="1" customWidth="1"/>
    <col min="2" max="2" width="42.6328125" customWidth="1"/>
    <col min="3" max="3" width="106.1796875" customWidth="1"/>
    <col min="4" max="4" width="21.81640625" bestFit="1" customWidth="1"/>
    <col min="5" max="5" width="20.6328125" customWidth="1"/>
  </cols>
  <sheetData>
    <row r="1" spans="1:5" ht="18.5" x14ac:dyDescent="0.35">
      <c r="A1" s="192" t="s">
        <v>4</v>
      </c>
      <c r="B1" s="192"/>
      <c r="C1" s="105"/>
      <c r="D1" s="111"/>
      <c r="E1" s="97"/>
    </row>
    <row r="2" spans="1:5" x14ac:dyDescent="0.35">
      <c r="A2" s="106" t="s">
        <v>5</v>
      </c>
      <c r="B2" s="107" t="str">
        <f ca="1">MID(CELL("filename",A1),FIND("]",CELL("filename",A1))+1,LEN(CELL("filename",A1))-FIND("]",CELL("filename",A1)))</f>
        <v>TC73</v>
      </c>
      <c r="C2" s="98"/>
      <c r="D2" s="111"/>
      <c r="E2" s="97"/>
    </row>
    <row r="3" spans="1:5" x14ac:dyDescent="0.35">
      <c r="A3" s="104" t="s">
        <v>19</v>
      </c>
      <c r="B3" s="112" t="e">
        <f ca="1">VLOOKUP(B2,Table1[#All],2,FALSE)</f>
        <v>#N/A</v>
      </c>
      <c r="C3" s="98"/>
      <c r="D3" s="111"/>
      <c r="E3" s="97"/>
    </row>
    <row r="4" spans="1:5" ht="29" x14ac:dyDescent="0.35">
      <c r="A4" s="113" t="s">
        <v>20</v>
      </c>
      <c r="B4" s="99" t="e">
        <f ca="1">VLOOKUP(B2,Table1[#All],4,FALSE)</f>
        <v>#N/A</v>
      </c>
      <c r="C4" s="98"/>
      <c r="D4" s="111"/>
      <c r="E4" s="97"/>
    </row>
    <row r="5" spans="1:5" x14ac:dyDescent="0.35">
      <c r="A5" s="104" t="s">
        <v>6</v>
      </c>
      <c r="B5" s="93" t="e">
        <f ca="1">VLOOKUP(B2,Table1[#All],3,FALSE)</f>
        <v>#N/A</v>
      </c>
      <c r="C5" s="98"/>
      <c r="D5" s="111"/>
      <c r="E5" s="97"/>
    </row>
    <row r="6" spans="1:5" x14ac:dyDescent="0.35">
      <c r="A6" s="97"/>
      <c r="B6" s="97"/>
      <c r="C6" s="98"/>
      <c r="D6" s="111"/>
      <c r="E6" s="97"/>
    </row>
    <row r="7" spans="1:5" ht="15.5" x14ac:dyDescent="0.35">
      <c r="A7" s="100" t="s">
        <v>7</v>
      </c>
      <c r="B7" s="101" t="s">
        <v>8</v>
      </c>
      <c r="C7" s="102" t="s">
        <v>9</v>
      </c>
      <c r="D7" s="102" t="s">
        <v>14</v>
      </c>
      <c r="E7" s="103" t="s">
        <v>10</v>
      </c>
    </row>
    <row r="8" spans="1:5" x14ac:dyDescent="0.35">
      <c r="A8" s="118">
        <v>1</v>
      </c>
      <c r="B8" s="114" t="s">
        <v>114</v>
      </c>
      <c r="C8" s="109" t="s">
        <v>125</v>
      </c>
      <c r="D8" s="128"/>
      <c r="E8" s="125" t="s">
        <v>11</v>
      </c>
    </row>
    <row r="9" spans="1:5" x14ac:dyDescent="0.35">
      <c r="A9" s="118">
        <v>2</v>
      </c>
      <c r="B9" s="114" t="s">
        <v>12</v>
      </c>
      <c r="C9" s="109" t="e">
        <f>VLOOKUP(Table25755252691013434446474849565758596315181719224566677172737476777879939495100104109111113115117133[[#This Row],[PEG]],Table1016[#All],2,FALSE)</f>
        <v>#N/A</v>
      </c>
      <c r="D9" s="128"/>
      <c r="E9" s="125" t="e">
        <f>VLOOKUP(Table25755252691013434446474849565758596315181719224566677172737476777879939495100104109111113115117133[[#This Row],[PEG]],Table1016[#All],3,FALSE)</f>
        <v>#N/A</v>
      </c>
    </row>
    <row r="10" spans="1:5" x14ac:dyDescent="0.35">
      <c r="A10" s="118">
        <v>3</v>
      </c>
      <c r="B10" s="114" t="s">
        <v>115</v>
      </c>
      <c r="C10" s="109" t="e">
        <f>VLOOKUP(Table25755252691013434446474849565758596315181719224566677172737476777879939495100104109111113115117133[[#This Row],[PEG]],Table1016[#All],2,FALSE)</f>
        <v>#N/A</v>
      </c>
      <c r="D10" s="128"/>
      <c r="E10" s="125" t="e">
        <f>VLOOKUP(Table25755252691013434446474849565758596315181719224566677172737476777879939495100104109111113115117133[[#This Row],[PEG]],Table1016[#All],3,FALSE)</f>
        <v>#N/A</v>
      </c>
    </row>
    <row r="11" spans="1:5" x14ac:dyDescent="0.35">
      <c r="A11" s="118">
        <v>4</v>
      </c>
      <c r="B11" s="114" t="s">
        <v>115</v>
      </c>
      <c r="C11" s="109" t="e">
        <f>VLOOKUP(Table25755252691013434446474849565758596315181719224566677172737476777879939495100104109111113115117133[[#This Row],[PEG]],Table1016[#All],2,FALSE)</f>
        <v>#N/A</v>
      </c>
      <c r="D11" s="128"/>
      <c r="E11" s="125" t="e">
        <f>VLOOKUP(Table25755252691013434446474849565758596315181719224566677172737476777879939495100104109111113115117133[[#This Row],[PEG]],Table1016[#All],3,FALSE)</f>
        <v>#N/A</v>
      </c>
    </row>
    <row r="12" spans="1:5" x14ac:dyDescent="0.35">
      <c r="A12" s="118">
        <v>5</v>
      </c>
      <c r="B12" s="114" t="s">
        <v>114</v>
      </c>
      <c r="C12" s="109" t="e">
        <f>VLOOKUP(Table25755252691013434446474849565758596315181719224566677172737476777879939495100104109111113115117133[[#This Row],[PEG]],Table1016[#All],2,FALSE)</f>
        <v>#N/A</v>
      </c>
      <c r="D12" s="128"/>
      <c r="E12" s="125" t="e">
        <f>VLOOKUP(Table25755252691013434446474849565758596315181719224566677172737476777879939495100104109111113115117133[[#This Row],[PEG]],Table1016[#All],3,FALSE)</f>
        <v>#N/A</v>
      </c>
    </row>
    <row r="13" spans="1:5" x14ac:dyDescent="0.35">
      <c r="A13" s="118">
        <v>6</v>
      </c>
      <c r="B13" s="114" t="s">
        <v>115</v>
      </c>
      <c r="C13" s="109" t="e">
        <f>VLOOKUP(Table25755252691013434446474849565758596315181719224566677172737476777879939495100104109111113115117133[[#This Row],[PEG]],Table1016[#All],2,FALSE)</f>
        <v>#N/A</v>
      </c>
      <c r="D13" s="128"/>
      <c r="E13" s="125" t="e">
        <f>VLOOKUP(Table25755252691013434446474849565758596315181719224566677172737476777879939495100104109111113115117133[[#This Row],[PEG]],Table1016[#All],3,FALSE)</f>
        <v>#N/A</v>
      </c>
    </row>
    <row r="14" spans="1:5" x14ac:dyDescent="0.35">
      <c r="A14" s="118">
        <v>7</v>
      </c>
      <c r="B14" s="114" t="s">
        <v>114</v>
      </c>
      <c r="C14" s="109" t="e">
        <f>VLOOKUP(Table25755252691013434446474849565758596315181719224566677172737476777879939495100104109111113115117133[[#This Row],[PEG]],Table1016[#All],2,FALSE)</f>
        <v>#N/A</v>
      </c>
      <c r="D14" s="128"/>
      <c r="E14" s="125" t="e">
        <f>VLOOKUP(Table25755252691013434446474849565758596315181719224566677172737476777879939495100104109111113115117133[[#This Row],[PEG]],Table1016[#All],3,FALSE)</f>
        <v>#N/A</v>
      </c>
    </row>
    <row r="15" spans="1:5" x14ac:dyDescent="0.35">
      <c r="A15" s="118">
        <v>8</v>
      </c>
      <c r="B15" s="114" t="s">
        <v>115</v>
      </c>
      <c r="C15" s="109" t="e">
        <f>VLOOKUP(Table25755252691013434446474849565758596315181719224566677172737476777879939495100104109111113115117133[[#This Row],[PEG]],Table1016[#All],2,FALSE)</f>
        <v>#N/A</v>
      </c>
      <c r="D15" s="116"/>
      <c r="E15" s="125" t="e">
        <f>VLOOKUP(Table25755252691013434446474849565758596315181719224566677172737476777879939495100104109111113115117133[[#This Row],[PEG]],Table1016[#All],3,FALSE)</f>
        <v>#N/A</v>
      </c>
    </row>
    <row r="16" spans="1:5" x14ac:dyDescent="0.35">
      <c r="A16" s="118">
        <v>9</v>
      </c>
      <c r="B16" s="114" t="s">
        <v>12</v>
      </c>
      <c r="C16" s="109" t="e">
        <f>VLOOKUP(Table25755252691013434446474849565758596315181719224566677172737476777879939495100104109111113115117133[[#This Row],[PEG]],Table1016[#All],2,FALSE)</f>
        <v>#N/A</v>
      </c>
      <c r="D16" s="116"/>
      <c r="E16" s="125" t="e">
        <f>VLOOKUP(Table25755252691013434446474849565758596315181719224566677172737476777879939495100104109111113115117133[[#This Row],[PEG]],Table1016[#All],3,FALSE)</f>
        <v>#N/A</v>
      </c>
    </row>
    <row r="17" spans="1:5" x14ac:dyDescent="0.35">
      <c r="A17" s="118">
        <v>10</v>
      </c>
      <c r="B17" s="114" t="s">
        <v>12</v>
      </c>
      <c r="C17" s="109" t="e">
        <f>VLOOKUP(Table25755252691013434446474849565758596315181719224566677172737476777879939495100104109111113115117133[[#This Row],[PEG]],Table1016[#All],2,FALSE)</f>
        <v>#N/A</v>
      </c>
      <c r="D17" s="117"/>
      <c r="E17" s="125" t="e">
        <f>VLOOKUP(Table25755252691013434446474849565758596315181719224566677172737476777879939495100104109111113115117133[[#This Row],[PEG]],Table1016[#All],3,FALSE)</f>
        <v>#N/A</v>
      </c>
    </row>
    <row r="18" spans="1:5" x14ac:dyDescent="0.35">
      <c r="A18" s="118">
        <v>11</v>
      </c>
      <c r="B18" s="114" t="s">
        <v>115</v>
      </c>
      <c r="C18" s="109" t="e">
        <f>VLOOKUP(Table25755252691013434446474849565758596315181719224566677172737476777879939495100104109111113115117133[[#This Row],[PEG]],Table1016[#All],2,FALSE)</f>
        <v>#N/A</v>
      </c>
      <c r="D18" s="117"/>
      <c r="E18" s="125" t="e">
        <f>VLOOKUP(Table25755252691013434446474849565758596315181719224566677172737476777879939495100104109111113115117133[[#This Row],[PEG]],Table1016[#All],3,FALSE)</f>
        <v>#N/A</v>
      </c>
    </row>
    <row r="19" spans="1:5" x14ac:dyDescent="0.35">
      <c r="A19" s="118">
        <v>12</v>
      </c>
      <c r="B19" s="114" t="s">
        <v>115</v>
      </c>
      <c r="C19" s="109" t="e">
        <f>VLOOKUP(Table25755252691013434446474849565758596315181719224566677172737476777879939495100104109111113115117133[[#This Row],[PEG]],Table1016[#All],2,FALSE)</f>
        <v>#N/A</v>
      </c>
      <c r="D19" s="117"/>
      <c r="E19" s="125" t="e">
        <f>VLOOKUP(Table25755252691013434446474849565758596315181719224566677172737476777879939495100104109111113115117133[[#This Row],[PEG]],Table1016[#All],3,FALSE)</f>
        <v>#N/A</v>
      </c>
    </row>
    <row r="20" spans="1:5" x14ac:dyDescent="0.35">
      <c r="A20" s="118">
        <v>13</v>
      </c>
      <c r="B20" s="114" t="s">
        <v>114</v>
      </c>
      <c r="C20" s="109" t="e">
        <f>VLOOKUP(Table25755252691013434446474849565758596315181719224566677172737476777879939495100104109111113115117133[[#This Row],[PEG]],Table1016[#All],2,FALSE)</f>
        <v>#N/A</v>
      </c>
      <c r="D20" s="117"/>
      <c r="E20" s="125" t="e">
        <f>VLOOKUP(Table25755252691013434446474849565758596315181719224566677172737476777879939495100104109111113115117133[[#This Row],[PEG]],Table1016[#All],3,FALSE)</f>
        <v>#N/A</v>
      </c>
    </row>
    <row r="21" spans="1:5" x14ac:dyDescent="0.35">
      <c r="A21" s="118">
        <v>14</v>
      </c>
      <c r="B21" s="114" t="s">
        <v>12</v>
      </c>
      <c r="C21" s="109" t="e">
        <f>VLOOKUP(Table25755252691013434446474849565758596315181719224566677172737476777879939495100104109111113115117133[[#This Row],[PEG]],Table1016[#All],2,FALSE)</f>
        <v>#N/A</v>
      </c>
      <c r="D21" s="117"/>
      <c r="E21" s="125" t="e">
        <f>VLOOKUP(Table25755252691013434446474849565758596315181719224566677172737476777879939495100104109111113115117133[[#This Row],[PEG]],Table1016[#All],3,FALSE)</f>
        <v>#N/A</v>
      </c>
    </row>
    <row r="22" spans="1:5" x14ac:dyDescent="0.35">
      <c r="A22" s="118">
        <v>15</v>
      </c>
      <c r="B22" s="114" t="s">
        <v>12</v>
      </c>
      <c r="C22" s="109" t="e">
        <f>VLOOKUP(Table25755252691013434446474849565758596315181719224566677172737476777879939495100104109111113115117133[[#This Row],[PEG]],Table1016[#All],2,FALSE)</f>
        <v>#N/A</v>
      </c>
      <c r="D22" s="117"/>
      <c r="E22" s="125" t="e">
        <f>VLOOKUP(Table25755252691013434446474849565758596315181719224566677172737476777879939495100104109111113115117133[[#This Row],[PEG]],Table1016[#All],3,FALSE)</f>
        <v>#N/A</v>
      </c>
    </row>
    <row r="23" spans="1:5" x14ac:dyDescent="0.35">
      <c r="A23" s="118">
        <v>16</v>
      </c>
      <c r="B23" s="114" t="s">
        <v>115</v>
      </c>
      <c r="C23" s="109" t="e">
        <f>VLOOKUP(Table25755252691013434446474849565758596315181719224566677172737476777879939495100104109111113115117133[[#This Row],[PEG]],Table1016[#All],2,FALSE)</f>
        <v>#N/A</v>
      </c>
      <c r="D23" s="117"/>
      <c r="E23" s="125" t="e">
        <f>VLOOKUP(Table25755252691013434446474849565758596315181719224566677172737476777879939495100104109111113115117133[[#This Row],[PEG]],Table1016[#All],3,FALSE)</f>
        <v>#N/A</v>
      </c>
    </row>
    <row r="24" spans="1:5" x14ac:dyDescent="0.35">
      <c r="A24" s="118">
        <v>17</v>
      </c>
      <c r="B24" s="114" t="s">
        <v>114</v>
      </c>
      <c r="C24" s="109" t="e">
        <f>VLOOKUP(Table25755252691013434446474849565758596315181719224566677172737476777879939495100104109111113115117133[[#This Row],[PEG]],Table1016[#All],2,FALSE)</f>
        <v>#N/A</v>
      </c>
      <c r="D24" s="117"/>
      <c r="E24" s="125" t="e">
        <f>VLOOKUP(Table25755252691013434446474849565758596315181719224566677172737476777879939495100104109111113115117133[[#This Row],[PEG]],Table1016[#All],3,FALSE)</f>
        <v>#N/A</v>
      </c>
    </row>
    <row r="25" spans="1:5" x14ac:dyDescent="0.35">
      <c r="A25" s="118">
        <v>18</v>
      </c>
      <c r="B25" s="114" t="s">
        <v>12</v>
      </c>
      <c r="C25" s="109" t="e">
        <f>VLOOKUP(Table25755252691013434446474849565758596315181719224566677172737476777879939495100104109111113115117133[[#This Row],[PEG]],Table1016[#All],2,FALSE)</f>
        <v>#N/A</v>
      </c>
      <c r="D25" s="117"/>
      <c r="E25" s="125" t="e">
        <f>VLOOKUP(Table25755252691013434446474849565758596315181719224566677172737476777879939495100104109111113115117133[[#This Row],[PEG]],Table1016[#All],3,FALSE)</f>
        <v>#N/A</v>
      </c>
    </row>
    <row r="26" spans="1:5" x14ac:dyDescent="0.35">
      <c r="A26" s="118">
        <v>19</v>
      </c>
      <c r="B26" s="114" t="s">
        <v>12</v>
      </c>
      <c r="C26" s="109" t="e">
        <f>VLOOKUP(Table25755252691013434446474849565758596315181719224566677172737476777879939495100104109111113115117133[[#This Row],[PEG]],Table1016[#All],2,FALSE)</f>
        <v>#N/A</v>
      </c>
      <c r="D26" s="117"/>
      <c r="E26" s="125" t="e">
        <f>VLOOKUP(Table25755252691013434446474849565758596315181719224566677172737476777879939495100104109111113115117133[[#This Row],[PEG]],Table1016[#All],3,FALSE)</f>
        <v>#N/A</v>
      </c>
    </row>
    <row r="27" spans="1:5" x14ac:dyDescent="0.35">
      <c r="A27" s="118">
        <v>20</v>
      </c>
      <c r="B27" s="114" t="s">
        <v>115</v>
      </c>
      <c r="C27" s="109" t="e">
        <f>VLOOKUP(Table25755252691013434446474849565758596315181719224566677172737476777879939495100104109111113115117133[[#This Row],[PEG]],Table1016[#All],2,FALSE)</f>
        <v>#N/A</v>
      </c>
      <c r="D27" s="117"/>
      <c r="E27" s="125" t="e">
        <f>VLOOKUP(Table25755252691013434446474849565758596315181719224566677172737476777879939495100104109111113115117133[[#This Row],[PEG]],Table1016[#All],3,FALSE)</f>
        <v>#N/A</v>
      </c>
    </row>
    <row r="28" spans="1:5" x14ac:dyDescent="0.35">
      <c r="A28" s="118">
        <v>21</v>
      </c>
      <c r="B28" s="114" t="s">
        <v>114</v>
      </c>
      <c r="C28" s="109" t="e">
        <f>VLOOKUP(Table25755252691013434446474849565758596315181719224566677172737476777879939495100104109111113115117133[[#This Row],[PEG]],Table1016[#All],2,FALSE)</f>
        <v>#N/A</v>
      </c>
      <c r="D28" s="117"/>
      <c r="E28" s="125" t="e">
        <f>VLOOKUP(Table25755252691013434446474849565758596315181719224566677172737476777879939495100104109111113115117133[[#This Row],[PEG]],Table1016[#All],3,FALSE)</f>
        <v>#N/A</v>
      </c>
    </row>
    <row r="29" spans="1:5" x14ac:dyDescent="0.35">
      <c r="A29" s="118">
        <v>22</v>
      </c>
      <c r="B29" s="114" t="s">
        <v>12</v>
      </c>
      <c r="C29" s="109" t="e">
        <f>VLOOKUP(Table25755252691013434446474849565758596315181719224566677172737476777879939495100104109111113115117133[[#This Row],[PEG]],Table1016[#All],2,FALSE)</f>
        <v>#N/A</v>
      </c>
      <c r="D29" s="117"/>
      <c r="E29" s="125" t="e">
        <f>VLOOKUP(Table25755252691013434446474849565758596315181719224566677172737476777879939495100104109111113115117133[[#This Row],[PEG]],Table1016[#All],3,FALSE)</f>
        <v>#N/A</v>
      </c>
    </row>
    <row r="30" spans="1:5" x14ac:dyDescent="0.35">
      <c r="A30" s="118">
        <v>23</v>
      </c>
      <c r="B30" s="114" t="s">
        <v>12</v>
      </c>
      <c r="C30" s="109" t="e">
        <f>VLOOKUP(Table25755252691013434446474849565758596315181719224566677172737476777879939495100104109111113115117133[[#This Row],[PEG]],Table1016[#All],2,FALSE)</f>
        <v>#N/A</v>
      </c>
      <c r="D30" s="117"/>
      <c r="E30" s="125" t="e">
        <f>VLOOKUP(Table25755252691013434446474849565758596315181719224566677172737476777879939495100104109111113115117133[[#This Row],[PEG]],Table1016[#All],3,FALSE)</f>
        <v>#N/A</v>
      </c>
    </row>
    <row r="31" spans="1:5" x14ac:dyDescent="0.35">
      <c r="A31" s="118">
        <v>24</v>
      </c>
      <c r="B31" s="114" t="s">
        <v>115</v>
      </c>
      <c r="C31" s="109" t="e">
        <f>VLOOKUP(Table25755252691013434446474849565758596315181719224566677172737476777879939495100104109111113115117133[[#This Row],[PEG]],Table1016[#All],2,FALSE)</f>
        <v>#N/A</v>
      </c>
      <c r="D31" s="117"/>
      <c r="E31" s="125" t="e">
        <f>VLOOKUP(Table25755252691013434446474849565758596315181719224566677172737476777879939495100104109111113115117133[[#This Row],[PEG]],Table1016[#All],3,FALSE)</f>
        <v>#N/A</v>
      </c>
    </row>
    <row r="32" spans="1:5" x14ac:dyDescent="0.35">
      <c r="A32" s="118">
        <v>25</v>
      </c>
      <c r="B32" s="114" t="s">
        <v>115</v>
      </c>
      <c r="C32" s="109" t="e">
        <f>VLOOKUP(Table25755252691013434446474849565758596315181719224566677172737476777879939495100104109111113115117133[[#This Row],[PEG]],Table1016[#All],2,FALSE)</f>
        <v>#N/A</v>
      </c>
      <c r="D32" s="117"/>
      <c r="E32" s="125" t="e">
        <f>VLOOKUP(Table25755252691013434446474849565758596315181719224566677172737476777879939495100104109111113115117133[[#This Row],[PEG]],Table1016[#All],3,FALSE)</f>
        <v>#N/A</v>
      </c>
    </row>
    <row r="33" spans="1:5" x14ac:dyDescent="0.35">
      <c r="A33" s="118">
        <v>26</v>
      </c>
      <c r="B33" s="114" t="s">
        <v>124</v>
      </c>
      <c r="C33" s="109" t="e">
        <f>VLOOKUP(Table25755252691013434446474849565758596315181719224566677172737476777879939495100104109111113115117133[[#This Row],[PEG]],Table1016[#All],2,FALSE)</f>
        <v>#N/A</v>
      </c>
      <c r="D33" s="117"/>
      <c r="E33" s="125" t="e">
        <f>VLOOKUP(Table25755252691013434446474849565758596315181719224566677172737476777879939495100104109111113115117133[[#This Row],[PEG]],Table1016[#All],3,FALSE)</f>
        <v>#N/A</v>
      </c>
    </row>
    <row r="34" spans="1:5" x14ac:dyDescent="0.35">
      <c r="A34" s="118">
        <v>27</v>
      </c>
      <c r="B34" s="114" t="s">
        <v>115</v>
      </c>
      <c r="C34" s="109" t="e">
        <f>VLOOKUP(Table25755252691013434446474849565758596315181719224566677172737476777879939495100104109111113115117133[[#This Row],[PEG]],Table1016[#All],2,FALSE)</f>
        <v>#N/A</v>
      </c>
      <c r="D34" s="117"/>
      <c r="E34" s="125" t="e">
        <f>VLOOKUP(Table25755252691013434446474849565758596315181719224566677172737476777879939495100104109111113115117133[[#This Row],[PEG]],Table1016[#All],3,FALSE)</f>
        <v>#N/A</v>
      </c>
    </row>
    <row r="35" spans="1:5" x14ac:dyDescent="0.35">
      <c r="A35" s="118">
        <v>28</v>
      </c>
      <c r="B35" s="114" t="s">
        <v>124</v>
      </c>
      <c r="C35" s="109" t="e">
        <f>VLOOKUP(Table25755252691013434446474849565758596315181719224566677172737476777879939495100104109111113115117133[[#This Row],[PEG]],Table1016[#All],2,FALSE)</f>
        <v>#N/A</v>
      </c>
      <c r="D35" s="117"/>
      <c r="E35" s="125" t="e">
        <f>VLOOKUP(Table25755252691013434446474849565758596315181719224566677172737476777879939495100104109111113115117133[[#This Row],[PEG]],Table1016[#All],3,FALSE)</f>
        <v>#N/A</v>
      </c>
    </row>
    <row r="36" spans="1:5" x14ac:dyDescent="0.35">
      <c r="A36" s="118">
        <v>29</v>
      </c>
      <c r="B36" s="114" t="s">
        <v>115</v>
      </c>
      <c r="C36" s="109" t="e">
        <f>VLOOKUP(Table25755252691013434446474849565758596315181719224566677172737476777879939495100104109111113115117133[[#This Row],[PEG]],Table1016[#All],2,FALSE)</f>
        <v>#N/A</v>
      </c>
      <c r="D36" s="117"/>
      <c r="E36" s="125" t="e">
        <f>VLOOKUP(Table25755252691013434446474849565758596315181719224566677172737476777879939495100104109111113115117133[[#This Row],[PEG]],Table1016[#All],3,FALSE)</f>
        <v>#N/A</v>
      </c>
    </row>
    <row r="37" spans="1:5" x14ac:dyDescent="0.35">
      <c r="A37" s="118">
        <v>30</v>
      </c>
      <c r="B37" s="114" t="s">
        <v>12</v>
      </c>
      <c r="C37" s="109" t="e">
        <f>VLOOKUP(Table25755252691013434446474849565758596315181719224566677172737476777879939495100104109111113115117133[[#This Row],[PEG]],Table1016[#All],2,FALSE)</f>
        <v>#N/A</v>
      </c>
      <c r="D37" s="117"/>
      <c r="E37" s="125" t="e">
        <f>VLOOKUP(Table25755252691013434446474849565758596315181719224566677172737476777879939495100104109111113115117133[[#This Row],[PEG]],Table1016[#All],3,FALSE)</f>
        <v>#N/A</v>
      </c>
    </row>
    <row r="38" spans="1:5" x14ac:dyDescent="0.35">
      <c r="A38" s="118">
        <v>31</v>
      </c>
      <c r="B38" s="114" t="s">
        <v>12</v>
      </c>
      <c r="C38" s="109" t="e">
        <f>VLOOKUP(Table25755252691013434446474849565758596315181719224566677172737476777879939495100104109111113115117133[[#This Row],[PEG]],Table1016[#All],2,FALSE)</f>
        <v>#N/A</v>
      </c>
      <c r="D38" s="117"/>
      <c r="E38" s="125" t="e">
        <f>VLOOKUP(Table25755252691013434446474849565758596315181719224566677172737476777879939495100104109111113115117133[[#This Row],[PEG]],Table1016[#All],3,FALSE)</f>
        <v>#N/A</v>
      </c>
    </row>
    <row r="39" spans="1:5" x14ac:dyDescent="0.35">
      <c r="A39" s="118">
        <v>32</v>
      </c>
      <c r="B39" s="114" t="s">
        <v>12</v>
      </c>
      <c r="C39" s="109" t="e">
        <f>VLOOKUP(Table25755252691013434446474849565758596315181719224566677172737476777879939495100104109111113115117133[[#This Row],[PEG]],Table1016[#All],2,FALSE)</f>
        <v>#N/A</v>
      </c>
      <c r="D39" s="117"/>
      <c r="E39" s="125" t="e">
        <f>VLOOKUP(Table25755252691013434446474849565758596315181719224566677172737476777879939495100104109111113115117133[[#This Row],[PEG]],Table1016[#All],3,FALSE)</f>
        <v>#N/A</v>
      </c>
    </row>
    <row r="40" spans="1:5" x14ac:dyDescent="0.35">
      <c r="A40" s="118">
        <v>33</v>
      </c>
      <c r="B40" s="114" t="s">
        <v>12</v>
      </c>
      <c r="C40" s="109" t="e">
        <f>VLOOKUP(Table25755252691013434446474849565758596315181719224566677172737476777879939495100104109111113115117133[[#This Row],[PEG]],Table1016[#All],2,FALSE)</f>
        <v>#N/A</v>
      </c>
      <c r="D40" s="117"/>
      <c r="E40" s="125" t="e">
        <f>VLOOKUP(Table25755252691013434446474849565758596315181719224566677172737476777879939495100104109111113115117133[[#This Row],[PEG]],Table1016[#All],3,FALSE)</f>
        <v>#N/A</v>
      </c>
    </row>
    <row r="41" spans="1:5" x14ac:dyDescent="0.35">
      <c r="A41" s="118">
        <v>34</v>
      </c>
      <c r="B41" s="114" t="s">
        <v>115</v>
      </c>
      <c r="C41" s="109" t="e">
        <f>VLOOKUP(Table25755252691013434446474849565758596315181719224566677172737476777879939495100104109111113115117133[[#This Row],[PEG]],Table1016[#All],2,FALSE)</f>
        <v>#N/A</v>
      </c>
      <c r="D41" s="117"/>
      <c r="E41" s="125" t="e">
        <f>VLOOKUP(Table25755252691013434446474849565758596315181719224566677172737476777879939495100104109111113115117133[[#This Row],[PEG]],Table1016[#All],3,FALSE)</f>
        <v>#N/A</v>
      </c>
    </row>
    <row r="42" spans="1:5" x14ac:dyDescent="0.35">
      <c r="A42" s="118">
        <v>35</v>
      </c>
      <c r="B42" s="114" t="s">
        <v>13</v>
      </c>
      <c r="C42" s="18" t="s">
        <v>13</v>
      </c>
      <c r="D42" s="115"/>
      <c r="E42" s="32"/>
    </row>
  </sheetData>
  <mergeCells count="1">
    <mergeCell ref="A1:B1"/>
  </mergeCells>
  <conditionalFormatting sqref="B8:B18">
    <cfRule type="containsText" dxfId="3897" priority="1" operator="containsText" text="Hear">
      <formula>NOT(ISERROR(SEARCH("Hear",B8)))</formula>
    </cfRule>
  </conditionalFormatting>
  <conditionalFormatting sqref="B36:B38 B40:B41">
    <cfRule type="containsText" dxfId="3896" priority="3" operator="containsText" text="Hear">
      <formula>NOT(ISERROR(SEARCH("Hear",B36)))</formula>
    </cfRule>
  </conditionalFormatting>
  <conditionalFormatting sqref="B19:B29 B31:B35 B42">
    <cfRule type="containsText" dxfId="3895" priority="7" operator="containsText" text="Hear">
      <formula>NOT(ISERROR(SEARCH("Hear",B19)))</formula>
    </cfRule>
  </conditionalFormatting>
  <conditionalFormatting sqref="E42">
    <cfRule type="containsText" dxfId="3894" priority="5" operator="containsText" text="WEB SERVICE">
      <formula>NOT(ISERROR(SEARCH("WEB SERVICE",E42)))</formula>
    </cfRule>
    <cfRule type="containsText" dxfId="3893" priority="6" operator="containsText" text="DB">
      <formula>NOT(ISERROR(SEARCH("DB",E42)))</formula>
    </cfRule>
  </conditionalFormatting>
  <conditionalFormatting sqref="C42">
    <cfRule type="expression" dxfId="3892" priority="10">
      <formula>$B42="HANGUP"</formula>
    </cfRule>
  </conditionalFormatting>
  <conditionalFormatting sqref="B30">
    <cfRule type="containsText" dxfId="3891" priority="4" operator="containsText" text="Hear">
      <formula>NOT(ISERROR(SEARCH("Hear",B30)))</formula>
    </cfRule>
  </conditionalFormatting>
  <hyperlinks>
    <hyperlink ref="A1" location="'Test Case Overview'!A1" display="Return to Test Case Overview" xr:uid="{C226338F-61E3-4642-9587-973343454482}"/>
  </hyperlinks>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expression" priority="11" id="{F8308466-DCA9-4131-AC9E-54EE2F8C19FF}">
            <xm:f>'TC1'!$B8="HANGUP"</xm:f>
            <x14:dxf>
              <font>
                <b/>
                <i val="0"/>
              </font>
            </x14:dxf>
          </x14:cfRule>
          <x14:cfRule type="expression" priority="12" id="{C2E3B34E-7E15-4336-9638-B2E11A72DF9C}">
            <xm:f>'TC1'!$B8="Dial"</xm:f>
            <x14:dxf>
              <font>
                <b/>
                <i val="0"/>
                <color rgb="FFFF0000"/>
              </font>
            </x14:dxf>
          </x14:cfRule>
          <xm:sqref>C8</xm:sqref>
        </x14:conditionalFormatting>
        <x14:conditionalFormatting xmlns:xm="http://schemas.microsoft.com/office/excel/2006/main">
          <x14:cfRule type="expression" priority="13" id="{7AB2986D-2CDD-452E-A531-EB703ACF19E5}">
            <xm:f>'TC1'!$B8="Speak"</xm:f>
            <x14:dxf>
              <font>
                <b/>
                <i val="0"/>
                <color rgb="FFFF0000"/>
              </font>
            </x14:dxf>
          </x14:cfRule>
          <xm:sqref>C8</xm:sqref>
        </x14:conditionalFormatting>
        <x14:conditionalFormatting xmlns:xm="http://schemas.microsoft.com/office/excel/2006/main">
          <x14:cfRule type="containsText" priority="2" operator="containsText" text="Hear" id="{1E9B3D38-DB12-48DC-A97A-75001C468631}">
            <xm:f>NOT(ISERROR(SEARCH("Hear",'TC3'!B34)))</xm:f>
            <x14:dxf>
              <font>
                <color theme="9" tint="-0.24994659260841701"/>
              </font>
              <fill>
                <patternFill>
                  <bgColor theme="9" tint="0.59996337778862885"/>
                </patternFill>
              </fill>
            </x14:dxf>
          </x14:cfRule>
          <xm:sqref>B41</xm:sqref>
        </x14:conditionalFormatting>
        <x14:conditionalFormatting xmlns:xm="http://schemas.microsoft.com/office/excel/2006/main">
          <x14:cfRule type="expression" priority="1723" id="{F8308466-DCA9-4131-AC9E-54EE2F8C19FF}">
            <xm:f>'TC1'!$B16="HANGUP"</xm:f>
            <x14:dxf>
              <font>
                <b/>
                <i val="0"/>
              </font>
            </x14:dxf>
          </x14:cfRule>
          <x14:cfRule type="expression" priority="1724" id="{C2E3B34E-7E15-4336-9638-B2E11A72DF9C}">
            <xm:f>'TC1'!$B16="Dial"</xm:f>
            <x14:dxf>
              <font>
                <b/>
                <i val="0"/>
                <color rgb="FFFF0000"/>
              </font>
            </x14:dxf>
          </x14:cfRule>
          <xm:sqref>C34:C41</xm:sqref>
        </x14:conditionalFormatting>
        <x14:conditionalFormatting xmlns:xm="http://schemas.microsoft.com/office/excel/2006/main">
          <x14:cfRule type="expression" priority="1725" id="{F8308466-DCA9-4131-AC9E-54EE2F8C19FF}">
            <xm:f>'TC1'!#REF!="HANGUP"</xm:f>
            <x14:dxf>
              <font>
                <b/>
                <i val="0"/>
              </font>
            </x14:dxf>
          </x14:cfRule>
          <x14:cfRule type="expression" priority="1726" id="{C2E3B34E-7E15-4336-9638-B2E11A72DF9C}">
            <xm:f>'TC1'!#REF!="Dial"</xm:f>
            <x14:dxf>
              <font>
                <b/>
                <i val="0"/>
                <color rgb="FFFF0000"/>
              </font>
            </x14:dxf>
          </x14:cfRule>
          <xm:sqref>C17:C33</xm:sqref>
        </x14:conditionalFormatting>
        <x14:conditionalFormatting xmlns:xm="http://schemas.microsoft.com/office/excel/2006/main">
          <x14:cfRule type="expression" priority="1730" id="{7AB2986D-2CDD-452E-A531-EB703ACF19E5}">
            <xm:f>'TC1'!$B16="Speak"</xm:f>
            <x14:dxf>
              <font>
                <b/>
                <i val="0"/>
                <color rgb="FFFF0000"/>
              </font>
            </x14:dxf>
          </x14:cfRule>
          <xm:sqref>C34:C41</xm:sqref>
        </x14:conditionalFormatting>
        <x14:conditionalFormatting xmlns:xm="http://schemas.microsoft.com/office/excel/2006/main">
          <x14:cfRule type="expression" priority="1731" id="{7AB2986D-2CDD-452E-A531-EB703ACF19E5}">
            <xm:f>'TC1'!#REF!="Speak"</xm:f>
            <x14:dxf>
              <font>
                <b/>
                <i val="0"/>
                <color rgb="FFFF0000"/>
              </font>
            </x14:dxf>
          </x14:cfRule>
          <xm:sqref>C17:C33</xm:sqref>
        </x14:conditionalFormatting>
        <x14:conditionalFormatting xmlns:xm="http://schemas.microsoft.com/office/excel/2006/main">
          <x14:cfRule type="containsText" priority="1735" operator="containsText" text="DB" id="{D6FF537B-37C7-4741-A1E8-7D20773BA6BC}">
            <xm:f>NOT(ISERROR(SEARCH("DB",'TC1'!E16)))</xm:f>
            <x14:dxf>
              <font>
                <color rgb="FF006100"/>
              </font>
              <fill>
                <patternFill>
                  <bgColor rgb="FFC6EFCE"/>
                </patternFill>
              </fill>
            </x14:dxf>
          </x14:cfRule>
          <x14:cfRule type="containsText" priority="1736" operator="containsText" text="WEB SERVICE" id="{A35B9AAF-FF08-4FE2-82B2-9ADD63F490E8}">
            <xm:f>NOT(ISERROR(SEARCH("WEB SERVICE",'TC1'!E16)))</xm:f>
            <x14:dxf>
              <font>
                <color rgb="FF9C0006"/>
              </font>
              <fill>
                <patternFill>
                  <bgColor rgb="FFFFC7CE"/>
                </patternFill>
              </fill>
            </x14:dxf>
          </x14:cfRule>
          <xm:sqref>E34:E41</xm:sqref>
        </x14:conditionalFormatting>
        <x14:conditionalFormatting xmlns:xm="http://schemas.microsoft.com/office/excel/2006/main">
          <x14:cfRule type="containsText" priority="1737" operator="containsText" text="DB" id="{D6FF537B-37C7-4741-A1E8-7D20773BA6BC}">
            <xm:f>NOT(ISERROR(SEARCH("DB",'TC1'!#REF!)))</xm:f>
            <x14:dxf>
              <font>
                <color rgb="FF006100"/>
              </font>
              <fill>
                <patternFill>
                  <bgColor rgb="FFC6EFCE"/>
                </patternFill>
              </fill>
            </x14:dxf>
          </x14:cfRule>
          <x14:cfRule type="containsText" priority="1738" operator="containsText" text="WEB SERVICE" id="{A35B9AAF-FF08-4FE2-82B2-9ADD63F490E8}">
            <xm:f>NOT(ISERROR(SEARCH("WEB SERVICE",'TC1'!#REF!)))</xm:f>
            <x14:dxf>
              <font>
                <color rgb="FF9C0006"/>
              </font>
              <fill>
                <patternFill>
                  <bgColor rgb="FFFFC7CE"/>
                </patternFill>
              </fill>
            </x14:dxf>
          </x14:cfRule>
          <xm:sqref>E17:E33</xm:sqref>
        </x14:conditionalFormatting>
        <x14:conditionalFormatting xmlns:xm="http://schemas.microsoft.com/office/excel/2006/main">
          <x14:cfRule type="expression" priority="4489" id="{F8308466-DCA9-4131-AC9E-54EE2F8C19FF}">
            <xm:f>'TC1'!$B9="HANGUP"</xm:f>
            <x14:dxf>
              <font>
                <b/>
                <i val="0"/>
              </font>
            </x14:dxf>
          </x14:cfRule>
          <x14:cfRule type="expression" priority="4490" id="{C2E3B34E-7E15-4336-9638-B2E11A72DF9C}">
            <xm:f>'TC1'!$B9="Dial"</xm:f>
            <x14:dxf>
              <font>
                <b/>
                <i val="0"/>
                <color rgb="FFFF0000"/>
              </font>
            </x14:dxf>
          </x14:cfRule>
          <xm:sqref>C12:C15</xm:sqref>
        </x14:conditionalFormatting>
        <x14:conditionalFormatting xmlns:xm="http://schemas.microsoft.com/office/excel/2006/main">
          <x14:cfRule type="expression" priority="4491" id="{F8308466-DCA9-4131-AC9E-54EE2F8C19FF}">
            <xm:f>'TC1'!#REF!="HANGUP"</xm:f>
            <x14:dxf>
              <font>
                <b/>
                <i val="0"/>
              </font>
            </x14:dxf>
          </x14:cfRule>
          <x14:cfRule type="expression" priority="4492" id="{C2E3B34E-7E15-4336-9638-B2E11A72DF9C}">
            <xm:f>'TC1'!#REF!="Dial"</xm:f>
            <x14:dxf>
              <font>
                <b/>
                <i val="0"/>
                <color rgb="FFFF0000"/>
              </font>
            </x14:dxf>
          </x14:cfRule>
          <xm:sqref>C9:C11</xm:sqref>
        </x14:conditionalFormatting>
        <x14:conditionalFormatting xmlns:xm="http://schemas.microsoft.com/office/excel/2006/main">
          <x14:cfRule type="expression" priority="4496" id="{7AB2986D-2CDD-452E-A531-EB703ACF19E5}">
            <xm:f>'TC1'!$B9="Speak"</xm:f>
            <x14:dxf>
              <font>
                <b/>
                <i val="0"/>
                <color rgb="FFFF0000"/>
              </font>
            </x14:dxf>
          </x14:cfRule>
          <xm:sqref>C12:C15</xm:sqref>
        </x14:conditionalFormatting>
        <x14:conditionalFormatting xmlns:xm="http://schemas.microsoft.com/office/excel/2006/main">
          <x14:cfRule type="expression" priority="4497" id="{7AB2986D-2CDD-452E-A531-EB703ACF19E5}">
            <xm:f>'TC1'!#REF!="Speak"</xm:f>
            <x14:dxf>
              <font>
                <b/>
                <i val="0"/>
                <color rgb="FFFF0000"/>
              </font>
            </x14:dxf>
          </x14:cfRule>
          <xm:sqref>C9:C11</xm:sqref>
        </x14:conditionalFormatting>
        <x14:conditionalFormatting xmlns:xm="http://schemas.microsoft.com/office/excel/2006/main">
          <x14:cfRule type="containsText" priority="4499" operator="containsText" text="DB" id="{D6FF537B-37C7-4741-A1E8-7D20773BA6BC}">
            <xm:f>NOT(ISERROR(SEARCH("DB",'TC1'!#REF!)))</xm:f>
            <x14:dxf>
              <font>
                <color rgb="FF006100"/>
              </font>
              <fill>
                <patternFill>
                  <bgColor rgb="FFC6EFCE"/>
                </patternFill>
              </fill>
            </x14:dxf>
          </x14:cfRule>
          <x14:cfRule type="containsText" priority="4500" operator="containsText" text="WEB SERVICE" id="{A35B9AAF-FF08-4FE2-82B2-9ADD63F490E8}">
            <xm:f>NOT(ISERROR(SEARCH("WEB SERVICE",'TC1'!#REF!)))</xm:f>
            <x14:dxf>
              <font>
                <color rgb="FF9C0006"/>
              </font>
              <fill>
                <patternFill>
                  <bgColor rgb="FFFFC7CE"/>
                </patternFill>
              </fill>
            </x14:dxf>
          </x14:cfRule>
          <xm:sqref>E9:E11</xm:sqref>
        </x14:conditionalFormatting>
        <x14:conditionalFormatting xmlns:xm="http://schemas.microsoft.com/office/excel/2006/main">
          <x14:cfRule type="containsText" priority="4501" operator="containsText" text="DB" id="{D6FF537B-37C7-4741-A1E8-7D20773BA6BC}">
            <xm:f>NOT(ISERROR(SEARCH("DB",'TC1'!E9)))</xm:f>
            <x14:dxf>
              <font>
                <color rgb="FF006100"/>
              </font>
              <fill>
                <patternFill>
                  <bgColor rgb="FFC6EFCE"/>
                </patternFill>
              </fill>
            </x14:dxf>
          </x14:cfRule>
          <x14:cfRule type="containsText" priority="4502" operator="containsText" text="WEB SERVICE" id="{A35B9AAF-FF08-4FE2-82B2-9ADD63F490E8}">
            <xm:f>NOT(ISERROR(SEARCH("WEB SERVICE",'TC1'!E9)))</xm:f>
            <x14:dxf>
              <font>
                <color rgb="FF9C0006"/>
              </font>
              <fill>
                <patternFill>
                  <bgColor rgb="FFFFC7CE"/>
                </patternFill>
              </fill>
            </x14:dxf>
          </x14:cfRule>
          <xm:sqref>E12:E15</xm:sqref>
        </x14:conditionalFormatting>
        <x14:conditionalFormatting xmlns:xm="http://schemas.microsoft.com/office/excel/2006/main">
          <x14:cfRule type="expression" priority="6920" id="{F8308466-DCA9-4131-AC9E-54EE2F8C19FF}">
            <xm:f>'TC1'!$B15="HANGUP"</xm:f>
            <x14:dxf>
              <font>
                <b/>
                <i val="0"/>
              </font>
            </x14:dxf>
          </x14:cfRule>
          <x14:cfRule type="expression" priority="6921" id="{C2E3B34E-7E15-4336-9638-B2E11A72DF9C}">
            <xm:f>'TC1'!$B15="Dial"</xm:f>
            <x14:dxf>
              <font>
                <b/>
                <i val="0"/>
                <color rgb="FFFF0000"/>
              </font>
            </x14:dxf>
          </x14:cfRule>
          <xm:sqref>C16</xm:sqref>
        </x14:conditionalFormatting>
        <x14:conditionalFormatting xmlns:xm="http://schemas.microsoft.com/office/excel/2006/main">
          <x14:cfRule type="expression" priority="6923" id="{7AB2986D-2CDD-452E-A531-EB703ACF19E5}">
            <xm:f>'TC1'!$B15="Speak"</xm:f>
            <x14:dxf>
              <font>
                <b/>
                <i val="0"/>
                <color rgb="FFFF0000"/>
              </font>
            </x14:dxf>
          </x14:cfRule>
          <xm:sqref>C16</xm:sqref>
        </x14:conditionalFormatting>
        <x14:conditionalFormatting xmlns:xm="http://schemas.microsoft.com/office/excel/2006/main">
          <x14:cfRule type="containsText" priority="6926" operator="containsText" text="DB" id="{D6FF537B-37C7-4741-A1E8-7D20773BA6BC}">
            <xm:f>NOT(ISERROR(SEARCH("DB",'TC1'!E15)))</xm:f>
            <x14:dxf>
              <font>
                <color rgb="FF006100"/>
              </font>
              <fill>
                <patternFill>
                  <bgColor rgb="FFC6EFCE"/>
                </patternFill>
              </fill>
            </x14:dxf>
          </x14:cfRule>
          <x14:cfRule type="containsText" priority="6927" operator="containsText" text="WEB SERVICE" id="{A35B9AAF-FF08-4FE2-82B2-9ADD63F490E8}">
            <xm:f>NOT(ISERROR(SEARCH("WEB SERVICE",'TC1'!E15)))</xm:f>
            <x14:dxf>
              <font>
                <color rgb="FF9C0006"/>
              </font>
              <fill>
                <patternFill>
                  <bgColor rgb="FFFFC7CE"/>
                </patternFill>
              </fill>
            </x14:dxf>
          </x14:cfRule>
          <xm:sqref>E16</xm:sqref>
        </x14:conditionalFormatting>
        <x14:conditionalFormatting xmlns:xm="http://schemas.microsoft.com/office/excel/2006/main">
          <x14:cfRule type="containsText" priority="9294" operator="containsText" text="Hear" id="{A2359FAC-828C-4E6C-8502-2ACC63D46040}">
            <xm:f>NOT(ISERROR(SEARCH("Hear",'TC26'!#REF!)))</xm:f>
            <x14:dxf>
              <font>
                <color theme="9" tint="-0.24994659260841701"/>
              </font>
              <fill>
                <patternFill>
                  <bgColor theme="9" tint="0.59996337778862885"/>
                </patternFill>
              </fill>
            </x14:dxf>
          </x14:cfRule>
          <xm:sqref>B39</xm:sqref>
        </x14:conditionalFormatting>
      </x14:conditionalFormattings>
    </ext>
  </extLst>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A00-000000000000}">
  <sheetPr codeName="Sheet76"/>
  <dimension ref="A1:E42"/>
  <sheetViews>
    <sheetView zoomScaleNormal="100" workbookViewId="0">
      <selection activeCell="A2" sqref="A2"/>
    </sheetView>
  </sheetViews>
  <sheetFormatPr defaultRowHeight="14.5" x14ac:dyDescent="0.35"/>
  <cols>
    <col min="1" max="1" width="14.453125" bestFit="1" customWidth="1"/>
    <col min="2" max="2" width="42.6328125" customWidth="1"/>
    <col min="3" max="3" width="106.1796875" customWidth="1"/>
    <col min="4" max="4" width="21.81640625" bestFit="1" customWidth="1"/>
    <col min="5" max="5" width="20.6328125" customWidth="1"/>
  </cols>
  <sheetData>
    <row r="1" spans="1:5" ht="18.5" x14ac:dyDescent="0.35">
      <c r="A1" s="192" t="s">
        <v>4</v>
      </c>
      <c r="B1" s="192"/>
      <c r="C1" s="105"/>
      <c r="D1" s="111"/>
      <c r="E1" s="97"/>
    </row>
    <row r="2" spans="1:5" x14ac:dyDescent="0.35">
      <c r="A2" s="106" t="s">
        <v>5</v>
      </c>
      <c r="B2" s="107" t="str">
        <f ca="1">MID(CELL("filename",A1),FIND("]",CELL("filename",A1))+1,LEN(CELL("filename",A1))-FIND("]",CELL("filename",A1)))</f>
        <v>TC74</v>
      </c>
      <c r="C2" s="98"/>
      <c r="D2" s="111"/>
      <c r="E2" s="97"/>
    </row>
    <row r="3" spans="1:5" x14ac:dyDescent="0.35">
      <c r="A3" s="104" t="s">
        <v>19</v>
      </c>
      <c r="B3" s="112" t="e">
        <f ca="1">VLOOKUP(B2,Table1[#All],2,FALSE)</f>
        <v>#N/A</v>
      </c>
      <c r="C3" s="98"/>
      <c r="D3" s="111"/>
      <c r="E3" s="97"/>
    </row>
    <row r="4" spans="1:5" ht="29" x14ac:dyDescent="0.35">
      <c r="A4" s="113" t="s">
        <v>20</v>
      </c>
      <c r="B4" s="99" t="e">
        <f ca="1">VLOOKUP(B2,Table1[#All],4,FALSE)</f>
        <v>#N/A</v>
      </c>
      <c r="C4" s="98"/>
      <c r="D4" s="111"/>
      <c r="E4" s="97"/>
    </row>
    <row r="5" spans="1:5" x14ac:dyDescent="0.35">
      <c r="A5" s="104" t="s">
        <v>6</v>
      </c>
      <c r="B5" s="93" t="e">
        <f ca="1">VLOOKUP(B2,Table1[#All],3,FALSE)</f>
        <v>#N/A</v>
      </c>
      <c r="C5" s="98"/>
      <c r="D5" s="111"/>
      <c r="E5" s="97"/>
    </row>
    <row r="6" spans="1:5" x14ac:dyDescent="0.35">
      <c r="A6" s="97"/>
      <c r="B6" s="97"/>
      <c r="C6" s="98"/>
      <c r="D6" s="111"/>
      <c r="E6" s="97"/>
    </row>
    <row r="7" spans="1:5" ht="15.5" x14ac:dyDescent="0.35">
      <c r="A7" s="100" t="s">
        <v>7</v>
      </c>
      <c r="B7" s="101" t="s">
        <v>8</v>
      </c>
      <c r="C7" s="102" t="s">
        <v>9</v>
      </c>
      <c r="D7" s="102" t="s">
        <v>14</v>
      </c>
      <c r="E7" s="103" t="s">
        <v>10</v>
      </c>
    </row>
    <row r="8" spans="1:5" x14ac:dyDescent="0.35">
      <c r="A8" s="118">
        <v>1</v>
      </c>
      <c r="B8" s="114" t="s">
        <v>114</v>
      </c>
      <c r="C8" s="109" t="s">
        <v>125</v>
      </c>
      <c r="D8" s="128"/>
      <c r="E8" s="125" t="s">
        <v>11</v>
      </c>
    </row>
    <row r="9" spans="1:5" x14ac:dyDescent="0.35">
      <c r="A9" s="118">
        <v>2</v>
      </c>
      <c r="B9" s="114" t="s">
        <v>12</v>
      </c>
      <c r="C9" s="109" t="e">
        <f>VLOOKUP(Table25755252691013434446474849565758596315181719224566677172737476777879939495100104109111113115117135[[#This Row],[PEG]],Table1016[#All],2,FALSE)</f>
        <v>#N/A</v>
      </c>
      <c r="D9" s="128"/>
      <c r="E9" s="125" t="e">
        <f>VLOOKUP(Table25755252691013434446474849565758596315181719224566677172737476777879939495100104109111113115117135[[#This Row],[PEG]],Table1016[#All],3,FALSE)</f>
        <v>#N/A</v>
      </c>
    </row>
    <row r="10" spans="1:5" x14ac:dyDescent="0.35">
      <c r="A10" s="118">
        <v>3</v>
      </c>
      <c r="B10" s="114" t="s">
        <v>115</v>
      </c>
      <c r="C10" s="109" t="e">
        <f>VLOOKUP(Table25755252691013434446474849565758596315181719224566677172737476777879939495100104109111113115117135[[#This Row],[PEG]],Table1016[#All],2,FALSE)</f>
        <v>#N/A</v>
      </c>
      <c r="D10" s="128"/>
      <c r="E10" s="125" t="e">
        <f>VLOOKUP(Table25755252691013434446474849565758596315181719224566677172737476777879939495100104109111113115117135[[#This Row],[PEG]],Table1016[#All],3,FALSE)</f>
        <v>#N/A</v>
      </c>
    </row>
    <row r="11" spans="1:5" x14ac:dyDescent="0.35">
      <c r="A11" s="118">
        <v>4</v>
      </c>
      <c r="B11" s="114" t="s">
        <v>115</v>
      </c>
      <c r="C11" s="109" t="e">
        <f>VLOOKUP(Table25755252691013434446474849565758596315181719224566677172737476777879939495100104109111113115117135[[#This Row],[PEG]],Table1016[#All],2,FALSE)</f>
        <v>#N/A</v>
      </c>
      <c r="D11" s="128"/>
      <c r="E11" s="125" t="e">
        <f>VLOOKUP(Table25755252691013434446474849565758596315181719224566677172737476777879939495100104109111113115117135[[#This Row],[PEG]],Table1016[#All],3,FALSE)</f>
        <v>#N/A</v>
      </c>
    </row>
    <row r="12" spans="1:5" x14ac:dyDescent="0.35">
      <c r="A12" s="118">
        <v>5</v>
      </c>
      <c r="B12" s="114" t="s">
        <v>114</v>
      </c>
      <c r="C12" s="109" t="e">
        <f>VLOOKUP(Table25755252691013434446474849565758596315181719224566677172737476777879939495100104109111113115117135[[#This Row],[PEG]],Table1016[#All],2,FALSE)</f>
        <v>#N/A</v>
      </c>
      <c r="D12" s="128"/>
      <c r="E12" s="125" t="e">
        <f>VLOOKUP(Table25755252691013434446474849565758596315181719224566677172737476777879939495100104109111113115117135[[#This Row],[PEG]],Table1016[#All],3,FALSE)</f>
        <v>#N/A</v>
      </c>
    </row>
    <row r="13" spans="1:5" x14ac:dyDescent="0.35">
      <c r="A13" s="118">
        <v>6</v>
      </c>
      <c r="B13" s="114" t="s">
        <v>115</v>
      </c>
      <c r="C13" s="109" t="e">
        <f>VLOOKUP(Table25755252691013434446474849565758596315181719224566677172737476777879939495100104109111113115117135[[#This Row],[PEG]],Table1016[#All],2,FALSE)</f>
        <v>#N/A</v>
      </c>
      <c r="D13" s="128"/>
      <c r="E13" s="125" t="e">
        <f>VLOOKUP(Table25755252691013434446474849565758596315181719224566677172737476777879939495100104109111113115117135[[#This Row],[PEG]],Table1016[#All],3,FALSE)</f>
        <v>#N/A</v>
      </c>
    </row>
    <row r="14" spans="1:5" x14ac:dyDescent="0.35">
      <c r="A14" s="118">
        <v>7</v>
      </c>
      <c r="B14" s="114" t="s">
        <v>114</v>
      </c>
      <c r="C14" s="109" t="e">
        <f>VLOOKUP(Table25755252691013434446474849565758596315181719224566677172737476777879939495100104109111113115117135[[#This Row],[PEG]],Table1016[#All],2,FALSE)</f>
        <v>#N/A</v>
      </c>
      <c r="D14" s="128"/>
      <c r="E14" s="125" t="e">
        <f>VLOOKUP(Table25755252691013434446474849565758596315181719224566677172737476777879939495100104109111113115117135[[#This Row],[PEG]],Table1016[#All],3,FALSE)</f>
        <v>#N/A</v>
      </c>
    </row>
    <row r="15" spans="1:5" x14ac:dyDescent="0.35">
      <c r="A15" s="118">
        <v>8</v>
      </c>
      <c r="B15" s="114" t="s">
        <v>115</v>
      </c>
      <c r="C15" s="109" t="e">
        <f>VLOOKUP(Table25755252691013434446474849565758596315181719224566677172737476777879939495100104109111113115117135[[#This Row],[PEG]],Table1016[#All],2,FALSE)</f>
        <v>#N/A</v>
      </c>
      <c r="D15" s="116"/>
      <c r="E15" s="125" t="e">
        <f>VLOOKUP(Table25755252691013434446474849565758596315181719224566677172737476777879939495100104109111113115117135[[#This Row],[PEG]],Table1016[#All],3,FALSE)</f>
        <v>#N/A</v>
      </c>
    </row>
    <row r="16" spans="1:5" x14ac:dyDescent="0.35">
      <c r="A16" s="118">
        <v>9</v>
      </c>
      <c r="B16" s="114" t="s">
        <v>12</v>
      </c>
      <c r="C16" s="109" t="e">
        <f>VLOOKUP(Table25755252691013434446474849565758596315181719224566677172737476777879939495100104109111113115117135[[#This Row],[PEG]],Table1016[#All],2,FALSE)</f>
        <v>#N/A</v>
      </c>
      <c r="D16" s="116"/>
      <c r="E16" s="125" t="e">
        <f>VLOOKUP(Table25755252691013434446474849565758596315181719224566677172737476777879939495100104109111113115117135[[#This Row],[PEG]],Table1016[#All],3,FALSE)</f>
        <v>#N/A</v>
      </c>
    </row>
    <row r="17" spans="1:5" x14ac:dyDescent="0.35">
      <c r="A17" s="118">
        <v>10</v>
      </c>
      <c r="B17" s="114" t="s">
        <v>12</v>
      </c>
      <c r="C17" s="109" t="e">
        <f>VLOOKUP(Table25755252691013434446474849565758596315181719224566677172737476777879939495100104109111113115117135[[#This Row],[PEG]],Table1016[#All],2,FALSE)</f>
        <v>#N/A</v>
      </c>
      <c r="D17" s="117"/>
      <c r="E17" s="125" t="e">
        <f>VLOOKUP(Table25755252691013434446474849565758596315181719224566677172737476777879939495100104109111113115117135[[#This Row],[PEG]],Table1016[#All],3,FALSE)</f>
        <v>#N/A</v>
      </c>
    </row>
    <row r="18" spans="1:5" x14ac:dyDescent="0.35">
      <c r="A18" s="118">
        <v>11</v>
      </c>
      <c r="B18" s="114" t="s">
        <v>115</v>
      </c>
      <c r="C18" s="109" t="e">
        <f>VLOOKUP(Table25755252691013434446474849565758596315181719224566677172737476777879939495100104109111113115117135[[#This Row],[PEG]],Table1016[#All],2,FALSE)</f>
        <v>#N/A</v>
      </c>
      <c r="D18" s="117"/>
      <c r="E18" s="125" t="e">
        <f>VLOOKUP(Table25755252691013434446474849565758596315181719224566677172737476777879939495100104109111113115117135[[#This Row],[PEG]],Table1016[#All],3,FALSE)</f>
        <v>#N/A</v>
      </c>
    </row>
    <row r="19" spans="1:5" x14ac:dyDescent="0.35">
      <c r="A19" s="118">
        <v>12</v>
      </c>
      <c r="B19" s="114" t="s">
        <v>115</v>
      </c>
      <c r="C19" s="109" t="e">
        <f>VLOOKUP(Table25755252691013434446474849565758596315181719224566677172737476777879939495100104109111113115117135[[#This Row],[PEG]],Table1016[#All],2,FALSE)</f>
        <v>#N/A</v>
      </c>
      <c r="D19" s="117"/>
      <c r="E19" s="125" t="e">
        <f>VLOOKUP(Table25755252691013434446474849565758596315181719224566677172737476777879939495100104109111113115117135[[#This Row],[PEG]],Table1016[#All],3,FALSE)</f>
        <v>#N/A</v>
      </c>
    </row>
    <row r="20" spans="1:5" x14ac:dyDescent="0.35">
      <c r="A20" s="118">
        <v>13</v>
      </c>
      <c r="B20" s="114" t="s">
        <v>114</v>
      </c>
      <c r="C20" s="109" t="e">
        <f>VLOOKUP(Table25755252691013434446474849565758596315181719224566677172737476777879939495100104109111113115117135[[#This Row],[PEG]],Table1016[#All],2,FALSE)</f>
        <v>#N/A</v>
      </c>
      <c r="D20" s="117"/>
      <c r="E20" s="125" t="e">
        <f>VLOOKUP(Table25755252691013434446474849565758596315181719224566677172737476777879939495100104109111113115117135[[#This Row],[PEG]],Table1016[#All],3,FALSE)</f>
        <v>#N/A</v>
      </c>
    </row>
    <row r="21" spans="1:5" x14ac:dyDescent="0.35">
      <c r="A21" s="118">
        <v>14</v>
      </c>
      <c r="B21" s="114" t="s">
        <v>12</v>
      </c>
      <c r="C21" s="109" t="e">
        <f>VLOOKUP(Table25755252691013434446474849565758596315181719224566677172737476777879939495100104109111113115117135[[#This Row],[PEG]],Table1016[#All],2,FALSE)</f>
        <v>#N/A</v>
      </c>
      <c r="D21" s="117"/>
      <c r="E21" s="125" t="e">
        <f>VLOOKUP(Table25755252691013434446474849565758596315181719224566677172737476777879939495100104109111113115117135[[#This Row],[PEG]],Table1016[#All],3,FALSE)</f>
        <v>#N/A</v>
      </c>
    </row>
    <row r="22" spans="1:5" x14ac:dyDescent="0.35">
      <c r="A22" s="118">
        <v>15</v>
      </c>
      <c r="B22" s="114" t="s">
        <v>12</v>
      </c>
      <c r="C22" s="109" t="e">
        <f>VLOOKUP(Table25755252691013434446474849565758596315181719224566677172737476777879939495100104109111113115117135[[#This Row],[PEG]],Table1016[#All],2,FALSE)</f>
        <v>#N/A</v>
      </c>
      <c r="D22" s="117"/>
      <c r="E22" s="125" t="e">
        <f>VLOOKUP(Table25755252691013434446474849565758596315181719224566677172737476777879939495100104109111113115117135[[#This Row],[PEG]],Table1016[#All],3,FALSE)</f>
        <v>#N/A</v>
      </c>
    </row>
    <row r="23" spans="1:5" x14ac:dyDescent="0.35">
      <c r="A23" s="118">
        <v>16</v>
      </c>
      <c r="B23" s="114" t="s">
        <v>115</v>
      </c>
      <c r="C23" s="109" t="e">
        <f>VLOOKUP(Table25755252691013434446474849565758596315181719224566677172737476777879939495100104109111113115117135[[#This Row],[PEG]],Table1016[#All],2,FALSE)</f>
        <v>#N/A</v>
      </c>
      <c r="D23" s="117"/>
      <c r="E23" s="125" t="e">
        <f>VLOOKUP(Table25755252691013434446474849565758596315181719224566677172737476777879939495100104109111113115117135[[#This Row],[PEG]],Table1016[#All],3,FALSE)</f>
        <v>#N/A</v>
      </c>
    </row>
    <row r="24" spans="1:5" x14ac:dyDescent="0.35">
      <c r="A24" s="118">
        <v>17</v>
      </c>
      <c r="B24" s="114" t="s">
        <v>114</v>
      </c>
      <c r="C24" s="109" t="e">
        <f>VLOOKUP(Table25755252691013434446474849565758596315181719224566677172737476777879939495100104109111113115117135[[#This Row],[PEG]],Table1016[#All],2,FALSE)</f>
        <v>#N/A</v>
      </c>
      <c r="D24" s="117"/>
      <c r="E24" s="125" t="e">
        <f>VLOOKUP(Table25755252691013434446474849565758596315181719224566677172737476777879939495100104109111113115117135[[#This Row],[PEG]],Table1016[#All],3,FALSE)</f>
        <v>#N/A</v>
      </c>
    </row>
    <row r="25" spans="1:5" x14ac:dyDescent="0.35">
      <c r="A25" s="118">
        <v>18</v>
      </c>
      <c r="B25" s="114" t="s">
        <v>12</v>
      </c>
      <c r="C25" s="109" t="e">
        <f>VLOOKUP(Table25755252691013434446474849565758596315181719224566677172737476777879939495100104109111113115117135[[#This Row],[PEG]],Table1016[#All],2,FALSE)</f>
        <v>#N/A</v>
      </c>
      <c r="D25" s="117"/>
      <c r="E25" s="125" t="e">
        <f>VLOOKUP(Table25755252691013434446474849565758596315181719224566677172737476777879939495100104109111113115117135[[#This Row],[PEG]],Table1016[#All],3,FALSE)</f>
        <v>#N/A</v>
      </c>
    </row>
    <row r="26" spans="1:5" x14ac:dyDescent="0.35">
      <c r="A26" s="118">
        <v>19</v>
      </c>
      <c r="B26" s="114" t="s">
        <v>12</v>
      </c>
      <c r="C26" s="109" t="e">
        <f>VLOOKUP(Table25755252691013434446474849565758596315181719224566677172737476777879939495100104109111113115117135[[#This Row],[PEG]],Table1016[#All],2,FALSE)</f>
        <v>#N/A</v>
      </c>
      <c r="D26" s="117"/>
      <c r="E26" s="125" t="e">
        <f>VLOOKUP(Table25755252691013434446474849565758596315181719224566677172737476777879939495100104109111113115117135[[#This Row],[PEG]],Table1016[#All],3,FALSE)</f>
        <v>#N/A</v>
      </c>
    </row>
    <row r="27" spans="1:5" x14ac:dyDescent="0.35">
      <c r="A27" s="118">
        <v>20</v>
      </c>
      <c r="B27" s="114" t="s">
        <v>115</v>
      </c>
      <c r="C27" s="109" t="e">
        <f>VLOOKUP(Table25755252691013434446474849565758596315181719224566677172737476777879939495100104109111113115117135[[#This Row],[PEG]],Table1016[#All],2,FALSE)</f>
        <v>#N/A</v>
      </c>
      <c r="D27" s="117"/>
      <c r="E27" s="125" t="e">
        <f>VLOOKUP(Table25755252691013434446474849565758596315181719224566677172737476777879939495100104109111113115117135[[#This Row],[PEG]],Table1016[#All],3,FALSE)</f>
        <v>#N/A</v>
      </c>
    </row>
    <row r="28" spans="1:5" x14ac:dyDescent="0.35">
      <c r="A28" s="118">
        <v>21</v>
      </c>
      <c r="B28" s="114" t="s">
        <v>114</v>
      </c>
      <c r="C28" s="109" t="e">
        <f>VLOOKUP(Table25755252691013434446474849565758596315181719224566677172737476777879939495100104109111113115117135[[#This Row],[PEG]],Table1016[#All],2,FALSE)</f>
        <v>#N/A</v>
      </c>
      <c r="D28" s="117"/>
      <c r="E28" s="125" t="e">
        <f>VLOOKUP(Table25755252691013434446474849565758596315181719224566677172737476777879939495100104109111113115117135[[#This Row],[PEG]],Table1016[#All],3,FALSE)</f>
        <v>#N/A</v>
      </c>
    </row>
    <row r="29" spans="1:5" x14ac:dyDescent="0.35">
      <c r="A29" s="118">
        <v>22</v>
      </c>
      <c r="B29" s="114" t="s">
        <v>12</v>
      </c>
      <c r="C29" s="109" t="e">
        <f>VLOOKUP(Table25755252691013434446474849565758596315181719224566677172737476777879939495100104109111113115117135[[#This Row],[PEG]],Table1016[#All],2,FALSE)</f>
        <v>#N/A</v>
      </c>
      <c r="D29" s="117"/>
      <c r="E29" s="125" t="e">
        <f>VLOOKUP(Table25755252691013434446474849565758596315181719224566677172737476777879939495100104109111113115117135[[#This Row],[PEG]],Table1016[#All],3,FALSE)</f>
        <v>#N/A</v>
      </c>
    </row>
    <row r="30" spans="1:5" x14ac:dyDescent="0.35">
      <c r="A30" s="118">
        <v>23</v>
      </c>
      <c r="B30" s="114" t="s">
        <v>12</v>
      </c>
      <c r="C30" s="109" t="e">
        <f>VLOOKUP(Table25755252691013434446474849565758596315181719224566677172737476777879939495100104109111113115117135[[#This Row],[PEG]],Table1016[#All],2,FALSE)</f>
        <v>#N/A</v>
      </c>
      <c r="D30" s="117"/>
      <c r="E30" s="125" t="e">
        <f>VLOOKUP(Table25755252691013434446474849565758596315181719224566677172737476777879939495100104109111113115117135[[#This Row],[PEG]],Table1016[#All],3,FALSE)</f>
        <v>#N/A</v>
      </c>
    </row>
    <row r="31" spans="1:5" x14ac:dyDescent="0.35">
      <c r="A31" s="118">
        <v>24</v>
      </c>
      <c r="B31" s="114" t="s">
        <v>115</v>
      </c>
      <c r="C31" s="109" t="e">
        <f>VLOOKUP(Table25755252691013434446474849565758596315181719224566677172737476777879939495100104109111113115117135[[#This Row],[PEG]],Table1016[#All],2,FALSE)</f>
        <v>#N/A</v>
      </c>
      <c r="D31" s="117"/>
      <c r="E31" s="125" t="e">
        <f>VLOOKUP(Table25755252691013434446474849565758596315181719224566677172737476777879939495100104109111113115117135[[#This Row],[PEG]],Table1016[#All],3,FALSE)</f>
        <v>#N/A</v>
      </c>
    </row>
    <row r="32" spans="1:5" x14ac:dyDescent="0.35">
      <c r="A32" s="118">
        <v>25</v>
      </c>
      <c r="B32" s="114" t="s">
        <v>115</v>
      </c>
      <c r="C32" s="109" t="e">
        <f>VLOOKUP(Table25755252691013434446474849565758596315181719224566677172737476777879939495100104109111113115117135[[#This Row],[PEG]],Table1016[#All],2,FALSE)</f>
        <v>#N/A</v>
      </c>
      <c r="D32" s="117"/>
      <c r="E32" s="125" t="e">
        <f>VLOOKUP(Table25755252691013434446474849565758596315181719224566677172737476777879939495100104109111113115117135[[#This Row],[PEG]],Table1016[#All],3,FALSE)</f>
        <v>#N/A</v>
      </c>
    </row>
    <row r="33" spans="1:5" x14ac:dyDescent="0.35">
      <c r="A33" s="118">
        <v>26</v>
      </c>
      <c r="B33" s="114" t="s">
        <v>124</v>
      </c>
      <c r="C33" s="109" t="e">
        <f>VLOOKUP(Table25755252691013434446474849565758596315181719224566677172737476777879939495100104109111113115117135[[#This Row],[PEG]],Table1016[#All],2,FALSE)</f>
        <v>#N/A</v>
      </c>
      <c r="D33" s="117"/>
      <c r="E33" s="125" t="e">
        <f>VLOOKUP(Table25755252691013434446474849565758596315181719224566677172737476777879939495100104109111113115117135[[#This Row],[PEG]],Table1016[#All],3,FALSE)</f>
        <v>#N/A</v>
      </c>
    </row>
    <row r="34" spans="1:5" x14ac:dyDescent="0.35">
      <c r="A34" s="118">
        <v>27</v>
      </c>
      <c r="B34" s="114" t="s">
        <v>115</v>
      </c>
      <c r="C34" s="109" t="e">
        <f>VLOOKUP(Table25755252691013434446474849565758596315181719224566677172737476777879939495100104109111113115117135[[#This Row],[PEG]],Table1016[#All],2,FALSE)</f>
        <v>#N/A</v>
      </c>
      <c r="D34" s="117"/>
      <c r="E34" s="125" t="e">
        <f>VLOOKUP(Table25755252691013434446474849565758596315181719224566677172737476777879939495100104109111113115117135[[#This Row],[PEG]],Table1016[#All],3,FALSE)</f>
        <v>#N/A</v>
      </c>
    </row>
    <row r="35" spans="1:5" x14ac:dyDescent="0.35">
      <c r="A35" s="118">
        <v>28</v>
      </c>
      <c r="B35" s="114" t="s">
        <v>124</v>
      </c>
      <c r="C35" s="109" t="e">
        <f>VLOOKUP(Table25755252691013434446474849565758596315181719224566677172737476777879939495100104109111113115117135[[#This Row],[PEG]],Table1016[#All],2,FALSE)</f>
        <v>#N/A</v>
      </c>
      <c r="D35" s="117"/>
      <c r="E35" s="125" t="e">
        <f>VLOOKUP(Table25755252691013434446474849565758596315181719224566677172737476777879939495100104109111113115117135[[#This Row],[PEG]],Table1016[#All],3,FALSE)</f>
        <v>#N/A</v>
      </c>
    </row>
    <row r="36" spans="1:5" x14ac:dyDescent="0.35">
      <c r="A36" s="118">
        <v>29</v>
      </c>
      <c r="B36" s="114" t="s">
        <v>115</v>
      </c>
      <c r="C36" s="109" t="e">
        <f>VLOOKUP(Table25755252691013434446474849565758596315181719224566677172737476777879939495100104109111113115117135[[#This Row],[PEG]],Table1016[#All],2,FALSE)</f>
        <v>#N/A</v>
      </c>
      <c r="D36" s="117"/>
      <c r="E36" s="125" t="e">
        <f>VLOOKUP(Table25755252691013434446474849565758596315181719224566677172737476777879939495100104109111113115117135[[#This Row],[PEG]],Table1016[#All],3,FALSE)</f>
        <v>#N/A</v>
      </c>
    </row>
    <row r="37" spans="1:5" x14ac:dyDescent="0.35">
      <c r="A37" s="118">
        <v>30</v>
      </c>
      <c r="B37" s="114" t="s">
        <v>12</v>
      </c>
      <c r="C37" s="109" t="e">
        <f>VLOOKUP(Table25755252691013434446474849565758596315181719224566677172737476777879939495100104109111113115117135[[#This Row],[PEG]],Table1016[#All],2,FALSE)</f>
        <v>#N/A</v>
      </c>
      <c r="D37" s="117"/>
      <c r="E37" s="125" t="e">
        <f>VLOOKUP(Table25755252691013434446474849565758596315181719224566677172737476777879939495100104109111113115117135[[#This Row],[PEG]],Table1016[#All],3,FALSE)</f>
        <v>#N/A</v>
      </c>
    </row>
    <row r="38" spans="1:5" x14ac:dyDescent="0.35">
      <c r="A38" s="118">
        <v>31</v>
      </c>
      <c r="B38" s="114" t="s">
        <v>12</v>
      </c>
      <c r="C38" s="109" t="e">
        <f>VLOOKUP(Table25755252691013434446474849565758596315181719224566677172737476777879939495100104109111113115117135[[#This Row],[PEG]],Table1016[#All],2,FALSE)</f>
        <v>#N/A</v>
      </c>
      <c r="D38" s="117"/>
      <c r="E38" s="125" t="e">
        <f>VLOOKUP(Table25755252691013434446474849565758596315181719224566677172737476777879939495100104109111113115117135[[#This Row],[PEG]],Table1016[#All],3,FALSE)</f>
        <v>#N/A</v>
      </c>
    </row>
    <row r="39" spans="1:5" x14ac:dyDescent="0.35">
      <c r="A39" s="118">
        <v>32</v>
      </c>
      <c r="B39" s="114" t="s">
        <v>12</v>
      </c>
      <c r="C39" s="109" t="e">
        <f>VLOOKUP(Table25755252691013434446474849565758596315181719224566677172737476777879939495100104109111113115117135[[#This Row],[PEG]],Table1016[#All],2,FALSE)</f>
        <v>#N/A</v>
      </c>
      <c r="D39" s="117"/>
      <c r="E39" s="125" t="e">
        <f>VLOOKUP(Table25755252691013434446474849565758596315181719224566677172737476777879939495100104109111113115117135[[#This Row],[PEG]],Table1016[#All],3,FALSE)</f>
        <v>#N/A</v>
      </c>
    </row>
    <row r="40" spans="1:5" x14ac:dyDescent="0.35">
      <c r="A40" s="118">
        <v>33</v>
      </c>
      <c r="B40" s="114" t="s">
        <v>12</v>
      </c>
      <c r="C40" s="109" t="e">
        <f>VLOOKUP(Table25755252691013434446474849565758596315181719224566677172737476777879939495100104109111113115117135[[#This Row],[PEG]],Table1016[#All],2,FALSE)</f>
        <v>#N/A</v>
      </c>
      <c r="D40" s="117"/>
      <c r="E40" s="125" t="e">
        <f>VLOOKUP(Table25755252691013434446474849565758596315181719224566677172737476777879939495100104109111113115117135[[#This Row],[PEG]],Table1016[#All],3,FALSE)</f>
        <v>#N/A</v>
      </c>
    </row>
    <row r="41" spans="1:5" x14ac:dyDescent="0.35">
      <c r="A41" s="118">
        <v>34</v>
      </c>
      <c r="B41" s="114" t="s">
        <v>115</v>
      </c>
      <c r="C41" s="109" t="e">
        <f>VLOOKUP(Table25755252691013434446474849565758596315181719224566677172737476777879939495100104109111113115117135[[#This Row],[PEG]],Table1016[#All],2,FALSE)</f>
        <v>#N/A</v>
      </c>
      <c r="D41" s="117"/>
      <c r="E41" s="125" t="e">
        <f>VLOOKUP(Table25755252691013434446474849565758596315181719224566677172737476777879939495100104109111113115117135[[#This Row],[PEG]],Table1016[#All],3,FALSE)</f>
        <v>#N/A</v>
      </c>
    </row>
    <row r="42" spans="1:5" x14ac:dyDescent="0.35">
      <c r="A42" s="118">
        <v>35</v>
      </c>
      <c r="B42" s="114" t="s">
        <v>13</v>
      </c>
      <c r="C42" s="18" t="s">
        <v>13</v>
      </c>
      <c r="D42" s="115"/>
      <c r="E42" s="32"/>
    </row>
  </sheetData>
  <mergeCells count="1">
    <mergeCell ref="A1:B1"/>
  </mergeCells>
  <conditionalFormatting sqref="B8:B18">
    <cfRule type="containsText" dxfId="3860" priority="1" operator="containsText" text="Hear">
      <formula>NOT(ISERROR(SEARCH("Hear",B8)))</formula>
    </cfRule>
  </conditionalFormatting>
  <conditionalFormatting sqref="B36:B38 B40:B41">
    <cfRule type="containsText" dxfId="3859" priority="3" operator="containsText" text="Hear">
      <formula>NOT(ISERROR(SEARCH("Hear",B36)))</formula>
    </cfRule>
  </conditionalFormatting>
  <conditionalFormatting sqref="B19:B29 B31:B35 B42">
    <cfRule type="containsText" dxfId="3858" priority="7" operator="containsText" text="Hear">
      <formula>NOT(ISERROR(SEARCH("Hear",B19)))</formula>
    </cfRule>
  </conditionalFormatting>
  <conditionalFormatting sqref="E42">
    <cfRule type="containsText" dxfId="3857" priority="5" operator="containsText" text="WEB SERVICE">
      <formula>NOT(ISERROR(SEARCH("WEB SERVICE",E42)))</formula>
    </cfRule>
    <cfRule type="containsText" dxfId="3856" priority="6" operator="containsText" text="DB">
      <formula>NOT(ISERROR(SEARCH("DB",E42)))</formula>
    </cfRule>
  </conditionalFormatting>
  <conditionalFormatting sqref="C42">
    <cfRule type="expression" dxfId="3855" priority="10">
      <formula>$B42="HANGUP"</formula>
    </cfRule>
  </conditionalFormatting>
  <conditionalFormatting sqref="B30">
    <cfRule type="containsText" dxfId="3854" priority="4" operator="containsText" text="Hear">
      <formula>NOT(ISERROR(SEARCH("Hear",B30)))</formula>
    </cfRule>
  </conditionalFormatting>
  <hyperlinks>
    <hyperlink ref="A1" location="'Test Case Overview'!A1" display="Return to Test Case Overview" xr:uid="{337BB194-9C8A-4998-A6EF-2505F8348154}"/>
  </hyperlinks>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expression" priority="11" id="{FC595D59-3B28-4D60-8790-13E66B9F8EC4}">
            <xm:f>'TC1'!$B8="HANGUP"</xm:f>
            <x14:dxf>
              <font>
                <b/>
                <i val="0"/>
              </font>
            </x14:dxf>
          </x14:cfRule>
          <x14:cfRule type="expression" priority="12" id="{D447F854-ED8F-4398-8505-6AC31B08031A}">
            <xm:f>'TC1'!$B8="Dial"</xm:f>
            <x14:dxf>
              <font>
                <b/>
                <i val="0"/>
                <color rgb="FFFF0000"/>
              </font>
            </x14:dxf>
          </x14:cfRule>
          <xm:sqref>C8</xm:sqref>
        </x14:conditionalFormatting>
        <x14:conditionalFormatting xmlns:xm="http://schemas.microsoft.com/office/excel/2006/main">
          <x14:cfRule type="expression" priority="13" id="{B982B50A-A8C4-41E0-B34F-12CDF5D46F1E}">
            <xm:f>'TC1'!$B8="Speak"</xm:f>
            <x14:dxf>
              <font>
                <b/>
                <i val="0"/>
                <color rgb="FFFF0000"/>
              </font>
            </x14:dxf>
          </x14:cfRule>
          <xm:sqref>C8</xm:sqref>
        </x14:conditionalFormatting>
        <x14:conditionalFormatting xmlns:xm="http://schemas.microsoft.com/office/excel/2006/main">
          <x14:cfRule type="containsText" priority="2" operator="containsText" text="Hear" id="{5E7D25A0-C5FE-4735-B7DF-416D29632BB8}">
            <xm:f>NOT(ISERROR(SEARCH("Hear",'TC3'!B34)))</xm:f>
            <x14:dxf>
              <font>
                <color theme="9" tint="-0.24994659260841701"/>
              </font>
              <fill>
                <patternFill>
                  <bgColor theme="9" tint="0.59996337778862885"/>
                </patternFill>
              </fill>
            </x14:dxf>
          </x14:cfRule>
          <xm:sqref>B41</xm:sqref>
        </x14:conditionalFormatting>
        <x14:conditionalFormatting xmlns:xm="http://schemas.microsoft.com/office/excel/2006/main">
          <x14:cfRule type="expression" priority="1743" id="{FC595D59-3B28-4D60-8790-13E66B9F8EC4}">
            <xm:f>'TC1'!$B16="HANGUP"</xm:f>
            <x14:dxf>
              <font>
                <b/>
                <i val="0"/>
              </font>
            </x14:dxf>
          </x14:cfRule>
          <x14:cfRule type="expression" priority="1744" id="{D447F854-ED8F-4398-8505-6AC31B08031A}">
            <xm:f>'TC1'!$B16="Dial"</xm:f>
            <x14:dxf>
              <font>
                <b/>
                <i val="0"/>
                <color rgb="FFFF0000"/>
              </font>
            </x14:dxf>
          </x14:cfRule>
          <xm:sqref>C34:C41</xm:sqref>
        </x14:conditionalFormatting>
        <x14:conditionalFormatting xmlns:xm="http://schemas.microsoft.com/office/excel/2006/main">
          <x14:cfRule type="expression" priority="1745" id="{FC595D59-3B28-4D60-8790-13E66B9F8EC4}">
            <xm:f>'TC1'!#REF!="HANGUP"</xm:f>
            <x14:dxf>
              <font>
                <b/>
                <i val="0"/>
              </font>
            </x14:dxf>
          </x14:cfRule>
          <x14:cfRule type="expression" priority="1746" id="{D447F854-ED8F-4398-8505-6AC31B08031A}">
            <xm:f>'TC1'!#REF!="Dial"</xm:f>
            <x14:dxf>
              <font>
                <b/>
                <i val="0"/>
                <color rgb="FFFF0000"/>
              </font>
            </x14:dxf>
          </x14:cfRule>
          <xm:sqref>C17:C33</xm:sqref>
        </x14:conditionalFormatting>
        <x14:conditionalFormatting xmlns:xm="http://schemas.microsoft.com/office/excel/2006/main">
          <x14:cfRule type="expression" priority="1750" id="{B982B50A-A8C4-41E0-B34F-12CDF5D46F1E}">
            <xm:f>'TC1'!$B16="Speak"</xm:f>
            <x14:dxf>
              <font>
                <b/>
                <i val="0"/>
                <color rgb="FFFF0000"/>
              </font>
            </x14:dxf>
          </x14:cfRule>
          <xm:sqref>C34:C41</xm:sqref>
        </x14:conditionalFormatting>
        <x14:conditionalFormatting xmlns:xm="http://schemas.microsoft.com/office/excel/2006/main">
          <x14:cfRule type="expression" priority="1751" id="{B982B50A-A8C4-41E0-B34F-12CDF5D46F1E}">
            <xm:f>'TC1'!#REF!="Speak"</xm:f>
            <x14:dxf>
              <font>
                <b/>
                <i val="0"/>
                <color rgb="FFFF0000"/>
              </font>
            </x14:dxf>
          </x14:cfRule>
          <xm:sqref>C17:C33</xm:sqref>
        </x14:conditionalFormatting>
        <x14:conditionalFormatting xmlns:xm="http://schemas.microsoft.com/office/excel/2006/main">
          <x14:cfRule type="containsText" priority="1755" operator="containsText" text="DB" id="{247BB33B-AFCB-41B1-8A3D-7F2BDB3B1CF7}">
            <xm:f>NOT(ISERROR(SEARCH("DB",'TC1'!E16)))</xm:f>
            <x14:dxf>
              <font>
                <color rgb="FF006100"/>
              </font>
              <fill>
                <patternFill>
                  <bgColor rgb="FFC6EFCE"/>
                </patternFill>
              </fill>
            </x14:dxf>
          </x14:cfRule>
          <x14:cfRule type="containsText" priority="1756" operator="containsText" text="WEB SERVICE" id="{9B323457-4270-484E-A1A1-A4FC77239BC7}">
            <xm:f>NOT(ISERROR(SEARCH("WEB SERVICE",'TC1'!E16)))</xm:f>
            <x14:dxf>
              <font>
                <color rgb="FF9C0006"/>
              </font>
              <fill>
                <patternFill>
                  <bgColor rgb="FFFFC7CE"/>
                </patternFill>
              </fill>
            </x14:dxf>
          </x14:cfRule>
          <xm:sqref>E34:E41</xm:sqref>
        </x14:conditionalFormatting>
        <x14:conditionalFormatting xmlns:xm="http://schemas.microsoft.com/office/excel/2006/main">
          <x14:cfRule type="containsText" priority="1757" operator="containsText" text="DB" id="{247BB33B-AFCB-41B1-8A3D-7F2BDB3B1CF7}">
            <xm:f>NOT(ISERROR(SEARCH("DB",'TC1'!#REF!)))</xm:f>
            <x14:dxf>
              <font>
                <color rgb="FF006100"/>
              </font>
              <fill>
                <patternFill>
                  <bgColor rgb="FFC6EFCE"/>
                </patternFill>
              </fill>
            </x14:dxf>
          </x14:cfRule>
          <x14:cfRule type="containsText" priority="1758" operator="containsText" text="WEB SERVICE" id="{9B323457-4270-484E-A1A1-A4FC77239BC7}">
            <xm:f>NOT(ISERROR(SEARCH("WEB SERVICE",'TC1'!#REF!)))</xm:f>
            <x14:dxf>
              <font>
                <color rgb="FF9C0006"/>
              </font>
              <fill>
                <patternFill>
                  <bgColor rgb="FFFFC7CE"/>
                </patternFill>
              </fill>
            </x14:dxf>
          </x14:cfRule>
          <xm:sqref>E17:E33</xm:sqref>
        </x14:conditionalFormatting>
        <x14:conditionalFormatting xmlns:xm="http://schemas.microsoft.com/office/excel/2006/main">
          <x14:cfRule type="expression" priority="4507" id="{FC595D59-3B28-4D60-8790-13E66B9F8EC4}">
            <xm:f>'TC1'!$B9="HANGUP"</xm:f>
            <x14:dxf>
              <font>
                <b/>
                <i val="0"/>
              </font>
            </x14:dxf>
          </x14:cfRule>
          <x14:cfRule type="expression" priority="4508" id="{D447F854-ED8F-4398-8505-6AC31B08031A}">
            <xm:f>'TC1'!$B9="Dial"</xm:f>
            <x14:dxf>
              <font>
                <b/>
                <i val="0"/>
                <color rgb="FFFF0000"/>
              </font>
            </x14:dxf>
          </x14:cfRule>
          <xm:sqref>C12:C15</xm:sqref>
        </x14:conditionalFormatting>
        <x14:conditionalFormatting xmlns:xm="http://schemas.microsoft.com/office/excel/2006/main">
          <x14:cfRule type="expression" priority="4509" id="{FC595D59-3B28-4D60-8790-13E66B9F8EC4}">
            <xm:f>'TC1'!#REF!="HANGUP"</xm:f>
            <x14:dxf>
              <font>
                <b/>
                <i val="0"/>
              </font>
            </x14:dxf>
          </x14:cfRule>
          <x14:cfRule type="expression" priority="4510" id="{D447F854-ED8F-4398-8505-6AC31B08031A}">
            <xm:f>'TC1'!#REF!="Dial"</xm:f>
            <x14:dxf>
              <font>
                <b/>
                <i val="0"/>
                <color rgb="FFFF0000"/>
              </font>
            </x14:dxf>
          </x14:cfRule>
          <xm:sqref>C9:C11</xm:sqref>
        </x14:conditionalFormatting>
        <x14:conditionalFormatting xmlns:xm="http://schemas.microsoft.com/office/excel/2006/main">
          <x14:cfRule type="expression" priority="4514" id="{B982B50A-A8C4-41E0-B34F-12CDF5D46F1E}">
            <xm:f>'TC1'!$B9="Speak"</xm:f>
            <x14:dxf>
              <font>
                <b/>
                <i val="0"/>
                <color rgb="FFFF0000"/>
              </font>
            </x14:dxf>
          </x14:cfRule>
          <xm:sqref>C12:C15</xm:sqref>
        </x14:conditionalFormatting>
        <x14:conditionalFormatting xmlns:xm="http://schemas.microsoft.com/office/excel/2006/main">
          <x14:cfRule type="expression" priority="4515" id="{B982B50A-A8C4-41E0-B34F-12CDF5D46F1E}">
            <xm:f>'TC1'!#REF!="Speak"</xm:f>
            <x14:dxf>
              <font>
                <b/>
                <i val="0"/>
                <color rgb="FFFF0000"/>
              </font>
            </x14:dxf>
          </x14:cfRule>
          <xm:sqref>C9:C11</xm:sqref>
        </x14:conditionalFormatting>
        <x14:conditionalFormatting xmlns:xm="http://schemas.microsoft.com/office/excel/2006/main">
          <x14:cfRule type="containsText" priority="4517" operator="containsText" text="DB" id="{247BB33B-AFCB-41B1-8A3D-7F2BDB3B1CF7}">
            <xm:f>NOT(ISERROR(SEARCH("DB",'TC1'!#REF!)))</xm:f>
            <x14:dxf>
              <font>
                <color rgb="FF006100"/>
              </font>
              <fill>
                <patternFill>
                  <bgColor rgb="FFC6EFCE"/>
                </patternFill>
              </fill>
            </x14:dxf>
          </x14:cfRule>
          <x14:cfRule type="containsText" priority="4518" operator="containsText" text="WEB SERVICE" id="{9B323457-4270-484E-A1A1-A4FC77239BC7}">
            <xm:f>NOT(ISERROR(SEARCH("WEB SERVICE",'TC1'!#REF!)))</xm:f>
            <x14:dxf>
              <font>
                <color rgb="FF9C0006"/>
              </font>
              <fill>
                <patternFill>
                  <bgColor rgb="FFFFC7CE"/>
                </patternFill>
              </fill>
            </x14:dxf>
          </x14:cfRule>
          <xm:sqref>E9:E11</xm:sqref>
        </x14:conditionalFormatting>
        <x14:conditionalFormatting xmlns:xm="http://schemas.microsoft.com/office/excel/2006/main">
          <x14:cfRule type="containsText" priority="4519" operator="containsText" text="DB" id="{247BB33B-AFCB-41B1-8A3D-7F2BDB3B1CF7}">
            <xm:f>NOT(ISERROR(SEARCH("DB",'TC1'!E9)))</xm:f>
            <x14:dxf>
              <font>
                <color rgb="FF006100"/>
              </font>
              <fill>
                <patternFill>
                  <bgColor rgb="FFC6EFCE"/>
                </patternFill>
              </fill>
            </x14:dxf>
          </x14:cfRule>
          <x14:cfRule type="containsText" priority="4520" operator="containsText" text="WEB SERVICE" id="{9B323457-4270-484E-A1A1-A4FC77239BC7}">
            <xm:f>NOT(ISERROR(SEARCH("WEB SERVICE",'TC1'!E9)))</xm:f>
            <x14:dxf>
              <font>
                <color rgb="FF9C0006"/>
              </font>
              <fill>
                <patternFill>
                  <bgColor rgb="FFFFC7CE"/>
                </patternFill>
              </fill>
            </x14:dxf>
          </x14:cfRule>
          <xm:sqref>E12:E15</xm:sqref>
        </x14:conditionalFormatting>
        <x14:conditionalFormatting xmlns:xm="http://schemas.microsoft.com/office/excel/2006/main">
          <x14:cfRule type="expression" priority="6935" id="{FC595D59-3B28-4D60-8790-13E66B9F8EC4}">
            <xm:f>'TC1'!$B15="HANGUP"</xm:f>
            <x14:dxf>
              <font>
                <b/>
                <i val="0"/>
              </font>
            </x14:dxf>
          </x14:cfRule>
          <x14:cfRule type="expression" priority="6936" id="{D447F854-ED8F-4398-8505-6AC31B08031A}">
            <xm:f>'TC1'!$B15="Dial"</xm:f>
            <x14:dxf>
              <font>
                <b/>
                <i val="0"/>
                <color rgb="FFFF0000"/>
              </font>
            </x14:dxf>
          </x14:cfRule>
          <xm:sqref>C16</xm:sqref>
        </x14:conditionalFormatting>
        <x14:conditionalFormatting xmlns:xm="http://schemas.microsoft.com/office/excel/2006/main">
          <x14:cfRule type="expression" priority="6938" id="{B982B50A-A8C4-41E0-B34F-12CDF5D46F1E}">
            <xm:f>'TC1'!$B15="Speak"</xm:f>
            <x14:dxf>
              <font>
                <b/>
                <i val="0"/>
                <color rgb="FFFF0000"/>
              </font>
            </x14:dxf>
          </x14:cfRule>
          <xm:sqref>C16</xm:sqref>
        </x14:conditionalFormatting>
        <x14:conditionalFormatting xmlns:xm="http://schemas.microsoft.com/office/excel/2006/main">
          <x14:cfRule type="containsText" priority="6941" operator="containsText" text="DB" id="{247BB33B-AFCB-41B1-8A3D-7F2BDB3B1CF7}">
            <xm:f>NOT(ISERROR(SEARCH("DB",'TC1'!E15)))</xm:f>
            <x14:dxf>
              <font>
                <color rgb="FF006100"/>
              </font>
              <fill>
                <patternFill>
                  <bgColor rgb="FFC6EFCE"/>
                </patternFill>
              </fill>
            </x14:dxf>
          </x14:cfRule>
          <x14:cfRule type="containsText" priority="6942" operator="containsText" text="WEB SERVICE" id="{9B323457-4270-484E-A1A1-A4FC77239BC7}">
            <xm:f>NOT(ISERROR(SEARCH("WEB SERVICE",'TC1'!E15)))</xm:f>
            <x14:dxf>
              <font>
                <color rgb="FF9C0006"/>
              </font>
              <fill>
                <patternFill>
                  <bgColor rgb="FFFFC7CE"/>
                </patternFill>
              </fill>
            </x14:dxf>
          </x14:cfRule>
          <xm:sqref>E16</xm:sqref>
        </x14:conditionalFormatting>
        <x14:conditionalFormatting xmlns:xm="http://schemas.microsoft.com/office/excel/2006/main">
          <x14:cfRule type="containsText" priority="9314" operator="containsText" text="Hear" id="{79221D97-9019-4671-A442-F8C1F06E4232}">
            <xm:f>NOT(ISERROR(SEARCH("Hear",'TC26'!#REF!)))</xm:f>
            <x14:dxf>
              <font>
                <color theme="9" tint="-0.24994659260841701"/>
              </font>
              <fill>
                <patternFill>
                  <bgColor theme="9" tint="0.59996337778862885"/>
                </patternFill>
              </fill>
            </x14:dxf>
          </x14:cfRule>
          <xm:sqref>B39</xm:sqref>
        </x14:conditionalFormatting>
      </x14:conditionalFormattings>
    </ext>
  </extLst>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B00-000000000000}">
  <sheetPr codeName="Sheet77"/>
  <dimension ref="A1:E42"/>
  <sheetViews>
    <sheetView zoomScaleNormal="100" workbookViewId="0">
      <selection activeCell="A2" sqref="A2"/>
    </sheetView>
  </sheetViews>
  <sheetFormatPr defaultRowHeight="14.5" x14ac:dyDescent="0.35"/>
  <cols>
    <col min="1" max="1" width="14.453125" bestFit="1" customWidth="1"/>
    <col min="2" max="2" width="42.6328125" customWidth="1"/>
    <col min="3" max="3" width="106.1796875" customWidth="1"/>
    <col min="4" max="4" width="21.81640625" bestFit="1" customWidth="1"/>
    <col min="5" max="5" width="20.6328125" customWidth="1"/>
  </cols>
  <sheetData>
    <row r="1" spans="1:5" ht="18.5" x14ac:dyDescent="0.35">
      <c r="A1" s="192" t="s">
        <v>4</v>
      </c>
      <c r="B1" s="192"/>
      <c r="C1" s="105"/>
      <c r="D1" s="111"/>
      <c r="E1" s="97"/>
    </row>
    <row r="2" spans="1:5" x14ac:dyDescent="0.35">
      <c r="A2" s="106" t="s">
        <v>5</v>
      </c>
      <c r="B2" s="107" t="str">
        <f ca="1">MID(CELL("filename",A1),FIND("]",CELL("filename",A1))+1,LEN(CELL("filename",A1))-FIND("]",CELL("filename",A1)))</f>
        <v>TC75</v>
      </c>
      <c r="C2" s="98"/>
      <c r="D2" s="111"/>
      <c r="E2" s="97"/>
    </row>
    <row r="3" spans="1:5" x14ac:dyDescent="0.35">
      <c r="A3" s="104" t="s">
        <v>19</v>
      </c>
      <c r="B3" s="112" t="e">
        <f ca="1">VLOOKUP(B2,Table1[#All],2,FALSE)</f>
        <v>#N/A</v>
      </c>
      <c r="C3" s="98"/>
      <c r="D3" s="111"/>
      <c r="E3" s="97"/>
    </row>
    <row r="4" spans="1:5" ht="29" x14ac:dyDescent="0.35">
      <c r="A4" s="113" t="s">
        <v>20</v>
      </c>
      <c r="B4" s="99" t="e">
        <f ca="1">VLOOKUP(B2,Table1[#All],4,FALSE)</f>
        <v>#N/A</v>
      </c>
      <c r="C4" s="98"/>
      <c r="D4" s="111"/>
      <c r="E4" s="97"/>
    </row>
    <row r="5" spans="1:5" x14ac:dyDescent="0.35">
      <c r="A5" s="104" t="s">
        <v>6</v>
      </c>
      <c r="B5" s="93" t="e">
        <f ca="1">VLOOKUP(B2,Table1[#All],3,FALSE)</f>
        <v>#N/A</v>
      </c>
      <c r="C5" s="98"/>
      <c r="D5" s="111"/>
      <c r="E5" s="97"/>
    </row>
    <row r="6" spans="1:5" x14ac:dyDescent="0.35">
      <c r="A6" s="97"/>
      <c r="B6" s="97"/>
      <c r="C6" s="98"/>
      <c r="D6" s="111"/>
      <c r="E6" s="97"/>
    </row>
    <row r="7" spans="1:5" ht="15.5" x14ac:dyDescent="0.35">
      <c r="A7" s="100" t="s">
        <v>7</v>
      </c>
      <c r="B7" s="101" t="s">
        <v>8</v>
      </c>
      <c r="C7" s="102" t="s">
        <v>9</v>
      </c>
      <c r="D7" s="102" t="s">
        <v>14</v>
      </c>
      <c r="E7" s="103" t="s">
        <v>10</v>
      </c>
    </row>
    <row r="8" spans="1:5" x14ac:dyDescent="0.35">
      <c r="A8" s="118">
        <v>1</v>
      </c>
      <c r="B8" s="114" t="s">
        <v>114</v>
      </c>
      <c r="C8" s="109" t="s">
        <v>125</v>
      </c>
      <c r="D8" s="128"/>
      <c r="E8" s="125" t="s">
        <v>11</v>
      </c>
    </row>
    <row r="9" spans="1:5" x14ac:dyDescent="0.35">
      <c r="A9" s="118">
        <v>2</v>
      </c>
      <c r="B9" s="114" t="s">
        <v>12</v>
      </c>
      <c r="C9" s="109" t="e">
        <f>VLOOKUP(Table25755252691013434446474849565758596315181719224566677172737476777879939495100104109111113115117137[[#This Row],[PEG]],Table1016[#All],2,FALSE)</f>
        <v>#N/A</v>
      </c>
      <c r="D9" s="128"/>
      <c r="E9" s="125" t="e">
        <f>VLOOKUP(Table25755252691013434446474849565758596315181719224566677172737476777879939495100104109111113115117137[[#This Row],[PEG]],Table1016[#All],3,FALSE)</f>
        <v>#N/A</v>
      </c>
    </row>
    <row r="10" spans="1:5" x14ac:dyDescent="0.35">
      <c r="A10" s="118">
        <v>3</v>
      </c>
      <c r="B10" s="114" t="s">
        <v>115</v>
      </c>
      <c r="C10" s="109" t="e">
        <f>VLOOKUP(Table25755252691013434446474849565758596315181719224566677172737476777879939495100104109111113115117137[[#This Row],[PEG]],Table1016[#All],2,FALSE)</f>
        <v>#N/A</v>
      </c>
      <c r="D10" s="128"/>
      <c r="E10" s="125" t="e">
        <f>VLOOKUP(Table25755252691013434446474849565758596315181719224566677172737476777879939495100104109111113115117137[[#This Row],[PEG]],Table1016[#All],3,FALSE)</f>
        <v>#N/A</v>
      </c>
    </row>
    <row r="11" spans="1:5" x14ac:dyDescent="0.35">
      <c r="A11" s="118">
        <v>4</v>
      </c>
      <c r="B11" s="114" t="s">
        <v>115</v>
      </c>
      <c r="C11" s="109" t="e">
        <f>VLOOKUP(Table25755252691013434446474849565758596315181719224566677172737476777879939495100104109111113115117137[[#This Row],[PEG]],Table1016[#All],2,FALSE)</f>
        <v>#N/A</v>
      </c>
      <c r="D11" s="128"/>
      <c r="E11" s="125" t="e">
        <f>VLOOKUP(Table25755252691013434446474849565758596315181719224566677172737476777879939495100104109111113115117137[[#This Row],[PEG]],Table1016[#All],3,FALSE)</f>
        <v>#N/A</v>
      </c>
    </row>
    <row r="12" spans="1:5" x14ac:dyDescent="0.35">
      <c r="A12" s="118">
        <v>5</v>
      </c>
      <c r="B12" s="114" t="s">
        <v>114</v>
      </c>
      <c r="C12" s="109" t="e">
        <f>VLOOKUP(Table25755252691013434446474849565758596315181719224566677172737476777879939495100104109111113115117137[[#This Row],[PEG]],Table1016[#All],2,FALSE)</f>
        <v>#N/A</v>
      </c>
      <c r="D12" s="128"/>
      <c r="E12" s="125" t="e">
        <f>VLOOKUP(Table25755252691013434446474849565758596315181719224566677172737476777879939495100104109111113115117137[[#This Row],[PEG]],Table1016[#All],3,FALSE)</f>
        <v>#N/A</v>
      </c>
    </row>
    <row r="13" spans="1:5" x14ac:dyDescent="0.35">
      <c r="A13" s="118">
        <v>6</v>
      </c>
      <c r="B13" s="114" t="s">
        <v>115</v>
      </c>
      <c r="C13" s="109" t="e">
        <f>VLOOKUP(Table25755252691013434446474849565758596315181719224566677172737476777879939495100104109111113115117137[[#This Row],[PEG]],Table1016[#All],2,FALSE)</f>
        <v>#N/A</v>
      </c>
      <c r="D13" s="128"/>
      <c r="E13" s="125" t="e">
        <f>VLOOKUP(Table25755252691013434446474849565758596315181719224566677172737476777879939495100104109111113115117137[[#This Row],[PEG]],Table1016[#All],3,FALSE)</f>
        <v>#N/A</v>
      </c>
    </row>
    <row r="14" spans="1:5" x14ac:dyDescent="0.35">
      <c r="A14" s="118">
        <v>7</v>
      </c>
      <c r="B14" s="114" t="s">
        <v>114</v>
      </c>
      <c r="C14" s="109" t="e">
        <f>VLOOKUP(Table25755252691013434446474849565758596315181719224566677172737476777879939495100104109111113115117137[[#This Row],[PEG]],Table1016[#All],2,FALSE)</f>
        <v>#N/A</v>
      </c>
      <c r="D14" s="128"/>
      <c r="E14" s="125" t="e">
        <f>VLOOKUP(Table25755252691013434446474849565758596315181719224566677172737476777879939495100104109111113115117137[[#This Row],[PEG]],Table1016[#All],3,FALSE)</f>
        <v>#N/A</v>
      </c>
    </row>
    <row r="15" spans="1:5" x14ac:dyDescent="0.35">
      <c r="A15" s="118">
        <v>8</v>
      </c>
      <c r="B15" s="114" t="s">
        <v>115</v>
      </c>
      <c r="C15" s="109" t="e">
        <f>VLOOKUP(Table25755252691013434446474849565758596315181719224566677172737476777879939495100104109111113115117137[[#This Row],[PEG]],Table1016[#All],2,FALSE)</f>
        <v>#N/A</v>
      </c>
      <c r="D15" s="116"/>
      <c r="E15" s="125" t="e">
        <f>VLOOKUP(Table25755252691013434446474849565758596315181719224566677172737476777879939495100104109111113115117137[[#This Row],[PEG]],Table1016[#All],3,FALSE)</f>
        <v>#N/A</v>
      </c>
    </row>
    <row r="16" spans="1:5" x14ac:dyDescent="0.35">
      <c r="A16" s="118">
        <v>9</v>
      </c>
      <c r="B16" s="114" t="s">
        <v>12</v>
      </c>
      <c r="C16" s="109" t="e">
        <f>VLOOKUP(Table25755252691013434446474849565758596315181719224566677172737476777879939495100104109111113115117137[[#This Row],[PEG]],Table1016[#All],2,FALSE)</f>
        <v>#N/A</v>
      </c>
      <c r="D16" s="116"/>
      <c r="E16" s="125" t="e">
        <f>VLOOKUP(Table25755252691013434446474849565758596315181719224566677172737476777879939495100104109111113115117137[[#This Row],[PEG]],Table1016[#All],3,FALSE)</f>
        <v>#N/A</v>
      </c>
    </row>
    <row r="17" spans="1:5" x14ac:dyDescent="0.35">
      <c r="A17" s="118">
        <v>10</v>
      </c>
      <c r="B17" s="114" t="s">
        <v>12</v>
      </c>
      <c r="C17" s="109" t="e">
        <f>VLOOKUP(Table25755252691013434446474849565758596315181719224566677172737476777879939495100104109111113115117137[[#This Row],[PEG]],Table1016[#All],2,FALSE)</f>
        <v>#N/A</v>
      </c>
      <c r="D17" s="117"/>
      <c r="E17" s="125" t="e">
        <f>VLOOKUP(Table25755252691013434446474849565758596315181719224566677172737476777879939495100104109111113115117137[[#This Row],[PEG]],Table1016[#All],3,FALSE)</f>
        <v>#N/A</v>
      </c>
    </row>
    <row r="18" spans="1:5" x14ac:dyDescent="0.35">
      <c r="A18" s="118">
        <v>11</v>
      </c>
      <c r="B18" s="114" t="s">
        <v>115</v>
      </c>
      <c r="C18" s="109" t="e">
        <f>VLOOKUP(Table25755252691013434446474849565758596315181719224566677172737476777879939495100104109111113115117137[[#This Row],[PEG]],Table1016[#All],2,FALSE)</f>
        <v>#N/A</v>
      </c>
      <c r="D18" s="117"/>
      <c r="E18" s="125" t="e">
        <f>VLOOKUP(Table25755252691013434446474849565758596315181719224566677172737476777879939495100104109111113115117137[[#This Row],[PEG]],Table1016[#All],3,FALSE)</f>
        <v>#N/A</v>
      </c>
    </row>
    <row r="19" spans="1:5" x14ac:dyDescent="0.35">
      <c r="A19" s="118">
        <v>12</v>
      </c>
      <c r="B19" s="114" t="s">
        <v>115</v>
      </c>
      <c r="C19" s="109" t="e">
        <f>VLOOKUP(Table25755252691013434446474849565758596315181719224566677172737476777879939495100104109111113115117137[[#This Row],[PEG]],Table1016[#All],2,FALSE)</f>
        <v>#N/A</v>
      </c>
      <c r="D19" s="117"/>
      <c r="E19" s="125" t="e">
        <f>VLOOKUP(Table25755252691013434446474849565758596315181719224566677172737476777879939495100104109111113115117137[[#This Row],[PEG]],Table1016[#All],3,FALSE)</f>
        <v>#N/A</v>
      </c>
    </row>
    <row r="20" spans="1:5" x14ac:dyDescent="0.35">
      <c r="A20" s="118">
        <v>13</v>
      </c>
      <c r="B20" s="114" t="s">
        <v>114</v>
      </c>
      <c r="C20" s="109" t="e">
        <f>VLOOKUP(Table25755252691013434446474849565758596315181719224566677172737476777879939495100104109111113115117137[[#This Row],[PEG]],Table1016[#All],2,FALSE)</f>
        <v>#N/A</v>
      </c>
      <c r="D20" s="117"/>
      <c r="E20" s="125" t="e">
        <f>VLOOKUP(Table25755252691013434446474849565758596315181719224566677172737476777879939495100104109111113115117137[[#This Row],[PEG]],Table1016[#All],3,FALSE)</f>
        <v>#N/A</v>
      </c>
    </row>
    <row r="21" spans="1:5" x14ac:dyDescent="0.35">
      <c r="A21" s="118">
        <v>14</v>
      </c>
      <c r="B21" s="114" t="s">
        <v>12</v>
      </c>
      <c r="C21" s="109" t="e">
        <f>VLOOKUP(Table25755252691013434446474849565758596315181719224566677172737476777879939495100104109111113115117137[[#This Row],[PEG]],Table1016[#All],2,FALSE)</f>
        <v>#N/A</v>
      </c>
      <c r="D21" s="117"/>
      <c r="E21" s="125" t="e">
        <f>VLOOKUP(Table25755252691013434446474849565758596315181719224566677172737476777879939495100104109111113115117137[[#This Row],[PEG]],Table1016[#All],3,FALSE)</f>
        <v>#N/A</v>
      </c>
    </row>
    <row r="22" spans="1:5" x14ac:dyDescent="0.35">
      <c r="A22" s="118">
        <v>15</v>
      </c>
      <c r="B22" s="114" t="s">
        <v>12</v>
      </c>
      <c r="C22" s="109" t="e">
        <f>VLOOKUP(Table25755252691013434446474849565758596315181719224566677172737476777879939495100104109111113115117137[[#This Row],[PEG]],Table1016[#All],2,FALSE)</f>
        <v>#N/A</v>
      </c>
      <c r="D22" s="117"/>
      <c r="E22" s="125" t="e">
        <f>VLOOKUP(Table25755252691013434446474849565758596315181719224566677172737476777879939495100104109111113115117137[[#This Row],[PEG]],Table1016[#All],3,FALSE)</f>
        <v>#N/A</v>
      </c>
    </row>
    <row r="23" spans="1:5" x14ac:dyDescent="0.35">
      <c r="A23" s="118">
        <v>16</v>
      </c>
      <c r="B23" s="114" t="s">
        <v>115</v>
      </c>
      <c r="C23" s="109" t="e">
        <f>VLOOKUP(Table25755252691013434446474849565758596315181719224566677172737476777879939495100104109111113115117137[[#This Row],[PEG]],Table1016[#All],2,FALSE)</f>
        <v>#N/A</v>
      </c>
      <c r="D23" s="117"/>
      <c r="E23" s="125" t="e">
        <f>VLOOKUP(Table25755252691013434446474849565758596315181719224566677172737476777879939495100104109111113115117137[[#This Row],[PEG]],Table1016[#All],3,FALSE)</f>
        <v>#N/A</v>
      </c>
    </row>
    <row r="24" spans="1:5" x14ac:dyDescent="0.35">
      <c r="A24" s="118">
        <v>17</v>
      </c>
      <c r="B24" s="114" t="s">
        <v>114</v>
      </c>
      <c r="C24" s="109" t="e">
        <f>VLOOKUP(Table25755252691013434446474849565758596315181719224566677172737476777879939495100104109111113115117137[[#This Row],[PEG]],Table1016[#All],2,FALSE)</f>
        <v>#N/A</v>
      </c>
      <c r="D24" s="117"/>
      <c r="E24" s="125" t="e">
        <f>VLOOKUP(Table25755252691013434446474849565758596315181719224566677172737476777879939495100104109111113115117137[[#This Row],[PEG]],Table1016[#All],3,FALSE)</f>
        <v>#N/A</v>
      </c>
    </row>
    <row r="25" spans="1:5" x14ac:dyDescent="0.35">
      <c r="A25" s="118">
        <v>18</v>
      </c>
      <c r="B25" s="114" t="s">
        <v>12</v>
      </c>
      <c r="C25" s="109" t="e">
        <f>VLOOKUP(Table25755252691013434446474849565758596315181719224566677172737476777879939495100104109111113115117137[[#This Row],[PEG]],Table1016[#All],2,FALSE)</f>
        <v>#N/A</v>
      </c>
      <c r="D25" s="117"/>
      <c r="E25" s="125" t="e">
        <f>VLOOKUP(Table25755252691013434446474849565758596315181719224566677172737476777879939495100104109111113115117137[[#This Row],[PEG]],Table1016[#All],3,FALSE)</f>
        <v>#N/A</v>
      </c>
    </row>
    <row r="26" spans="1:5" x14ac:dyDescent="0.35">
      <c r="A26" s="118">
        <v>19</v>
      </c>
      <c r="B26" s="114" t="s">
        <v>12</v>
      </c>
      <c r="C26" s="109" t="e">
        <f>VLOOKUP(Table25755252691013434446474849565758596315181719224566677172737476777879939495100104109111113115117137[[#This Row],[PEG]],Table1016[#All],2,FALSE)</f>
        <v>#N/A</v>
      </c>
      <c r="D26" s="117"/>
      <c r="E26" s="125" t="e">
        <f>VLOOKUP(Table25755252691013434446474849565758596315181719224566677172737476777879939495100104109111113115117137[[#This Row],[PEG]],Table1016[#All],3,FALSE)</f>
        <v>#N/A</v>
      </c>
    </row>
    <row r="27" spans="1:5" x14ac:dyDescent="0.35">
      <c r="A27" s="118">
        <v>20</v>
      </c>
      <c r="B27" s="114" t="s">
        <v>115</v>
      </c>
      <c r="C27" s="109" t="e">
        <f>VLOOKUP(Table25755252691013434446474849565758596315181719224566677172737476777879939495100104109111113115117137[[#This Row],[PEG]],Table1016[#All],2,FALSE)</f>
        <v>#N/A</v>
      </c>
      <c r="D27" s="117"/>
      <c r="E27" s="125" t="e">
        <f>VLOOKUP(Table25755252691013434446474849565758596315181719224566677172737476777879939495100104109111113115117137[[#This Row],[PEG]],Table1016[#All],3,FALSE)</f>
        <v>#N/A</v>
      </c>
    </row>
    <row r="28" spans="1:5" x14ac:dyDescent="0.35">
      <c r="A28" s="118">
        <v>21</v>
      </c>
      <c r="B28" s="114" t="s">
        <v>114</v>
      </c>
      <c r="C28" s="109" t="e">
        <f>VLOOKUP(Table25755252691013434446474849565758596315181719224566677172737476777879939495100104109111113115117137[[#This Row],[PEG]],Table1016[#All],2,FALSE)</f>
        <v>#N/A</v>
      </c>
      <c r="D28" s="117"/>
      <c r="E28" s="125" t="e">
        <f>VLOOKUP(Table25755252691013434446474849565758596315181719224566677172737476777879939495100104109111113115117137[[#This Row],[PEG]],Table1016[#All],3,FALSE)</f>
        <v>#N/A</v>
      </c>
    </row>
    <row r="29" spans="1:5" x14ac:dyDescent="0.35">
      <c r="A29" s="118">
        <v>22</v>
      </c>
      <c r="B29" s="114" t="s">
        <v>12</v>
      </c>
      <c r="C29" s="109" t="e">
        <f>VLOOKUP(Table25755252691013434446474849565758596315181719224566677172737476777879939495100104109111113115117137[[#This Row],[PEG]],Table1016[#All],2,FALSE)</f>
        <v>#N/A</v>
      </c>
      <c r="D29" s="117"/>
      <c r="E29" s="125" t="e">
        <f>VLOOKUP(Table25755252691013434446474849565758596315181719224566677172737476777879939495100104109111113115117137[[#This Row],[PEG]],Table1016[#All],3,FALSE)</f>
        <v>#N/A</v>
      </c>
    </row>
    <row r="30" spans="1:5" x14ac:dyDescent="0.35">
      <c r="A30" s="118">
        <v>23</v>
      </c>
      <c r="B30" s="114" t="s">
        <v>12</v>
      </c>
      <c r="C30" s="109" t="e">
        <f>VLOOKUP(Table25755252691013434446474849565758596315181719224566677172737476777879939495100104109111113115117137[[#This Row],[PEG]],Table1016[#All],2,FALSE)</f>
        <v>#N/A</v>
      </c>
      <c r="D30" s="117"/>
      <c r="E30" s="125" t="e">
        <f>VLOOKUP(Table25755252691013434446474849565758596315181719224566677172737476777879939495100104109111113115117137[[#This Row],[PEG]],Table1016[#All],3,FALSE)</f>
        <v>#N/A</v>
      </c>
    </row>
    <row r="31" spans="1:5" x14ac:dyDescent="0.35">
      <c r="A31" s="118">
        <v>24</v>
      </c>
      <c r="B31" s="114" t="s">
        <v>115</v>
      </c>
      <c r="C31" s="109" t="e">
        <f>VLOOKUP(Table25755252691013434446474849565758596315181719224566677172737476777879939495100104109111113115117137[[#This Row],[PEG]],Table1016[#All],2,FALSE)</f>
        <v>#N/A</v>
      </c>
      <c r="D31" s="117"/>
      <c r="E31" s="125" t="e">
        <f>VLOOKUP(Table25755252691013434446474849565758596315181719224566677172737476777879939495100104109111113115117137[[#This Row],[PEG]],Table1016[#All],3,FALSE)</f>
        <v>#N/A</v>
      </c>
    </row>
    <row r="32" spans="1:5" x14ac:dyDescent="0.35">
      <c r="A32" s="118">
        <v>25</v>
      </c>
      <c r="B32" s="114" t="s">
        <v>115</v>
      </c>
      <c r="C32" s="109" t="e">
        <f>VLOOKUP(Table25755252691013434446474849565758596315181719224566677172737476777879939495100104109111113115117137[[#This Row],[PEG]],Table1016[#All],2,FALSE)</f>
        <v>#N/A</v>
      </c>
      <c r="D32" s="117"/>
      <c r="E32" s="125" t="e">
        <f>VLOOKUP(Table25755252691013434446474849565758596315181719224566677172737476777879939495100104109111113115117137[[#This Row],[PEG]],Table1016[#All],3,FALSE)</f>
        <v>#N/A</v>
      </c>
    </row>
    <row r="33" spans="1:5" x14ac:dyDescent="0.35">
      <c r="A33" s="118">
        <v>26</v>
      </c>
      <c r="B33" s="114" t="s">
        <v>124</v>
      </c>
      <c r="C33" s="109" t="e">
        <f>VLOOKUP(Table25755252691013434446474849565758596315181719224566677172737476777879939495100104109111113115117137[[#This Row],[PEG]],Table1016[#All],2,FALSE)</f>
        <v>#N/A</v>
      </c>
      <c r="D33" s="117"/>
      <c r="E33" s="125" t="e">
        <f>VLOOKUP(Table25755252691013434446474849565758596315181719224566677172737476777879939495100104109111113115117137[[#This Row],[PEG]],Table1016[#All],3,FALSE)</f>
        <v>#N/A</v>
      </c>
    </row>
    <row r="34" spans="1:5" x14ac:dyDescent="0.35">
      <c r="A34" s="118">
        <v>27</v>
      </c>
      <c r="B34" s="114" t="s">
        <v>115</v>
      </c>
      <c r="C34" s="109" t="e">
        <f>VLOOKUP(Table25755252691013434446474849565758596315181719224566677172737476777879939495100104109111113115117137[[#This Row],[PEG]],Table1016[#All],2,FALSE)</f>
        <v>#N/A</v>
      </c>
      <c r="D34" s="117"/>
      <c r="E34" s="125" t="e">
        <f>VLOOKUP(Table25755252691013434446474849565758596315181719224566677172737476777879939495100104109111113115117137[[#This Row],[PEG]],Table1016[#All],3,FALSE)</f>
        <v>#N/A</v>
      </c>
    </row>
    <row r="35" spans="1:5" x14ac:dyDescent="0.35">
      <c r="A35" s="118">
        <v>28</v>
      </c>
      <c r="B35" s="114" t="s">
        <v>124</v>
      </c>
      <c r="C35" s="109" t="e">
        <f>VLOOKUP(Table25755252691013434446474849565758596315181719224566677172737476777879939495100104109111113115117137[[#This Row],[PEG]],Table1016[#All],2,FALSE)</f>
        <v>#N/A</v>
      </c>
      <c r="D35" s="117"/>
      <c r="E35" s="125" t="e">
        <f>VLOOKUP(Table25755252691013434446474849565758596315181719224566677172737476777879939495100104109111113115117137[[#This Row],[PEG]],Table1016[#All],3,FALSE)</f>
        <v>#N/A</v>
      </c>
    </row>
    <row r="36" spans="1:5" x14ac:dyDescent="0.35">
      <c r="A36" s="118">
        <v>29</v>
      </c>
      <c r="B36" s="114" t="s">
        <v>115</v>
      </c>
      <c r="C36" s="109" t="e">
        <f>VLOOKUP(Table25755252691013434446474849565758596315181719224566677172737476777879939495100104109111113115117137[[#This Row],[PEG]],Table1016[#All],2,FALSE)</f>
        <v>#N/A</v>
      </c>
      <c r="D36" s="117"/>
      <c r="E36" s="125" t="e">
        <f>VLOOKUP(Table25755252691013434446474849565758596315181719224566677172737476777879939495100104109111113115117137[[#This Row],[PEG]],Table1016[#All],3,FALSE)</f>
        <v>#N/A</v>
      </c>
    </row>
    <row r="37" spans="1:5" x14ac:dyDescent="0.35">
      <c r="A37" s="118">
        <v>30</v>
      </c>
      <c r="B37" s="114" t="s">
        <v>12</v>
      </c>
      <c r="C37" s="109" t="e">
        <f>VLOOKUP(Table25755252691013434446474849565758596315181719224566677172737476777879939495100104109111113115117137[[#This Row],[PEG]],Table1016[#All],2,FALSE)</f>
        <v>#N/A</v>
      </c>
      <c r="D37" s="117"/>
      <c r="E37" s="125" t="e">
        <f>VLOOKUP(Table25755252691013434446474849565758596315181719224566677172737476777879939495100104109111113115117137[[#This Row],[PEG]],Table1016[#All],3,FALSE)</f>
        <v>#N/A</v>
      </c>
    </row>
    <row r="38" spans="1:5" x14ac:dyDescent="0.35">
      <c r="A38" s="118">
        <v>31</v>
      </c>
      <c r="B38" s="114" t="s">
        <v>12</v>
      </c>
      <c r="C38" s="109" t="e">
        <f>VLOOKUP(Table25755252691013434446474849565758596315181719224566677172737476777879939495100104109111113115117137[[#This Row],[PEG]],Table1016[#All],2,FALSE)</f>
        <v>#N/A</v>
      </c>
      <c r="D38" s="117"/>
      <c r="E38" s="125" t="e">
        <f>VLOOKUP(Table25755252691013434446474849565758596315181719224566677172737476777879939495100104109111113115117137[[#This Row],[PEG]],Table1016[#All],3,FALSE)</f>
        <v>#N/A</v>
      </c>
    </row>
    <row r="39" spans="1:5" x14ac:dyDescent="0.35">
      <c r="A39" s="118">
        <v>32</v>
      </c>
      <c r="B39" s="114" t="s">
        <v>12</v>
      </c>
      <c r="C39" s="109" t="e">
        <f>VLOOKUP(Table25755252691013434446474849565758596315181719224566677172737476777879939495100104109111113115117137[[#This Row],[PEG]],Table1016[#All],2,FALSE)</f>
        <v>#N/A</v>
      </c>
      <c r="D39" s="117"/>
      <c r="E39" s="125" t="e">
        <f>VLOOKUP(Table25755252691013434446474849565758596315181719224566677172737476777879939495100104109111113115117137[[#This Row],[PEG]],Table1016[#All],3,FALSE)</f>
        <v>#N/A</v>
      </c>
    </row>
    <row r="40" spans="1:5" x14ac:dyDescent="0.35">
      <c r="A40" s="118">
        <v>33</v>
      </c>
      <c r="B40" s="114" t="s">
        <v>12</v>
      </c>
      <c r="C40" s="109" t="e">
        <f>VLOOKUP(Table25755252691013434446474849565758596315181719224566677172737476777879939495100104109111113115117137[[#This Row],[PEG]],Table1016[#All],2,FALSE)</f>
        <v>#N/A</v>
      </c>
      <c r="D40" s="117"/>
      <c r="E40" s="125" t="e">
        <f>VLOOKUP(Table25755252691013434446474849565758596315181719224566677172737476777879939495100104109111113115117137[[#This Row],[PEG]],Table1016[#All],3,FALSE)</f>
        <v>#N/A</v>
      </c>
    </row>
    <row r="41" spans="1:5" x14ac:dyDescent="0.35">
      <c r="A41" s="118">
        <v>34</v>
      </c>
      <c r="B41" s="114" t="s">
        <v>115</v>
      </c>
      <c r="C41" s="109" t="e">
        <f>VLOOKUP(Table25755252691013434446474849565758596315181719224566677172737476777879939495100104109111113115117137[[#This Row],[PEG]],Table1016[#All],2,FALSE)</f>
        <v>#N/A</v>
      </c>
      <c r="D41" s="117"/>
      <c r="E41" s="125" t="e">
        <f>VLOOKUP(Table25755252691013434446474849565758596315181719224566677172737476777879939495100104109111113115117137[[#This Row],[PEG]],Table1016[#All],3,FALSE)</f>
        <v>#N/A</v>
      </c>
    </row>
    <row r="42" spans="1:5" x14ac:dyDescent="0.35">
      <c r="A42" s="118">
        <v>35</v>
      </c>
      <c r="B42" s="114" t="s">
        <v>13</v>
      </c>
      <c r="C42" s="18" t="s">
        <v>13</v>
      </c>
      <c r="D42" s="115"/>
      <c r="E42" s="32"/>
    </row>
  </sheetData>
  <mergeCells count="1">
    <mergeCell ref="A1:B1"/>
  </mergeCells>
  <conditionalFormatting sqref="B8:B18">
    <cfRule type="containsText" dxfId="3823" priority="1" operator="containsText" text="Hear">
      <formula>NOT(ISERROR(SEARCH("Hear",B8)))</formula>
    </cfRule>
  </conditionalFormatting>
  <conditionalFormatting sqref="B36:B38 B40:B41">
    <cfRule type="containsText" dxfId="3822" priority="3" operator="containsText" text="Hear">
      <formula>NOT(ISERROR(SEARCH("Hear",B36)))</formula>
    </cfRule>
  </conditionalFormatting>
  <conditionalFormatting sqref="B19:B29 B31:B35 B42">
    <cfRule type="containsText" dxfId="3821" priority="7" operator="containsText" text="Hear">
      <formula>NOT(ISERROR(SEARCH("Hear",B19)))</formula>
    </cfRule>
  </conditionalFormatting>
  <conditionalFormatting sqref="E42">
    <cfRule type="containsText" dxfId="3820" priority="5" operator="containsText" text="WEB SERVICE">
      <formula>NOT(ISERROR(SEARCH("WEB SERVICE",E42)))</formula>
    </cfRule>
    <cfRule type="containsText" dxfId="3819" priority="6" operator="containsText" text="DB">
      <formula>NOT(ISERROR(SEARCH("DB",E42)))</formula>
    </cfRule>
  </conditionalFormatting>
  <conditionalFormatting sqref="C42">
    <cfRule type="expression" dxfId="3818" priority="10">
      <formula>$B42="HANGUP"</formula>
    </cfRule>
  </conditionalFormatting>
  <conditionalFormatting sqref="B30">
    <cfRule type="containsText" dxfId="3817" priority="4" operator="containsText" text="Hear">
      <formula>NOT(ISERROR(SEARCH("Hear",B30)))</formula>
    </cfRule>
  </conditionalFormatting>
  <hyperlinks>
    <hyperlink ref="A1" location="'Test Case Overview'!A1" display="Return to Test Case Overview" xr:uid="{3F6BE6BD-0917-4CDD-A634-1B8183FFD009}"/>
  </hyperlinks>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expression" priority="11" id="{F29D8C1F-56CD-4BE8-8CC9-90DDAB0230EB}">
            <xm:f>'TC1'!$B8="HANGUP"</xm:f>
            <x14:dxf>
              <font>
                <b/>
                <i val="0"/>
              </font>
            </x14:dxf>
          </x14:cfRule>
          <x14:cfRule type="expression" priority="12" id="{7F9D693B-456D-4B6D-98E4-EC5A29E21EBB}">
            <xm:f>'TC1'!$B8="Dial"</xm:f>
            <x14:dxf>
              <font>
                <b/>
                <i val="0"/>
                <color rgb="FFFF0000"/>
              </font>
            </x14:dxf>
          </x14:cfRule>
          <xm:sqref>C8</xm:sqref>
        </x14:conditionalFormatting>
        <x14:conditionalFormatting xmlns:xm="http://schemas.microsoft.com/office/excel/2006/main">
          <x14:cfRule type="expression" priority="13" id="{537BAA13-E37F-4C3E-A202-0D45A102B470}">
            <xm:f>'TC1'!$B8="Speak"</xm:f>
            <x14:dxf>
              <font>
                <b/>
                <i val="0"/>
                <color rgb="FFFF0000"/>
              </font>
            </x14:dxf>
          </x14:cfRule>
          <xm:sqref>C8</xm:sqref>
        </x14:conditionalFormatting>
        <x14:conditionalFormatting xmlns:xm="http://schemas.microsoft.com/office/excel/2006/main">
          <x14:cfRule type="containsText" priority="2" operator="containsText" text="Hear" id="{B383122E-0D46-4762-940D-7C07DDBEE04D}">
            <xm:f>NOT(ISERROR(SEARCH("Hear",'TC3'!B34)))</xm:f>
            <x14:dxf>
              <font>
                <color theme="9" tint="-0.24994659260841701"/>
              </font>
              <fill>
                <patternFill>
                  <bgColor theme="9" tint="0.59996337778862885"/>
                </patternFill>
              </fill>
            </x14:dxf>
          </x14:cfRule>
          <xm:sqref>B41</xm:sqref>
        </x14:conditionalFormatting>
        <x14:conditionalFormatting xmlns:xm="http://schemas.microsoft.com/office/excel/2006/main">
          <x14:cfRule type="expression" priority="1763" id="{F29D8C1F-56CD-4BE8-8CC9-90DDAB0230EB}">
            <xm:f>'TC1'!$B16="HANGUP"</xm:f>
            <x14:dxf>
              <font>
                <b/>
                <i val="0"/>
              </font>
            </x14:dxf>
          </x14:cfRule>
          <x14:cfRule type="expression" priority="1764" id="{7F9D693B-456D-4B6D-98E4-EC5A29E21EBB}">
            <xm:f>'TC1'!$B16="Dial"</xm:f>
            <x14:dxf>
              <font>
                <b/>
                <i val="0"/>
                <color rgb="FFFF0000"/>
              </font>
            </x14:dxf>
          </x14:cfRule>
          <xm:sqref>C34:C41</xm:sqref>
        </x14:conditionalFormatting>
        <x14:conditionalFormatting xmlns:xm="http://schemas.microsoft.com/office/excel/2006/main">
          <x14:cfRule type="expression" priority="1765" id="{F29D8C1F-56CD-4BE8-8CC9-90DDAB0230EB}">
            <xm:f>'TC1'!#REF!="HANGUP"</xm:f>
            <x14:dxf>
              <font>
                <b/>
                <i val="0"/>
              </font>
            </x14:dxf>
          </x14:cfRule>
          <x14:cfRule type="expression" priority="1766" id="{7F9D693B-456D-4B6D-98E4-EC5A29E21EBB}">
            <xm:f>'TC1'!#REF!="Dial"</xm:f>
            <x14:dxf>
              <font>
                <b/>
                <i val="0"/>
                <color rgb="FFFF0000"/>
              </font>
            </x14:dxf>
          </x14:cfRule>
          <xm:sqref>C17:C33</xm:sqref>
        </x14:conditionalFormatting>
        <x14:conditionalFormatting xmlns:xm="http://schemas.microsoft.com/office/excel/2006/main">
          <x14:cfRule type="expression" priority="1770" id="{537BAA13-E37F-4C3E-A202-0D45A102B470}">
            <xm:f>'TC1'!$B16="Speak"</xm:f>
            <x14:dxf>
              <font>
                <b/>
                <i val="0"/>
                <color rgb="FFFF0000"/>
              </font>
            </x14:dxf>
          </x14:cfRule>
          <xm:sqref>C34:C41</xm:sqref>
        </x14:conditionalFormatting>
        <x14:conditionalFormatting xmlns:xm="http://schemas.microsoft.com/office/excel/2006/main">
          <x14:cfRule type="expression" priority="1771" id="{537BAA13-E37F-4C3E-A202-0D45A102B470}">
            <xm:f>'TC1'!#REF!="Speak"</xm:f>
            <x14:dxf>
              <font>
                <b/>
                <i val="0"/>
                <color rgb="FFFF0000"/>
              </font>
            </x14:dxf>
          </x14:cfRule>
          <xm:sqref>C17:C33</xm:sqref>
        </x14:conditionalFormatting>
        <x14:conditionalFormatting xmlns:xm="http://schemas.microsoft.com/office/excel/2006/main">
          <x14:cfRule type="containsText" priority="1775" operator="containsText" text="DB" id="{290BB1EB-1F02-41D3-A9CB-2002E7CE7ECE}">
            <xm:f>NOT(ISERROR(SEARCH("DB",'TC1'!E16)))</xm:f>
            <x14:dxf>
              <font>
                <color rgb="FF006100"/>
              </font>
              <fill>
                <patternFill>
                  <bgColor rgb="FFC6EFCE"/>
                </patternFill>
              </fill>
            </x14:dxf>
          </x14:cfRule>
          <x14:cfRule type="containsText" priority="1776" operator="containsText" text="WEB SERVICE" id="{96B18E8B-827E-40DC-9268-22D9C78E63D8}">
            <xm:f>NOT(ISERROR(SEARCH("WEB SERVICE",'TC1'!E16)))</xm:f>
            <x14:dxf>
              <font>
                <color rgb="FF9C0006"/>
              </font>
              <fill>
                <patternFill>
                  <bgColor rgb="FFFFC7CE"/>
                </patternFill>
              </fill>
            </x14:dxf>
          </x14:cfRule>
          <xm:sqref>E34:E41</xm:sqref>
        </x14:conditionalFormatting>
        <x14:conditionalFormatting xmlns:xm="http://schemas.microsoft.com/office/excel/2006/main">
          <x14:cfRule type="containsText" priority="1777" operator="containsText" text="DB" id="{290BB1EB-1F02-41D3-A9CB-2002E7CE7ECE}">
            <xm:f>NOT(ISERROR(SEARCH("DB",'TC1'!#REF!)))</xm:f>
            <x14:dxf>
              <font>
                <color rgb="FF006100"/>
              </font>
              <fill>
                <patternFill>
                  <bgColor rgb="FFC6EFCE"/>
                </patternFill>
              </fill>
            </x14:dxf>
          </x14:cfRule>
          <x14:cfRule type="containsText" priority="1778" operator="containsText" text="WEB SERVICE" id="{96B18E8B-827E-40DC-9268-22D9C78E63D8}">
            <xm:f>NOT(ISERROR(SEARCH("WEB SERVICE",'TC1'!#REF!)))</xm:f>
            <x14:dxf>
              <font>
                <color rgb="FF9C0006"/>
              </font>
              <fill>
                <patternFill>
                  <bgColor rgb="FFFFC7CE"/>
                </patternFill>
              </fill>
            </x14:dxf>
          </x14:cfRule>
          <xm:sqref>E17:E33</xm:sqref>
        </x14:conditionalFormatting>
        <x14:conditionalFormatting xmlns:xm="http://schemas.microsoft.com/office/excel/2006/main">
          <x14:cfRule type="expression" priority="4525" id="{F29D8C1F-56CD-4BE8-8CC9-90DDAB0230EB}">
            <xm:f>'TC1'!$B9="HANGUP"</xm:f>
            <x14:dxf>
              <font>
                <b/>
                <i val="0"/>
              </font>
            </x14:dxf>
          </x14:cfRule>
          <x14:cfRule type="expression" priority="4526" id="{7F9D693B-456D-4B6D-98E4-EC5A29E21EBB}">
            <xm:f>'TC1'!$B9="Dial"</xm:f>
            <x14:dxf>
              <font>
                <b/>
                <i val="0"/>
                <color rgb="FFFF0000"/>
              </font>
            </x14:dxf>
          </x14:cfRule>
          <xm:sqref>C12:C15</xm:sqref>
        </x14:conditionalFormatting>
        <x14:conditionalFormatting xmlns:xm="http://schemas.microsoft.com/office/excel/2006/main">
          <x14:cfRule type="expression" priority="4527" id="{F29D8C1F-56CD-4BE8-8CC9-90DDAB0230EB}">
            <xm:f>'TC1'!#REF!="HANGUP"</xm:f>
            <x14:dxf>
              <font>
                <b/>
                <i val="0"/>
              </font>
            </x14:dxf>
          </x14:cfRule>
          <x14:cfRule type="expression" priority="4528" id="{7F9D693B-456D-4B6D-98E4-EC5A29E21EBB}">
            <xm:f>'TC1'!#REF!="Dial"</xm:f>
            <x14:dxf>
              <font>
                <b/>
                <i val="0"/>
                <color rgb="FFFF0000"/>
              </font>
            </x14:dxf>
          </x14:cfRule>
          <xm:sqref>C9:C11</xm:sqref>
        </x14:conditionalFormatting>
        <x14:conditionalFormatting xmlns:xm="http://schemas.microsoft.com/office/excel/2006/main">
          <x14:cfRule type="expression" priority="4532" id="{537BAA13-E37F-4C3E-A202-0D45A102B470}">
            <xm:f>'TC1'!$B9="Speak"</xm:f>
            <x14:dxf>
              <font>
                <b/>
                <i val="0"/>
                <color rgb="FFFF0000"/>
              </font>
            </x14:dxf>
          </x14:cfRule>
          <xm:sqref>C12:C15</xm:sqref>
        </x14:conditionalFormatting>
        <x14:conditionalFormatting xmlns:xm="http://schemas.microsoft.com/office/excel/2006/main">
          <x14:cfRule type="expression" priority="4533" id="{537BAA13-E37F-4C3E-A202-0D45A102B470}">
            <xm:f>'TC1'!#REF!="Speak"</xm:f>
            <x14:dxf>
              <font>
                <b/>
                <i val="0"/>
                <color rgb="FFFF0000"/>
              </font>
            </x14:dxf>
          </x14:cfRule>
          <xm:sqref>C9:C11</xm:sqref>
        </x14:conditionalFormatting>
        <x14:conditionalFormatting xmlns:xm="http://schemas.microsoft.com/office/excel/2006/main">
          <x14:cfRule type="containsText" priority="4535" operator="containsText" text="DB" id="{290BB1EB-1F02-41D3-A9CB-2002E7CE7ECE}">
            <xm:f>NOT(ISERROR(SEARCH("DB",'TC1'!#REF!)))</xm:f>
            <x14:dxf>
              <font>
                <color rgb="FF006100"/>
              </font>
              <fill>
                <patternFill>
                  <bgColor rgb="FFC6EFCE"/>
                </patternFill>
              </fill>
            </x14:dxf>
          </x14:cfRule>
          <x14:cfRule type="containsText" priority="4536" operator="containsText" text="WEB SERVICE" id="{96B18E8B-827E-40DC-9268-22D9C78E63D8}">
            <xm:f>NOT(ISERROR(SEARCH("WEB SERVICE",'TC1'!#REF!)))</xm:f>
            <x14:dxf>
              <font>
                <color rgb="FF9C0006"/>
              </font>
              <fill>
                <patternFill>
                  <bgColor rgb="FFFFC7CE"/>
                </patternFill>
              </fill>
            </x14:dxf>
          </x14:cfRule>
          <xm:sqref>E9:E11</xm:sqref>
        </x14:conditionalFormatting>
        <x14:conditionalFormatting xmlns:xm="http://schemas.microsoft.com/office/excel/2006/main">
          <x14:cfRule type="containsText" priority="4537" operator="containsText" text="DB" id="{290BB1EB-1F02-41D3-A9CB-2002E7CE7ECE}">
            <xm:f>NOT(ISERROR(SEARCH("DB",'TC1'!E9)))</xm:f>
            <x14:dxf>
              <font>
                <color rgb="FF006100"/>
              </font>
              <fill>
                <patternFill>
                  <bgColor rgb="FFC6EFCE"/>
                </patternFill>
              </fill>
            </x14:dxf>
          </x14:cfRule>
          <x14:cfRule type="containsText" priority="4538" operator="containsText" text="WEB SERVICE" id="{96B18E8B-827E-40DC-9268-22D9C78E63D8}">
            <xm:f>NOT(ISERROR(SEARCH("WEB SERVICE",'TC1'!E9)))</xm:f>
            <x14:dxf>
              <font>
                <color rgb="FF9C0006"/>
              </font>
              <fill>
                <patternFill>
                  <bgColor rgb="FFFFC7CE"/>
                </patternFill>
              </fill>
            </x14:dxf>
          </x14:cfRule>
          <xm:sqref>E12:E15</xm:sqref>
        </x14:conditionalFormatting>
        <x14:conditionalFormatting xmlns:xm="http://schemas.microsoft.com/office/excel/2006/main">
          <x14:cfRule type="expression" priority="6950" id="{F29D8C1F-56CD-4BE8-8CC9-90DDAB0230EB}">
            <xm:f>'TC1'!$B15="HANGUP"</xm:f>
            <x14:dxf>
              <font>
                <b/>
                <i val="0"/>
              </font>
            </x14:dxf>
          </x14:cfRule>
          <x14:cfRule type="expression" priority="6951" id="{7F9D693B-456D-4B6D-98E4-EC5A29E21EBB}">
            <xm:f>'TC1'!$B15="Dial"</xm:f>
            <x14:dxf>
              <font>
                <b/>
                <i val="0"/>
                <color rgb="FFFF0000"/>
              </font>
            </x14:dxf>
          </x14:cfRule>
          <xm:sqref>C16</xm:sqref>
        </x14:conditionalFormatting>
        <x14:conditionalFormatting xmlns:xm="http://schemas.microsoft.com/office/excel/2006/main">
          <x14:cfRule type="expression" priority="6953" id="{537BAA13-E37F-4C3E-A202-0D45A102B470}">
            <xm:f>'TC1'!$B15="Speak"</xm:f>
            <x14:dxf>
              <font>
                <b/>
                <i val="0"/>
                <color rgb="FFFF0000"/>
              </font>
            </x14:dxf>
          </x14:cfRule>
          <xm:sqref>C16</xm:sqref>
        </x14:conditionalFormatting>
        <x14:conditionalFormatting xmlns:xm="http://schemas.microsoft.com/office/excel/2006/main">
          <x14:cfRule type="containsText" priority="6956" operator="containsText" text="DB" id="{290BB1EB-1F02-41D3-A9CB-2002E7CE7ECE}">
            <xm:f>NOT(ISERROR(SEARCH("DB",'TC1'!E15)))</xm:f>
            <x14:dxf>
              <font>
                <color rgb="FF006100"/>
              </font>
              <fill>
                <patternFill>
                  <bgColor rgb="FFC6EFCE"/>
                </patternFill>
              </fill>
            </x14:dxf>
          </x14:cfRule>
          <x14:cfRule type="containsText" priority="6957" operator="containsText" text="WEB SERVICE" id="{96B18E8B-827E-40DC-9268-22D9C78E63D8}">
            <xm:f>NOT(ISERROR(SEARCH("WEB SERVICE",'TC1'!E15)))</xm:f>
            <x14:dxf>
              <font>
                <color rgb="FF9C0006"/>
              </font>
              <fill>
                <patternFill>
                  <bgColor rgb="FFFFC7CE"/>
                </patternFill>
              </fill>
            </x14:dxf>
          </x14:cfRule>
          <xm:sqref>E16</xm:sqref>
        </x14:conditionalFormatting>
        <x14:conditionalFormatting xmlns:xm="http://schemas.microsoft.com/office/excel/2006/main">
          <x14:cfRule type="containsText" priority="9334" operator="containsText" text="Hear" id="{B0500127-0024-4E2F-88C5-5B6DC9DF0B46}">
            <xm:f>NOT(ISERROR(SEARCH("Hear",'TC26'!#REF!)))</xm:f>
            <x14:dxf>
              <font>
                <color theme="9" tint="-0.24994659260841701"/>
              </font>
              <fill>
                <patternFill>
                  <bgColor theme="9" tint="0.59996337778862885"/>
                </patternFill>
              </fill>
            </x14:dxf>
          </x14:cfRule>
          <xm:sqref>B39</xm:sqref>
        </x14:conditionalFormatting>
      </x14:conditionalFormattings>
    </ext>
  </extLst>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C00-000000000000}">
  <sheetPr codeName="Sheet78"/>
  <dimension ref="A1:E44"/>
  <sheetViews>
    <sheetView zoomScaleNormal="100" workbookViewId="0">
      <selection activeCell="A2" sqref="A2"/>
    </sheetView>
  </sheetViews>
  <sheetFormatPr defaultRowHeight="14.5" x14ac:dyDescent="0.35"/>
  <cols>
    <col min="1" max="1" width="14.453125" style="97" bestFit="1" customWidth="1"/>
    <col min="2" max="2" width="42.6328125" style="97" customWidth="1"/>
    <col min="3" max="3" width="106.1796875" style="98" customWidth="1"/>
    <col min="4" max="4" width="21.81640625" style="111" bestFit="1" customWidth="1"/>
    <col min="5" max="5" width="20.6328125" style="97" customWidth="1"/>
  </cols>
  <sheetData>
    <row r="1" spans="1:5" ht="18.5" x14ac:dyDescent="0.35">
      <c r="A1" s="192" t="s">
        <v>4</v>
      </c>
      <c r="B1" s="192"/>
      <c r="C1" s="105"/>
    </row>
    <row r="2" spans="1:5" x14ac:dyDescent="0.35">
      <c r="A2" s="106" t="s">
        <v>5</v>
      </c>
      <c r="B2" s="107" t="str">
        <f ca="1">MID(CELL("filename",A1),FIND("]",CELL("filename",A1))+1,LEN(CELL("filename",A1))-FIND("]",CELL("filename",A1)))</f>
        <v>TC76</v>
      </c>
    </row>
    <row r="3" spans="1:5" x14ac:dyDescent="0.35">
      <c r="A3" s="104" t="s">
        <v>19</v>
      </c>
      <c r="B3" s="112" t="e">
        <f ca="1">VLOOKUP(B2,Table1[#All],2,FALSE)</f>
        <v>#N/A</v>
      </c>
    </row>
    <row r="4" spans="1:5" ht="29" x14ac:dyDescent="0.35">
      <c r="A4" s="113" t="s">
        <v>20</v>
      </c>
      <c r="B4" s="99" t="e">
        <f ca="1">VLOOKUP(B2,Table1[#All],4,FALSE)</f>
        <v>#N/A</v>
      </c>
    </row>
    <row r="5" spans="1:5" x14ac:dyDescent="0.35">
      <c r="A5" s="104" t="s">
        <v>6</v>
      </c>
      <c r="B5" s="93" t="e">
        <f ca="1">VLOOKUP(B2,Table1[#All],3,FALSE)</f>
        <v>#N/A</v>
      </c>
    </row>
    <row r="7" spans="1:5" ht="15.5" x14ac:dyDescent="0.35">
      <c r="A7" s="100" t="s">
        <v>7</v>
      </c>
      <c r="B7" s="101" t="s">
        <v>8</v>
      </c>
      <c r="C7" s="102" t="s">
        <v>9</v>
      </c>
      <c r="D7" s="102" t="s">
        <v>14</v>
      </c>
      <c r="E7" s="103" t="s">
        <v>10</v>
      </c>
    </row>
    <row r="8" spans="1:5" x14ac:dyDescent="0.35">
      <c r="A8" s="118">
        <v>1</v>
      </c>
      <c r="B8" s="114" t="s">
        <v>114</v>
      </c>
      <c r="C8" s="109" t="s">
        <v>125</v>
      </c>
      <c r="D8" s="128"/>
      <c r="E8" s="125" t="s">
        <v>11</v>
      </c>
    </row>
    <row r="9" spans="1:5" x14ac:dyDescent="0.35">
      <c r="A9" s="118">
        <v>2</v>
      </c>
      <c r="B9" s="114" t="s">
        <v>12</v>
      </c>
      <c r="C9" s="109" t="e">
        <f>VLOOKUP(Table25755252691013434446474849565758596315181719224566677172737476777879939495100104109111113115117138[[#This Row],[PEG]],Table1016[#All],2,FALSE)</f>
        <v>#N/A</v>
      </c>
      <c r="D9" s="128"/>
      <c r="E9" s="125" t="e">
        <f>VLOOKUP(Table25755252691013434446474849565758596315181719224566677172737476777879939495100104109111113115117138[[#This Row],[PEG]],Table1016[#All],3,FALSE)</f>
        <v>#N/A</v>
      </c>
    </row>
    <row r="10" spans="1:5" x14ac:dyDescent="0.35">
      <c r="A10" s="118">
        <v>3</v>
      </c>
      <c r="B10" s="114" t="s">
        <v>115</v>
      </c>
      <c r="C10" s="109" t="e">
        <f>VLOOKUP(Table25755252691013434446474849565758596315181719224566677172737476777879939495100104109111113115117138[[#This Row],[PEG]],Table1016[#All],2,FALSE)</f>
        <v>#N/A</v>
      </c>
      <c r="D10" s="128"/>
      <c r="E10" s="125" t="e">
        <f>VLOOKUP(Table25755252691013434446474849565758596315181719224566677172737476777879939495100104109111113115117138[[#This Row],[PEG]],Table1016[#All],3,FALSE)</f>
        <v>#N/A</v>
      </c>
    </row>
    <row r="11" spans="1:5" x14ac:dyDescent="0.35">
      <c r="A11" s="118">
        <v>4</v>
      </c>
      <c r="B11" s="114" t="s">
        <v>115</v>
      </c>
      <c r="C11" s="109" t="e">
        <f>VLOOKUP(Table25755252691013434446474849565758596315181719224566677172737476777879939495100104109111113115117138[[#This Row],[PEG]],Table1016[#All],2,FALSE)</f>
        <v>#N/A</v>
      </c>
      <c r="D11" s="128"/>
      <c r="E11" s="125" t="e">
        <f>VLOOKUP(Table25755252691013434446474849565758596315181719224566677172737476777879939495100104109111113115117138[[#This Row],[PEG]],Table1016[#All],3,FALSE)</f>
        <v>#N/A</v>
      </c>
    </row>
    <row r="12" spans="1:5" x14ac:dyDescent="0.35">
      <c r="A12" s="118">
        <v>5</v>
      </c>
      <c r="B12" s="114" t="s">
        <v>114</v>
      </c>
      <c r="C12" s="109" t="e">
        <f>VLOOKUP(Table25755252691013434446474849565758596315181719224566677172737476777879939495100104109111113115117138[[#This Row],[PEG]],Table1016[#All],2,FALSE)</f>
        <v>#N/A</v>
      </c>
      <c r="D12" s="128"/>
      <c r="E12" s="125" t="e">
        <f>VLOOKUP(Table25755252691013434446474849565758596315181719224566677172737476777879939495100104109111113115117138[[#This Row],[PEG]],Table1016[#All],3,FALSE)</f>
        <v>#N/A</v>
      </c>
    </row>
    <row r="13" spans="1:5" x14ac:dyDescent="0.35">
      <c r="A13" s="118">
        <v>6</v>
      </c>
      <c r="B13" s="114" t="s">
        <v>115</v>
      </c>
      <c r="C13" s="109" t="e">
        <f>VLOOKUP(Table25755252691013434446474849565758596315181719224566677172737476777879939495100104109111113115117138[[#This Row],[PEG]],Table1016[#All],2,FALSE)</f>
        <v>#N/A</v>
      </c>
      <c r="D13" s="128"/>
      <c r="E13" s="125" t="e">
        <f>VLOOKUP(Table25755252691013434446474849565758596315181719224566677172737476777879939495100104109111113115117138[[#This Row],[PEG]],Table1016[#All],3,FALSE)</f>
        <v>#N/A</v>
      </c>
    </row>
    <row r="14" spans="1:5" x14ac:dyDescent="0.35">
      <c r="A14" s="118">
        <v>7</v>
      </c>
      <c r="B14" s="114" t="s">
        <v>114</v>
      </c>
      <c r="C14" s="109" t="e">
        <f>VLOOKUP(Table25755252691013434446474849565758596315181719224566677172737476777879939495100104109111113115117138[[#This Row],[PEG]],Table1016[#All],2,FALSE)</f>
        <v>#N/A</v>
      </c>
      <c r="D14" s="128"/>
      <c r="E14" s="125" t="e">
        <f>VLOOKUP(Table25755252691013434446474849565758596315181719224566677172737476777879939495100104109111113115117138[[#This Row],[PEG]],Table1016[#All],3,FALSE)</f>
        <v>#N/A</v>
      </c>
    </row>
    <row r="15" spans="1:5" x14ac:dyDescent="0.35">
      <c r="A15" s="118">
        <v>8</v>
      </c>
      <c r="B15" s="114" t="s">
        <v>115</v>
      </c>
      <c r="C15" s="109" t="e">
        <f>VLOOKUP(Table25755252691013434446474849565758596315181719224566677172737476777879939495100104109111113115117138[[#This Row],[PEG]],Table1016[#All],2,FALSE)</f>
        <v>#N/A</v>
      </c>
      <c r="D15" s="116"/>
      <c r="E15" s="125" t="e">
        <f>VLOOKUP(Table25755252691013434446474849565758596315181719224566677172737476777879939495100104109111113115117138[[#This Row],[PEG]],Table1016[#All],3,FALSE)</f>
        <v>#N/A</v>
      </c>
    </row>
    <row r="16" spans="1:5" x14ac:dyDescent="0.35">
      <c r="A16" s="118">
        <v>9</v>
      </c>
      <c r="B16" s="114" t="s">
        <v>12</v>
      </c>
      <c r="C16" s="109" t="e">
        <f>VLOOKUP(Table25755252691013434446474849565758596315181719224566677172737476777879939495100104109111113115117138[[#This Row],[PEG]],Table1016[#All],2,FALSE)</f>
        <v>#N/A</v>
      </c>
      <c r="D16" s="116"/>
      <c r="E16" s="125" t="e">
        <f>VLOOKUP(Table25755252691013434446474849565758596315181719224566677172737476777879939495100104109111113115117138[[#This Row],[PEG]],Table1016[#All],3,FALSE)</f>
        <v>#N/A</v>
      </c>
    </row>
    <row r="17" spans="1:5" x14ac:dyDescent="0.35">
      <c r="A17" s="118">
        <v>10</v>
      </c>
      <c r="B17" s="114" t="s">
        <v>12</v>
      </c>
      <c r="C17" s="109" t="e">
        <f>VLOOKUP(Table25755252691013434446474849565758596315181719224566677172737476777879939495100104109111113115117138[[#This Row],[PEG]],Table1016[#All],2,FALSE)</f>
        <v>#N/A</v>
      </c>
      <c r="D17" s="117"/>
      <c r="E17" s="125" t="e">
        <f>VLOOKUP(Table25755252691013434446474849565758596315181719224566677172737476777879939495100104109111113115117138[[#This Row],[PEG]],Table1016[#All],3,FALSE)</f>
        <v>#N/A</v>
      </c>
    </row>
    <row r="18" spans="1:5" x14ac:dyDescent="0.35">
      <c r="A18" s="118">
        <v>11</v>
      </c>
      <c r="B18" s="114" t="s">
        <v>115</v>
      </c>
      <c r="C18" s="109" t="e">
        <f>VLOOKUP(Table25755252691013434446474849565758596315181719224566677172737476777879939495100104109111113115117138[[#This Row],[PEG]],Table1016[#All],2,FALSE)</f>
        <v>#N/A</v>
      </c>
      <c r="D18" s="117"/>
      <c r="E18" s="125" t="e">
        <f>VLOOKUP(Table25755252691013434446474849565758596315181719224566677172737476777879939495100104109111113115117138[[#This Row],[PEG]],Table1016[#All],3,FALSE)</f>
        <v>#N/A</v>
      </c>
    </row>
    <row r="19" spans="1:5" x14ac:dyDescent="0.35">
      <c r="A19" s="118">
        <v>12</v>
      </c>
      <c r="B19" s="114" t="s">
        <v>115</v>
      </c>
      <c r="C19" s="109" t="e">
        <f>VLOOKUP(Table25755252691013434446474849565758596315181719224566677172737476777879939495100104109111113115117138[[#This Row],[PEG]],Table1016[#All],2,FALSE)</f>
        <v>#N/A</v>
      </c>
      <c r="D19" s="117"/>
      <c r="E19" s="125" t="e">
        <f>VLOOKUP(Table25755252691013434446474849565758596315181719224566677172737476777879939495100104109111113115117138[[#This Row],[PEG]],Table1016[#All],3,FALSE)</f>
        <v>#N/A</v>
      </c>
    </row>
    <row r="20" spans="1:5" x14ac:dyDescent="0.35">
      <c r="A20" s="118">
        <v>13</v>
      </c>
      <c r="B20" s="114" t="s">
        <v>114</v>
      </c>
      <c r="C20" s="109" t="e">
        <f>VLOOKUP(Table25755252691013434446474849565758596315181719224566677172737476777879939495100104109111113115117138[[#This Row],[PEG]],Table1016[#All],2,FALSE)</f>
        <v>#N/A</v>
      </c>
      <c r="D20" s="117"/>
      <c r="E20" s="125" t="e">
        <f>VLOOKUP(Table25755252691013434446474849565758596315181719224566677172737476777879939495100104109111113115117138[[#This Row],[PEG]],Table1016[#All],3,FALSE)</f>
        <v>#N/A</v>
      </c>
    </row>
    <row r="21" spans="1:5" x14ac:dyDescent="0.35">
      <c r="A21" s="118">
        <v>14</v>
      </c>
      <c r="B21" s="114" t="s">
        <v>12</v>
      </c>
      <c r="C21" s="109" t="e">
        <f>VLOOKUP(Table25755252691013434446474849565758596315181719224566677172737476777879939495100104109111113115117138[[#This Row],[PEG]],Table1016[#All],2,FALSE)</f>
        <v>#N/A</v>
      </c>
      <c r="D21" s="117"/>
      <c r="E21" s="125" t="e">
        <f>VLOOKUP(Table25755252691013434446474849565758596315181719224566677172737476777879939495100104109111113115117138[[#This Row],[PEG]],Table1016[#All],3,FALSE)</f>
        <v>#N/A</v>
      </c>
    </row>
    <row r="22" spans="1:5" x14ac:dyDescent="0.35">
      <c r="A22" s="118">
        <v>15</v>
      </c>
      <c r="B22" s="114" t="s">
        <v>12</v>
      </c>
      <c r="C22" s="109" t="e">
        <f>VLOOKUP(Table25755252691013434446474849565758596315181719224566677172737476777879939495100104109111113115117138[[#This Row],[PEG]],Table1016[#All],2,FALSE)</f>
        <v>#N/A</v>
      </c>
      <c r="D22" s="117"/>
      <c r="E22" s="125" t="e">
        <f>VLOOKUP(Table25755252691013434446474849565758596315181719224566677172737476777879939495100104109111113115117138[[#This Row],[PEG]],Table1016[#All],3,FALSE)</f>
        <v>#N/A</v>
      </c>
    </row>
    <row r="23" spans="1:5" x14ac:dyDescent="0.35">
      <c r="A23" s="118">
        <v>16</v>
      </c>
      <c r="B23" s="114" t="s">
        <v>115</v>
      </c>
      <c r="C23" s="109" t="e">
        <f>VLOOKUP(Table25755252691013434446474849565758596315181719224566677172737476777879939495100104109111113115117138[[#This Row],[PEG]],Table1016[#All],2,FALSE)</f>
        <v>#N/A</v>
      </c>
      <c r="D23" s="117"/>
      <c r="E23" s="125" t="e">
        <f>VLOOKUP(Table25755252691013434446474849565758596315181719224566677172737476777879939495100104109111113115117138[[#This Row],[PEG]],Table1016[#All],3,FALSE)</f>
        <v>#N/A</v>
      </c>
    </row>
    <row r="24" spans="1:5" x14ac:dyDescent="0.35">
      <c r="A24" s="118">
        <v>17</v>
      </c>
      <c r="B24" s="114" t="s">
        <v>114</v>
      </c>
      <c r="C24" s="109" t="e">
        <f>VLOOKUP(Table25755252691013434446474849565758596315181719224566677172737476777879939495100104109111113115117138[[#This Row],[PEG]],Table1016[#All],2,FALSE)</f>
        <v>#N/A</v>
      </c>
      <c r="D24" s="117"/>
      <c r="E24" s="125" t="e">
        <f>VLOOKUP(Table25755252691013434446474849565758596315181719224566677172737476777879939495100104109111113115117138[[#This Row],[PEG]],Table1016[#All],3,FALSE)</f>
        <v>#N/A</v>
      </c>
    </row>
    <row r="25" spans="1:5" x14ac:dyDescent="0.35">
      <c r="A25" s="118">
        <v>18</v>
      </c>
      <c r="B25" s="114" t="s">
        <v>12</v>
      </c>
      <c r="C25" s="109" t="e">
        <f>VLOOKUP(Table25755252691013434446474849565758596315181719224566677172737476777879939495100104109111113115117138[[#This Row],[PEG]],Table1016[#All],2,FALSE)</f>
        <v>#N/A</v>
      </c>
      <c r="D25" s="117"/>
      <c r="E25" s="125" t="e">
        <f>VLOOKUP(Table25755252691013434446474849565758596315181719224566677172737476777879939495100104109111113115117138[[#This Row],[PEG]],Table1016[#All],3,FALSE)</f>
        <v>#N/A</v>
      </c>
    </row>
    <row r="26" spans="1:5" x14ac:dyDescent="0.35">
      <c r="A26" s="118">
        <v>19</v>
      </c>
      <c r="B26" s="114" t="s">
        <v>12</v>
      </c>
      <c r="C26" s="109" t="e">
        <f>VLOOKUP(Table25755252691013434446474849565758596315181719224566677172737476777879939495100104109111113115117138[[#This Row],[PEG]],Table1016[#All],2,FALSE)</f>
        <v>#N/A</v>
      </c>
      <c r="D26" s="117"/>
      <c r="E26" s="125" t="e">
        <f>VLOOKUP(Table25755252691013434446474849565758596315181719224566677172737476777879939495100104109111113115117138[[#This Row],[PEG]],Table1016[#All],3,FALSE)</f>
        <v>#N/A</v>
      </c>
    </row>
    <row r="27" spans="1:5" x14ac:dyDescent="0.35">
      <c r="A27" s="118">
        <v>20</v>
      </c>
      <c r="B27" s="114" t="s">
        <v>115</v>
      </c>
      <c r="C27" s="109" t="e">
        <f>VLOOKUP(Table25755252691013434446474849565758596315181719224566677172737476777879939495100104109111113115117138[[#This Row],[PEG]],Table1016[#All],2,FALSE)</f>
        <v>#N/A</v>
      </c>
      <c r="D27" s="117"/>
      <c r="E27" s="125" t="e">
        <f>VLOOKUP(Table25755252691013434446474849565758596315181719224566677172737476777879939495100104109111113115117138[[#This Row],[PEG]],Table1016[#All],3,FALSE)</f>
        <v>#N/A</v>
      </c>
    </row>
    <row r="28" spans="1:5" x14ac:dyDescent="0.35">
      <c r="A28" s="118">
        <v>21</v>
      </c>
      <c r="B28" s="114" t="s">
        <v>114</v>
      </c>
      <c r="C28" s="109" t="e">
        <f>VLOOKUP(Table25755252691013434446474849565758596315181719224566677172737476777879939495100104109111113115117138[[#This Row],[PEG]],Table1016[#All],2,FALSE)</f>
        <v>#N/A</v>
      </c>
      <c r="D28" s="117"/>
      <c r="E28" s="125" t="e">
        <f>VLOOKUP(Table25755252691013434446474849565758596315181719224566677172737476777879939495100104109111113115117138[[#This Row],[PEG]],Table1016[#All],3,FALSE)</f>
        <v>#N/A</v>
      </c>
    </row>
    <row r="29" spans="1:5" x14ac:dyDescent="0.35">
      <c r="A29" s="118">
        <v>22</v>
      </c>
      <c r="B29" s="114" t="s">
        <v>12</v>
      </c>
      <c r="C29" s="109" t="e">
        <f>VLOOKUP(Table25755252691013434446474849565758596315181719224566677172737476777879939495100104109111113115117138[[#This Row],[PEG]],Table1016[#All],2,FALSE)</f>
        <v>#N/A</v>
      </c>
      <c r="D29" s="117"/>
      <c r="E29" s="125" t="e">
        <f>VLOOKUP(Table25755252691013434446474849565758596315181719224566677172737476777879939495100104109111113115117138[[#This Row],[PEG]],Table1016[#All],3,FALSE)</f>
        <v>#N/A</v>
      </c>
    </row>
    <row r="30" spans="1:5" x14ac:dyDescent="0.35">
      <c r="A30" s="118">
        <v>23</v>
      </c>
      <c r="B30" s="114" t="s">
        <v>12</v>
      </c>
      <c r="C30" s="109" t="e">
        <f>VLOOKUP(Table25755252691013434446474849565758596315181719224566677172737476777879939495100104109111113115117138[[#This Row],[PEG]],Table1016[#All],2,FALSE)</f>
        <v>#N/A</v>
      </c>
      <c r="D30" s="117"/>
      <c r="E30" s="125" t="e">
        <f>VLOOKUP(Table25755252691013434446474849565758596315181719224566677172737476777879939495100104109111113115117138[[#This Row],[PEG]],Table1016[#All],3,FALSE)</f>
        <v>#N/A</v>
      </c>
    </row>
    <row r="31" spans="1:5" x14ac:dyDescent="0.35">
      <c r="A31" s="118">
        <v>24</v>
      </c>
      <c r="B31" s="114" t="s">
        <v>115</v>
      </c>
      <c r="C31" s="109" t="e">
        <f>VLOOKUP(Table25755252691013434446474849565758596315181719224566677172737476777879939495100104109111113115117138[[#This Row],[PEG]],Table1016[#All],2,FALSE)</f>
        <v>#N/A</v>
      </c>
      <c r="D31" s="117"/>
      <c r="E31" s="125" t="e">
        <f>VLOOKUP(Table25755252691013434446474849565758596315181719224566677172737476777879939495100104109111113115117138[[#This Row],[PEG]],Table1016[#All],3,FALSE)</f>
        <v>#N/A</v>
      </c>
    </row>
    <row r="32" spans="1:5" x14ac:dyDescent="0.35">
      <c r="A32" s="118">
        <v>25</v>
      </c>
      <c r="B32" s="114" t="s">
        <v>115</v>
      </c>
      <c r="C32" s="109" t="e">
        <f>VLOOKUP(Table25755252691013434446474849565758596315181719224566677172737476777879939495100104109111113115117138[[#This Row],[PEG]],Table1016[#All],2,FALSE)</f>
        <v>#N/A</v>
      </c>
      <c r="D32" s="117"/>
      <c r="E32" s="125" t="e">
        <f>VLOOKUP(Table25755252691013434446474849565758596315181719224566677172737476777879939495100104109111113115117138[[#This Row],[PEG]],Table1016[#All],3,FALSE)</f>
        <v>#N/A</v>
      </c>
    </row>
    <row r="33" spans="1:5" x14ac:dyDescent="0.35">
      <c r="A33" s="118">
        <v>26</v>
      </c>
      <c r="B33" s="114" t="s">
        <v>124</v>
      </c>
      <c r="C33" s="109" t="e">
        <f>VLOOKUP(Table25755252691013434446474849565758596315181719224566677172737476777879939495100104109111113115117138[[#This Row],[PEG]],Table1016[#All],2,FALSE)</f>
        <v>#N/A</v>
      </c>
      <c r="D33" s="117"/>
      <c r="E33" s="125" t="e">
        <f>VLOOKUP(Table25755252691013434446474849565758596315181719224566677172737476777879939495100104109111113115117138[[#This Row],[PEG]],Table1016[#All],3,FALSE)</f>
        <v>#N/A</v>
      </c>
    </row>
    <row r="34" spans="1:5" x14ac:dyDescent="0.35">
      <c r="A34" s="118">
        <v>27</v>
      </c>
      <c r="B34" s="114" t="s">
        <v>115</v>
      </c>
      <c r="C34" s="109" t="e">
        <f>VLOOKUP(Table25755252691013434446474849565758596315181719224566677172737476777879939495100104109111113115117138[[#This Row],[PEG]],Table1016[#All],2,FALSE)</f>
        <v>#N/A</v>
      </c>
      <c r="D34" s="117"/>
      <c r="E34" s="125" t="e">
        <f>VLOOKUP(Table25755252691013434446474849565758596315181719224566677172737476777879939495100104109111113115117138[[#This Row],[PEG]],Table1016[#All],3,FALSE)</f>
        <v>#N/A</v>
      </c>
    </row>
    <row r="35" spans="1:5" x14ac:dyDescent="0.35">
      <c r="A35" s="118">
        <v>28</v>
      </c>
      <c r="B35" s="114" t="s">
        <v>124</v>
      </c>
      <c r="C35" s="109" t="e">
        <f>VLOOKUP(Table25755252691013434446474849565758596315181719224566677172737476777879939495100104109111113115117138[[#This Row],[PEG]],Table1016[#All],2,FALSE)</f>
        <v>#N/A</v>
      </c>
      <c r="D35" s="117"/>
      <c r="E35" s="125" t="e">
        <f>VLOOKUP(Table25755252691013434446474849565758596315181719224566677172737476777879939495100104109111113115117138[[#This Row],[PEG]],Table1016[#All],3,FALSE)</f>
        <v>#N/A</v>
      </c>
    </row>
    <row r="36" spans="1:5" x14ac:dyDescent="0.35">
      <c r="A36" s="118">
        <v>29</v>
      </c>
      <c r="B36" s="114" t="s">
        <v>115</v>
      </c>
      <c r="C36" s="109" t="e">
        <f>VLOOKUP(Table25755252691013434446474849565758596315181719224566677172737476777879939495100104109111113115117138[[#This Row],[PEG]],Table1016[#All],2,FALSE)</f>
        <v>#N/A</v>
      </c>
      <c r="D36" s="117"/>
      <c r="E36" s="125" t="e">
        <f>VLOOKUP(Table25755252691013434446474849565758596315181719224566677172737476777879939495100104109111113115117138[[#This Row],[PEG]],Table1016[#All],3,FALSE)</f>
        <v>#N/A</v>
      </c>
    </row>
    <row r="37" spans="1:5" x14ac:dyDescent="0.35">
      <c r="A37" s="118">
        <v>30</v>
      </c>
      <c r="B37" s="114" t="s">
        <v>12</v>
      </c>
      <c r="C37" s="109" t="e">
        <f>VLOOKUP(Table25755252691013434446474849565758596315181719224566677172737476777879939495100104109111113115117138[[#This Row],[PEG]],Table1016[#All],2,FALSE)</f>
        <v>#N/A</v>
      </c>
      <c r="D37" s="117"/>
      <c r="E37" s="125" t="e">
        <f>VLOOKUP(Table25755252691013434446474849565758596315181719224566677172737476777879939495100104109111113115117138[[#This Row],[PEG]],Table1016[#All],3,FALSE)</f>
        <v>#N/A</v>
      </c>
    </row>
    <row r="38" spans="1:5" x14ac:dyDescent="0.35">
      <c r="A38" s="118">
        <v>31</v>
      </c>
      <c r="B38" s="114" t="s">
        <v>12</v>
      </c>
      <c r="C38" s="109" t="e">
        <f>VLOOKUP(Table25755252691013434446474849565758596315181719224566677172737476777879939495100104109111113115117138[[#This Row],[PEG]],Table1016[#All],2,FALSE)</f>
        <v>#N/A</v>
      </c>
      <c r="D38" s="117"/>
      <c r="E38" s="125" t="e">
        <f>VLOOKUP(Table25755252691013434446474849565758596315181719224566677172737476777879939495100104109111113115117138[[#This Row],[PEG]],Table1016[#All],3,FALSE)</f>
        <v>#N/A</v>
      </c>
    </row>
    <row r="39" spans="1:5" x14ac:dyDescent="0.35">
      <c r="A39" s="118">
        <v>32</v>
      </c>
      <c r="B39" s="114" t="s">
        <v>12</v>
      </c>
      <c r="C39" s="109" t="e">
        <f>VLOOKUP(Table25755252691013434446474849565758596315181719224566677172737476777879939495100104109111113115117138[[#This Row],[PEG]],Table1016[#All],2,FALSE)</f>
        <v>#N/A</v>
      </c>
      <c r="D39" s="117"/>
      <c r="E39" s="125" t="e">
        <f>VLOOKUP(Table25755252691013434446474849565758596315181719224566677172737476777879939495100104109111113115117138[[#This Row],[PEG]],Table1016[#All],3,FALSE)</f>
        <v>#N/A</v>
      </c>
    </row>
    <row r="40" spans="1:5" x14ac:dyDescent="0.35">
      <c r="A40" s="118">
        <v>33</v>
      </c>
      <c r="B40" s="114" t="s">
        <v>12</v>
      </c>
      <c r="C40" s="109" t="e">
        <f>VLOOKUP(Table25755252691013434446474849565758596315181719224566677172737476777879939495100104109111113115117138[[#This Row],[PEG]],Table1016[#All],2,FALSE)</f>
        <v>#N/A</v>
      </c>
      <c r="D40" s="117"/>
      <c r="E40" s="125" t="e">
        <f>VLOOKUP(Table25755252691013434446474849565758596315181719224566677172737476777879939495100104109111113115117138[[#This Row],[PEG]],Table1016[#All],3,FALSE)</f>
        <v>#N/A</v>
      </c>
    </row>
    <row r="41" spans="1:5" x14ac:dyDescent="0.35">
      <c r="A41" s="118">
        <v>34</v>
      </c>
      <c r="B41" s="114" t="s">
        <v>115</v>
      </c>
      <c r="C41" s="109" t="e">
        <f>VLOOKUP(Table25755252691013434446474849565758596315181719224566677172737476777879939495100104109111113115117138[[#This Row],[PEG]],Table1016[#All],2,FALSE)</f>
        <v>#N/A</v>
      </c>
      <c r="D41" s="117"/>
      <c r="E41" s="125" t="e">
        <f>VLOOKUP(Table25755252691013434446474849565758596315181719224566677172737476777879939495100104109111113115117138[[#This Row],[PEG]],Table1016[#All],3,FALSE)</f>
        <v>#N/A</v>
      </c>
    </row>
    <row r="42" spans="1:5" x14ac:dyDescent="0.35">
      <c r="A42" s="118">
        <v>35</v>
      </c>
      <c r="B42" s="114" t="s">
        <v>13</v>
      </c>
      <c r="C42" s="18" t="s">
        <v>13</v>
      </c>
      <c r="D42" s="115"/>
      <c r="E42" s="32"/>
    </row>
    <row r="43" spans="1:5" x14ac:dyDescent="0.35">
      <c r="C43" s="27"/>
    </row>
    <row r="44" spans="1:5" x14ac:dyDescent="0.35">
      <c r="C44" s="27"/>
    </row>
  </sheetData>
  <mergeCells count="1">
    <mergeCell ref="A1:B1"/>
  </mergeCells>
  <conditionalFormatting sqref="C43:C9983">
    <cfRule type="expression" dxfId="3786" priority="22">
      <formula>$B43="Dial"</formula>
    </cfRule>
    <cfRule type="expression" dxfId="3785" priority="24">
      <formula>$B43="HANGUP"</formula>
    </cfRule>
  </conditionalFormatting>
  <conditionalFormatting sqref="B8:B18">
    <cfRule type="containsText" dxfId="3784" priority="1" operator="containsText" text="Hear">
      <formula>NOT(ISERROR(SEARCH("Hear",B8)))</formula>
    </cfRule>
  </conditionalFormatting>
  <conditionalFormatting sqref="B36:B38 B40:B41">
    <cfRule type="containsText" dxfId="3783" priority="3" operator="containsText" text="Hear">
      <formula>NOT(ISERROR(SEARCH("Hear",B36)))</formula>
    </cfRule>
  </conditionalFormatting>
  <conditionalFormatting sqref="B19:B29 B31:B35 B42">
    <cfRule type="containsText" dxfId="3782" priority="7" operator="containsText" text="Hear">
      <formula>NOT(ISERROR(SEARCH("Hear",B19)))</formula>
    </cfRule>
  </conditionalFormatting>
  <conditionalFormatting sqref="E42">
    <cfRule type="containsText" dxfId="3781" priority="5" operator="containsText" text="WEB SERVICE">
      <formula>NOT(ISERROR(SEARCH("WEB SERVICE",E42)))</formula>
    </cfRule>
    <cfRule type="containsText" dxfId="3780" priority="6" operator="containsText" text="DB">
      <formula>NOT(ISERROR(SEARCH("DB",E42)))</formula>
    </cfRule>
  </conditionalFormatting>
  <conditionalFormatting sqref="C42">
    <cfRule type="expression" dxfId="3779" priority="10">
      <formula>$B42="HANGUP"</formula>
    </cfRule>
  </conditionalFormatting>
  <conditionalFormatting sqref="B30">
    <cfRule type="containsText" dxfId="3778" priority="4" operator="containsText" text="Hear">
      <formula>NOT(ISERROR(SEARCH("Hear",B30)))</formula>
    </cfRule>
  </conditionalFormatting>
  <hyperlinks>
    <hyperlink ref="A1" location="'Test Case Overview'!A1" display="Return to Test Case Overview" xr:uid="{F26CB223-6C8F-4D4A-A572-C64872A3BD51}"/>
  </hyperlinks>
  <pageMargins left="0.7" right="0.7" top="0.75" bottom="0.75" header="0.3" footer="0.3"/>
  <pageSetup orientation="portrait" verticalDpi="0" r:id="rId1"/>
  <tableParts count="1">
    <tablePart r:id="rId2"/>
  </tableParts>
  <extLst>
    <ext xmlns:x14="http://schemas.microsoft.com/office/spreadsheetml/2009/9/main" uri="{78C0D931-6437-407d-A8EE-F0AAD7539E65}">
      <x14:conditionalFormattings>
        <x14:conditionalFormatting xmlns:xm="http://schemas.microsoft.com/office/excel/2006/main">
          <x14:cfRule type="expression" priority="11" id="{1FDF1532-A688-4602-9E9A-470BFC06038D}">
            <xm:f>'TC1'!$B8="HANGUP"</xm:f>
            <x14:dxf>
              <font>
                <b/>
                <i val="0"/>
              </font>
            </x14:dxf>
          </x14:cfRule>
          <x14:cfRule type="expression" priority="12" id="{8766B4B9-295C-4001-AF2B-E629AE242EBA}">
            <xm:f>'TC1'!$B8="Dial"</xm:f>
            <x14:dxf>
              <font>
                <b/>
                <i val="0"/>
                <color rgb="FFFF0000"/>
              </font>
            </x14:dxf>
          </x14:cfRule>
          <xm:sqref>C8</xm:sqref>
        </x14:conditionalFormatting>
        <x14:conditionalFormatting xmlns:xm="http://schemas.microsoft.com/office/excel/2006/main">
          <x14:cfRule type="expression" priority="13" id="{2D5D42FC-20B6-49D6-9098-1CE1B83B447E}">
            <xm:f>'TC1'!$B8="Speak"</xm:f>
            <x14:dxf>
              <font>
                <b/>
                <i val="0"/>
                <color rgb="FFFF0000"/>
              </font>
            </x14:dxf>
          </x14:cfRule>
          <xm:sqref>C8</xm:sqref>
        </x14:conditionalFormatting>
        <x14:conditionalFormatting xmlns:xm="http://schemas.microsoft.com/office/excel/2006/main">
          <x14:cfRule type="containsText" priority="2" operator="containsText" text="Hear" id="{E0485B7B-C2FB-42AC-8024-BF59181FE616}">
            <xm:f>NOT(ISERROR(SEARCH("Hear",'TC3'!B34)))</xm:f>
            <x14:dxf>
              <font>
                <color theme="9" tint="-0.24994659260841701"/>
              </font>
              <fill>
                <patternFill>
                  <bgColor theme="9" tint="0.59996337778862885"/>
                </patternFill>
              </fill>
            </x14:dxf>
          </x14:cfRule>
          <xm:sqref>B41</xm:sqref>
        </x14:conditionalFormatting>
        <x14:conditionalFormatting xmlns:xm="http://schemas.microsoft.com/office/excel/2006/main">
          <x14:cfRule type="expression" priority="1783" id="{1FDF1532-A688-4602-9E9A-470BFC06038D}">
            <xm:f>'TC1'!$B16="HANGUP"</xm:f>
            <x14:dxf>
              <font>
                <b/>
                <i val="0"/>
              </font>
            </x14:dxf>
          </x14:cfRule>
          <x14:cfRule type="expression" priority="1784" id="{8766B4B9-295C-4001-AF2B-E629AE242EBA}">
            <xm:f>'TC1'!$B16="Dial"</xm:f>
            <x14:dxf>
              <font>
                <b/>
                <i val="0"/>
                <color rgb="FFFF0000"/>
              </font>
            </x14:dxf>
          </x14:cfRule>
          <xm:sqref>C34:C41</xm:sqref>
        </x14:conditionalFormatting>
        <x14:conditionalFormatting xmlns:xm="http://schemas.microsoft.com/office/excel/2006/main">
          <x14:cfRule type="expression" priority="1785" id="{1FDF1532-A688-4602-9E9A-470BFC06038D}">
            <xm:f>'TC1'!#REF!="HANGUP"</xm:f>
            <x14:dxf>
              <font>
                <b/>
                <i val="0"/>
              </font>
            </x14:dxf>
          </x14:cfRule>
          <x14:cfRule type="expression" priority="1786" id="{8766B4B9-295C-4001-AF2B-E629AE242EBA}">
            <xm:f>'TC1'!#REF!="Dial"</xm:f>
            <x14:dxf>
              <font>
                <b/>
                <i val="0"/>
                <color rgb="FFFF0000"/>
              </font>
            </x14:dxf>
          </x14:cfRule>
          <xm:sqref>C17:C33</xm:sqref>
        </x14:conditionalFormatting>
        <x14:conditionalFormatting xmlns:xm="http://schemas.microsoft.com/office/excel/2006/main">
          <x14:cfRule type="expression" priority="1790" id="{2D5D42FC-20B6-49D6-9098-1CE1B83B447E}">
            <xm:f>'TC1'!$B16="Speak"</xm:f>
            <x14:dxf>
              <font>
                <b/>
                <i val="0"/>
                <color rgb="FFFF0000"/>
              </font>
            </x14:dxf>
          </x14:cfRule>
          <xm:sqref>C34:C41</xm:sqref>
        </x14:conditionalFormatting>
        <x14:conditionalFormatting xmlns:xm="http://schemas.microsoft.com/office/excel/2006/main">
          <x14:cfRule type="expression" priority="1791" id="{2D5D42FC-20B6-49D6-9098-1CE1B83B447E}">
            <xm:f>'TC1'!#REF!="Speak"</xm:f>
            <x14:dxf>
              <font>
                <b/>
                <i val="0"/>
                <color rgb="FFFF0000"/>
              </font>
            </x14:dxf>
          </x14:cfRule>
          <xm:sqref>C17:C33</xm:sqref>
        </x14:conditionalFormatting>
        <x14:conditionalFormatting xmlns:xm="http://schemas.microsoft.com/office/excel/2006/main">
          <x14:cfRule type="containsText" priority="1795" operator="containsText" text="DB" id="{B425F850-5368-482C-B0B1-6878A9B3AFA6}">
            <xm:f>NOT(ISERROR(SEARCH("DB",'TC1'!E16)))</xm:f>
            <x14:dxf>
              <font>
                <color rgb="FF006100"/>
              </font>
              <fill>
                <patternFill>
                  <bgColor rgb="FFC6EFCE"/>
                </patternFill>
              </fill>
            </x14:dxf>
          </x14:cfRule>
          <x14:cfRule type="containsText" priority="1796" operator="containsText" text="WEB SERVICE" id="{B57DABEC-129A-4035-8025-0F5186B93244}">
            <xm:f>NOT(ISERROR(SEARCH("WEB SERVICE",'TC1'!E16)))</xm:f>
            <x14:dxf>
              <font>
                <color rgb="FF9C0006"/>
              </font>
              <fill>
                <patternFill>
                  <bgColor rgb="FFFFC7CE"/>
                </patternFill>
              </fill>
            </x14:dxf>
          </x14:cfRule>
          <xm:sqref>E34:E41</xm:sqref>
        </x14:conditionalFormatting>
        <x14:conditionalFormatting xmlns:xm="http://schemas.microsoft.com/office/excel/2006/main">
          <x14:cfRule type="containsText" priority="1797" operator="containsText" text="DB" id="{B425F850-5368-482C-B0B1-6878A9B3AFA6}">
            <xm:f>NOT(ISERROR(SEARCH("DB",'TC1'!#REF!)))</xm:f>
            <x14:dxf>
              <font>
                <color rgb="FF006100"/>
              </font>
              <fill>
                <patternFill>
                  <bgColor rgb="FFC6EFCE"/>
                </patternFill>
              </fill>
            </x14:dxf>
          </x14:cfRule>
          <x14:cfRule type="containsText" priority="1798" operator="containsText" text="WEB SERVICE" id="{B57DABEC-129A-4035-8025-0F5186B93244}">
            <xm:f>NOT(ISERROR(SEARCH("WEB SERVICE",'TC1'!#REF!)))</xm:f>
            <x14:dxf>
              <font>
                <color rgb="FF9C0006"/>
              </font>
              <fill>
                <patternFill>
                  <bgColor rgb="FFFFC7CE"/>
                </patternFill>
              </fill>
            </x14:dxf>
          </x14:cfRule>
          <xm:sqref>E17:E33</xm:sqref>
        </x14:conditionalFormatting>
        <x14:conditionalFormatting xmlns:xm="http://schemas.microsoft.com/office/excel/2006/main">
          <x14:cfRule type="expression" priority="4543" id="{1FDF1532-A688-4602-9E9A-470BFC06038D}">
            <xm:f>'TC1'!$B9="HANGUP"</xm:f>
            <x14:dxf>
              <font>
                <b/>
                <i val="0"/>
              </font>
            </x14:dxf>
          </x14:cfRule>
          <x14:cfRule type="expression" priority="4544" id="{8766B4B9-295C-4001-AF2B-E629AE242EBA}">
            <xm:f>'TC1'!$B9="Dial"</xm:f>
            <x14:dxf>
              <font>
                <b/>
                <i val="0"/>
                <color rgb="FFFF0000"/>
              </font>
            </x14:dxf>
          </x14:cfRule>
          <xm:sqref>C12:C15</xm:sqref>
        </x14:conditionalFormatting>
        <x14:conditionalFormatting xmlns:xm="http://schemas.microsoft.com/office/excel/2006/main">
          <x14:cfRule type="expression" priority="4545" id="{1FDF1532-A688-4602-9E9A-470BFC06038D}">
            <xm:f>'TC1'!#REF!="HANGUP"</xm:f>
            <x14:dxf>
              <font>
                <b/>
                <i val="0"/>
              </font>
            </x14:dxf>
          </x14:cfRule>
          <x14:cfRule type="expression" priority="4546" id="{8766B4B9-295C-4001-AF2B-E629AE242EBA}">
            <xm:f>'TC1'!#REF!="Dial"</xm:f>
            <x14:dxf>
              <font>
                <b/>
                <i val="0"/>
                <color rgb="FFFF0000"/>
              </font>
            </x14:dxf>
          </x14:cfRule>
          <xm:sqref>C9:C11</xm:sqref>
        </x14:conditionalFormatting>
        <x14:conditionalFormatting xmlns:xm="http://schemas.microsoft.com/office/excel/2006/main">
          <x14:cfRule type="expression" priority="4550" id="{2D5D42FC-20B6-49D6-9098-1CE1B83B447E}">
            <xm:f>'TC1'!$B9="Speak"</xm:f>
            <x14:dxf>
              <font>
                <b/>
                <i val="0"/>
                <color rgb="FFFF0000"/>
              </font>
            </x14:dxf>
          </x14:cfRule>
          <xm:sqref>C12:C15</xm:sqref>
        </x14:conditionalFormatting>
        <x14:conditionalFormatting xmlns:xm="http://schemas.microsoft.com/office/excel/2006/main">
          <x14:cfRule type="expression" priority="4551" id="{2D5D42FC-20B6-49D6-9098-1CE1B83B447E}">
            <xm:f>'TC1'!#REF!="Speak"</xm:f>
            <x14:dxf>
              <font>
                <b/>
                <i val="0"/>
                <color rgb="FFFF0000"/>
              </font>
            </x14:dxf>
          </x14:cfRule>
          <xm:sqref>C9:C11</xm:sqref>
        </x14:conditionalFormatting>
        <x14:conditionalFormatting xmlns:xm="http://schemas.microsoft.com/office/excel/2006/main">
          <x14:cfRule type="containsText" priority="4553" operator="containsText" text="DB" id="{B425F850-5368-482C-B0B1-6878A9B3AFA6}">
            <xm:f>NOT(ISERROR(SEARCH("DB",'TC1'!#REF!)))</xm:f>
            <x14:dxf>
              <font>
                <color rgb="FF006100"/>
              </font>
              <fill>
                <patternFill>
                  <bgColor rgb="FFC6EFCE"/>
                </patternFill>
              </fill>
            </x14:dxf>
          </x14:cfRule>
          <x14:cfRule type="containsText" priority="4554" operator="containsText" text="WEB SERVICE" id="{B57DABEC-129A-4035-8025-0F5186B93244}">
            <xm:f>NOT(ISERROR(SEARCH("WEB SERVICE",'TC1'!#REF!)))</xm:f>
            <x14:dxf>
              <font>
                <color rgb="FF9C0006"/>
              </font>
              <fill>
                <patternFill>
                  <bgColor rgb="FFFFC7CE"/>
                </patternFill>
              </fill>
            </x14:dxf>
          </x14:cfRule>
          <xm:sqref>E9:E11</xm:sqref>
        </x14:conditionalFormatting>
        <x14:conditionalFormatting xmlns:xm="http://schemas.microsoft.com/office/excel/2006/main">
          <x14:cfRule type="containsText" priority="4555" operator="containsText" text="DB" id="{B425F850-5368-482C-B0B1-6878A9B3AFA6}">
            <xm:f>NOT(ISERROR(SEARCH("DB",'TC1'!E9)))</xm:f>
            <x14:dxf>
              <font>
                <color rgb="FF006100"/>
              </font>
              <fill>
                <patternFill>
                  <bgColor rgb="FFC6EFCE"/>
                </patternFill>
              </fill>
            </x14:dxf>
          </x14:cfRule>
          <x14:cfRule type="containsText" priority="4556" operator="containsText" text="WEB SERVICE" id="{B57DABEC-129A-4035-8025-0F5186B93244}">
            <xm:f>NOT(ISERROR(SEARCH("WEB SERVICE",'TC1'!E9)))</xm:f>
            <x14:dxf>
              <font>
                <color rgb="FF9C0006"/>
              </font>
              <fill>
                <patternFill>
                  <bgColor rgb="FFFFC7CE"/>
                </patternFill>
              </fill>
            </x14:dxf>
          </x14:cfRule>
          <xm:sqref>E12:E15</xm:sqref>
        </x14:conditionalFormatting>
        <x14:conditionalFormatting xmlns:xm="http://schemas.microsoft.com/office/excel/2006/main">
          <x14:cfRule type="expression" priority="6965" id="{1FDF1532-A688-4602-9E9A-470BFC06038D}">
            <xm:f>'TC1'!$B15="HANGUP"</xm:f>
            <x14:dxf>
              <font>
                <b/>
                <i val="0"/>
              </font>
            </x14:dxf>
          </x14:cfRule>
          <x14:cfRule type="expression" priority="6966" id="{8766B4B9-295C-4001-AF2B-E629AE242EBA}">
            <xm:f>'TC1'!$B15="Dial"</xm:f>
            <x14:dxf>
              <font>
                <b/>
                <i val="0"/>
                <color rgb="FFFF0000"/>
              </font>
            </x14:dxf>
          </x14:cfRule>
          <xm:sqref>C16</xm:sqref>
        </x14:conditionalFormatting>
        <x14:conditionalFormatting xmlns:xm="http://schemas.microsoft.com/office/excel/2006/main">
          <x14:cfRule type="expression" priority="6968" id="{2D5D42FC-20B6-49D6-9098-1CE1B83B447E}">
            <xm:f>'TC1'!$B15="Speak"</xm:f>
            <x14:dxf>
              <font>
                <b/>
                <i val="0"/>
                <color rgb="FFFF0000"/>
              </font>
            </x14:dxf>
          </x14:cfRule>
          <xm:sqref>C16</xm:sqref>
        </x14:conditionalFormatting>
        <x14:conditionalFormatting xmlns:xm="http://schemas.microsoft.com/office/excel/2006/main">
          <x14:cfRule type="containsText" priority="6971" operator="containsText" text="DB" id="{B425F850-5368-482C-B0B1-6878A9B3AFA6}">
            <xm:f>NOT(ISERROR(SEARCH("DB",'TC1'!E15)))</xm:f>
            <x14:dxf>
              <font>
                <color rgb="FF006100"/>
              </font>
              <fill>
                <patternFill>
                  <bgColor rgb="FFC6EFCE"/>
                </patternFill>
              </fill>
            </x14:dxf>
          </x14:cfRule>
          <x14:cfRule type="containsText" priority="6972" operator="containsText" text="WEB SERVICE" id="{B57DABEC-129A-4035-8025-0F5186B93244}">
            <xm:f>NOT(ISERROR(SEARCH("WEB SERVICE",'TC1'!E15)))</xm:f>
            <x14:dxf>
              <font>
                <color rgb="FF9C0006"/>
              </font>
              <fill>
                <patternFill>
                  <bgColor rgb="FFFFC7CE"/>
                </patternFill>
              </fill>
            </x14:dxf>
          </x14:cfRule>
          <xm:sqref>E16</xm:sqref>
        </x14:conditionalFormatting>
        <x14:conditionalFormatting xmlns:xm="http://schemas.microsoft.com/office/excel/2006/main">
          <x14:cfRule type="containsText" priority="9354" operator="containsText" text="Hear" id="{765EC49D-3BCA-440F-842B-0A2800716474}">
            <xm:f>NOT(ISERROR(SEARCH("Hear",'TC26'!#REF!)))</xm:f>
            <x14:dxf>
              <font>
                <color theme="9" tint="-0.24994659260841701"/>
              </font>
              <fill>
                <patternFill>
                  <bgColor theme="9" tint="0.59996337778862885"/>
                </patternFill>
              </fill>
            </x14:dxf>
          </x14:cfRule>
          <xm:sqref>B39</xm:sqref>
        </x14:conditionalFormatting>
      </x14:conditionalFormattings>
    </ext>
  </extLst>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D00-000000000000}">
  <sheetPr codeName="Sheet79"/>
  <dimension ref="A1:E44"/>
  <sheetViews>
    <sheetView zoomScaleNormal="100" workbookViewId="0">
      <selection sqref="A1:B1"/>
    </sheetView>
  </sheetViews>
  <sheetFormatPr defaultRowHeight="14.5" x14ac:dyDescent="0.35"/>
  <cols>
    <col min="1" max="1" width="14.453125" style="97" bestFit="1" customWidth="1"/>
    <col min="2" max="2" width="42.6328125" style="97" customWidth="1"/>
    <col min="3" max="3" width="106.1796875" style="98" customWidth="1"/>
    <col min="4" max="4" width="21.81640625" style="111" bestFit="1" customWidth="1"/>
    <col min="5" max="5" width="20.6328125" style="97" customWidth="1"/>
  </cols>
  <sheetData>
    <row r="1" spans="1:5" ht="18.5" x14ac:dyDescent="0.35">
      <c r="A1" s="192" t="s">
        <v>4</v>
      </c>
      <c r="B1" s="192"/>
      <c r="C1" s="105"/>
    </row>
    <row r="2" spans="1:5" x14ac:dyDescent="0.35">
      <c r="A2" s="106" t="s">
        <v>5</v>
      </c>
      <c r="B2" s="107" t="str">
        <f ca="1">MID(CELL("filename",A1),FIND("]",CELL("filename",A1))+1,LEN(CELL("filename",A1))-FIND("]",CELL("filename",A1)))</f>
        <v>TC77</v>
      </c>
    </row>
    <row r="3" spans="1:5" x14ac:dyDescent="0.35">
      <c r="A3" s="104" t="s">
        <v>19</v>
      </c>
      <c r="B3" s="112" t="e">
        <f ca="1">VLOOKUP(B2,Table1[#All],2,FALSE)</f>
        <v>#N/A</v>
      </c>
    </row>
    <row r="4" spans="1:5" ht="29" x14ac:dyDescent="0.35">
      <c r="A4" s="113" t="s">
        <v>20</v>
      </c>
      <c r="B4" s="99" t="e">
        <f ca="1">VLOOKUP(B2,Table1[#All],4,FALSE)</f>
        <v>#N/A</v>
      </c>
    </row>
    <row r="5" spans="1:5" x14ac:dyDescent="0.35">
      <c r="A5" s="104" t="s">
        <v>6</v>
      </c>
      <c r="B5" s="93" t="e">
        <f ca="1">VLOOKUP(B2,Table1[#All],3,FALSE)</f>
        <v>#N/A</v>
      </c>
    </row>
    <row r="7" spans="1:5" ht="15.5" x14ac:dyDescent="0.35">
      <c r="A7" s="100" t="s">
        <v>7</v>
      </c>
      <c r="B7" s="101" t="s">
        <v>8</v>
      </c>
      <c r="C7" s="102" t="s">
        <v>9</v>
      </c>
      <c r="D7" s="102" t="s">
        <v>14</v>
      </c>
      <c r="E7" s="103" t="s">
        <v>10</v>
      </c>
    </row>
    <row r="8" spans="1:5" x14ac:dyDescent="0.35">
      <c r="A8" s="118">
        <v>1</v>
      </c>
      <c r="B8" s="114" t="s">
        <v>114</v>
      </c>
      <c r="C8" s="109" t="s">
        <v>125</v>
      </c>
      <c r="D8" s="128"/>
      <c r="E8" s="125" t="s">
        <v>11</v>
      </c>
    </row>
    <row r="9" spans="1:5" x14ac:dyDescent="0.35">
      <c r="A9" s="118">
        <v>2</v>
      </c>
      <c r="B9" s="114" t="s">
        <v>12</v>
      </c>
      <c r="C9" s="109" t="e">
        <f>VLOOKUP(Table25755252691013434446474849565758596315181719224566677172737476777879939495100104109111113115117138139[[#This Row],[PEG]],Table1016[#All],2,FALSE)</f>
        <v>#N/A</v>
      </c>
      <c r="D9" s="128"/>
      <c r="E9" s="125" t="e">
        <f>VLOOKUP(Table25755252691013434446474849565758596315181719224566677172737476777879939495100104109111113115117138139[[#This Row],[PEG]],Table1016[#All],3,FALSE)</f>
        <v>#N/A</v>
      </c>
    </row>
    <row r="10" spans="1:5" x14ac:dyDescent="0.35">
      <c r="A10" s="118">
        <v>3</v>
      </c>
      <c r="B10" s="114" t="s">
        <v>115</v>
      </c>
      <c r="C10" s="109" t="e">
        <f>VLOOKUP(Table25755252691013434446474849565758596315181719224566677172737476777879939495100104109111113115117138139[[#This Row],[PEG]],Table1016[#All],2,FALSE)</f>
        <v>#N/A</v>
      </c>
      <c r="D10" s="128"/>
      <c r="E10" s="125" t="e">
        <f>VLOOKUP(Table25755252691013434446474849565758596315181719224566677172737476777879939495100104109111113115117138139[[#This Row],[PEG]],Table1016[#All],3,FALSE)</f>
        <v>#N/A</v>
      </c>
    </row>
    <row r="11" spans="1:5" x14ac:dyDescent="0.35">
      <c r="A11" s="118">
        <v>4</v>
      </c>
      <c r="B11" s="114" t="s">
        <v>115</v>
      </c>
      <c r="C11" s="109" t="e">
        <f>VLOOKUP(Table25755252691013434446474849565758596315181719224566677172737476777879939495100104109111113115117138139[[#This Row],[PEG]],Table1016[#All],2,FALSE)</f>
        <v>#N/A</v>
      </c>
      <c r="D11" s="128"/>
      <c r="E11" s="125" t="e">
        <f>VLOOKUP(Table25755252691013434446474849565758596315181719224566677172737476777879939495100104109111113115117138139[[#This Row],[PEG]],Table1016[#All],3,FALSE)</f>
        <v>#N/A</v>
      </c>
    </row>
    <row r="12" spans="1:5" x14ac:dyDescent="0.35">
      <c r="A12" s="118">
        <v>5</v>
      </c>
      <c r="B12" s="114" t="s">
        <v>114</v>
      </c>
      <c r="C12" s="109" t="e">
        <f>VLOOKUP(Table25755252691013434446474849565758596315181719224566677172737476777879939495100104109111113115117138139[[#This Row],[PEG]],Table1016[#All],2,FALSE)</f>
        <v>#N/A</v>
      </c>
      <c r="D12" s="128"/>
      <c r="E12" s="125" t="e">
        <f>VLOOKUP(Table25755252691013434446474849565758596315181719224566677172737476777879939495100104109111113115117138139[[#This Row],[PEG]],Table1016[#All],3,FALSE)</f>
        <v>#N/A</v>
      </c>
    </row>
    <row r="13" spans="1:5" x14ac:dyDescent="0.35">
      <c r="A13" s="118">
        <v>6</v>
      </c>
      <c r="B13" s="114" t="s">
        <v>115</v>
      </c>
      <c r="C13" s="109" t="e">
        <f>VLOOKUP(Table25755252691013434446474849565758596315181719224566677172737476777879939495100104109111113115117138139[[#This Row],[PEG]],Table1016[#All],2,FALSE)</f>
        <v>#N/A</v>
      </c>
      <c r="D13" s="128"/>
      <c r="E13" s="125" t="e">
        <f>VLOOKUP(Table25755252691013434446474849565758596315181719224566677172737476777879939495100104109111113115117138139[[#This Row],[PEG]],Table1016[#All],3,FALSE)</f>
        <v>#N/A</v>
      </c>
    </row>
    <row r="14" spans="1:5" x14ac:dyDescent="0.35">
      <c r="A14" s="118">
        <v>7</v>
      </c>
      <c r="B14" s="114" t="s">
        <v>114</v>
      </c>
      <c r="C14" s="109" t="e">
        <f>VLOOKUP(Table25755252691013434446474849565758596315181719224566677172737476777879939495100104109111113115117138139[[#This Row],[PEG]],Table1016[#All],2,FALSE)</f>
        <v>#N/A</v>
      </c>
      <c r="D14" s="128"/>
      <c r="E14" s="125" t="e">
        <f>VLOOKUP(Table25755252691013434446474849565758596315181719224566677172737476777879939495100104109111113115117138139[[#This Row],[PEG]],Table1016[#All],3,FALSE)</f>
        <v>#N/A</v>
      </c>
    </row>
    <row r="15" spans="1:5" x14ac:dyDescent="0.35">
      <c r="A15" s="118">
        <v>8</v>
      </c>
      <c r="B15" s="114" t="s">
        <v>115</v>
      </c>
      <c r="C15" s="109" t="e">
        <f>VLOOKUP(Table25755252691013434446474849565758596315181719224566677172737476777879939495100104109111113115117138139[[#This Row],[PEG]],Table1016[#All],2,FALSE)</f>
        <v>#N/A</v>
      </c>
      <c r="D15" s="116"/>
      <c r="E15" s="125" t="e">
        <f>VLOOKUP(Table25755252691013434446474849565758596315181719224566677172737476777879939495100104109111113115117138139[[#This Row],[PEG]],Table1016[#All],3,FALSE)</f>
        <v>#N/A</v>
      </c>
    </row>
    <row r="16" spans="1:5" x14ac:dyDescent="0.35">
      <c r="A16" s="118">
        <v>9</v>
      </c>
      <c r="B16" s="114" t="s">
        <v>12</v>
      </c>
      <c r="C16" s="109" t="e">
        <f>VLOOKUP(Table25755252691013434446474849565758596315181719224566677172737476777879939495100104109111113115117138139[[#This Row],[PEG]],Table1016[#All],2,FALSE)</f>
        <v>#N/A</v>
      </c>
      <c r="D16" s="116"/>
      <c r="E16" s="125" t="e">
        <f>VLOOKUP(Table25755252691013434446474849565758596315181719224566677172737476777879939495100104109111113115117138139[[#This Row],[PEG]],Table1016[#All],3,FALSE)</f>
        <v>#N/A</v>
      </c>
    </row>
    <row r="17" spans="1:5" x14ac:dyDescent="0.35">
      <c r="A17" s="118">
        <v>10</v>
      </c>
      <c r="B17" s="114" t="s">
        <v>12</v>
      </c>
      <c r="C17" s="109" t="e">
        <f>VLOOKUP(Table25755252691013434446474849565758596315181719224566677172737476777879939495100104109111113115117138139[[#This Row],[PEG]],Table1016[#All],2,FALSE)</f>
        <v>#N/A</v>
      </c>
      <c r="D17" s="117"/>
      <c r="E17" s="125" t="e">
        <f>VLOOKUP(Table25755252691013434446474849565758596315181719224566677172737476777879939495100104109111113115117138139[[#This Row],[PEG]],Table1016[#All],3,FALSE)</f>
        <v>#N/A</v>
      </c>
    </row>
    <row r="18" spans="1:5" x14ac:dyDescent="0.35">
      <c r="A18" s="118">
        <v>11</v>
      </c>
      <c r="B18" s="114" t="s">
        <v>115</v>
      </c>
      <c r="C18" s="109" t="e">
        <f>VLOOKUP(Table25755252691013434446474849565758596315181719224566677172737476777879939495100104109111113115117138139[[#This Row],[PEG]],Table1016[#All],2,FALSE)</f>
        <v>#N/A</v>
      </c>
      <c r="D18" s="117"/>
      <c r="E18" s="125" t="e">
        <f>VLOOKUP(Table25755252691013434446474849565758596315181719224566677172737476777879939495100104109111113115117138139[[#This Row],[PEG]],Table1016[#All],3,FALSE)</f>
        <v>#N/A</v>
      </c>
    </row>
    <row r="19" spans="1:5" x14ac:dyDescent="0.35">
      <c r="A19" s="118">
        <v>12</v>
      </c>
      <c r="B19" s="114" t="s">
        <v>115</v>
      </c>
      <c r="C19" s="109" t="e">
        <f>VLOOKUP(Table25755252691013434446474849565758596315181719224566677172737476777879939495100104109111113115117138139[[#This Row],[PEG]],Table1016[#All],2,FALSE)</f>
        <v>#N/A</v>
      </c>
      <c r="D19" s="117"/>
      <c r="E19" s="125" t="e">
        <f>VLOOKUP(Table25755252691013434446474849565758596315181719224566677172737476777879939495100104109111113115117138139[[#This Row],[PEG]],Table1016[#All],3,FALSE)</f>
        <v>#N/A</v>
      </c>
    </row>
    <row r="20" spans="1:5" x14ac:dyDescent="0.35">
      <c r="A20" s="118">
        <v>13</v>
      </c>
      <c r="B20" s="114" t="s">
        <v>114</v>
      </c>
      <c r="C20" s="109" t="e">
        <f>VLOOKUP(Table25755252691013434446474849565758596315181719224566677172737476777879939495100104109111113115117138139[[#This Row],[PEG]],Table1016[#All],2,FALSE)</f>
        <v>#N/A</v>
      </c>
      <c r="D20" s="117"/>
      <c r="E20" s="125" t="e">
        <f>VLOOKUP(Table25755252691013434446474849565758596315181719224566677172737476777879939495100104109111113115117138139[[#This Row],[PEG]],Table1016[#All],3,FALSE)</f>
        <v>#N/A</v>
      </c>
    </row>
    <row r="21" spans="1:5" x14ac:dyDescent="0.35">
      <c r="A21" s="118">
        <v>14</v>
      </c>
      <c r="B21" s="114" t="s">
        <v>12</v>
      </c>
      <c r="C21" s="109" t="e">
        <f>VLOOKUP(Table25755252691013434446474849565758596315181719224566677172737476777879939495100104109111113115117138139[[#This Row],[PEG]],Table1016[#All],2,FALSE)</f>
        <v>#N/A</v>
      </c>
      <c r="D21" s="117"/>
      <c r="E21" s="125" t="e">
        <f>VLOOKUP(Table25755252691013434446474849565758596315181719224566677172737476777879939495100104109111113115117138139[[#This Row],[PEG]],Table1016[#All],3,FALSE)</f>
        <v>#N/A</v>
      </c>
    </row>
    <row r="22" spans="1:5" x14ac:dyDescent="0.35">
      <c r="A22" s="118">
        <v>15</v>
      </c>
      <c r="B22" s="114" t="s">
        <v>12</v>
      </c>
      <c r="C22" s="109" t="e">
        <f>VLOOKUP(Table25755252691013434446474849565758596315181719224566677172737476777879939495100104109111113115117138139[[#This Row],[PEG]],Table1016[#All],2,FALSE)</f>
        <v>#N/A</v>
      </c>
      <c r="D22" s="117"/>
      <c r="E22" s="125" t="e">
        <f>VLOOKUP(Table25755252691013434446474849565758596315181719224566677172737476777879939495100104109111113115117138139[[#This Row],[PEG]],Table1016[#All],3,FALSE)</f>
        <v>#N/A</v>
      </c>
    </row>
    <row r="23" spans="1:5" x14ac:dyDescent="0.35">
      <c r="A23" s="118">
        <v>16</v>
      </c>
      <c r="B23" s="114" t="s">
        <v>115</v>
      </c>
      <c r="C23" s="109" t="e">
        <f>VLOOKUP(Table25755252691013434446474849565758596315181719224566677172737476777879939495100104109111113115117138139[[#This Row],[PEG]],Table1016[#All],2,FALSE)</f>
        <v>#N/A</v>
      </c>
      <c r="D23" s="117"/>
      <c r="E23" s="125" t="e">
        <f>VLOOKUP(Table25755252691013434446474849565758596315181719224566677172737476777879939495100104109111113115117138139[[#This Row],[PEG]],Table1016[#All],3,FALSE)</f>
        <v>#N/A</v>
      </c>
    </row>
    <row r="24" spans="1:5" x14ac:dyDescent="0.35">
      <c r="A24" s="118">
        <v>17</v>
      </c>
      <c r="B24" s="114" t="s">
        <v>114</v>
      </c>
      <c r="C24" s="109" t="e">
        <f>VLOOKUP(Table25755252691013434446474849565758596315181719224566677172737476777879939495100104109111113115117138139[[#This Row],[PEG]],Table1016[#All],2,FALSE)</f>
        <v>#N/A</v>
      </c>
      <c r="D24" s="117"/>
      <c r="E24" s="125" t="e">
        <f>VLOOKUP(Table25755252691013434446474849565758596315181719224566677172737476777879939495100104109111113115117138139[[#This Row],[PEG]],Table1016[#All],3,FALSE)</f>
        <v>#N/A</v>
      </c>
    </row>
    <row r="25" spans="1:5" x14ac:dyDescent="0.35">
      <c r="A25" s="118">
        <v>18</v>
      </c>
      <c r="B25" s="114" t="s">
        <v>12</v>
      </c>
      <c r="C25" s="109" t="e">
        <f>VLOOKUP(Table25755252691013434446474849565758596315181719224566677172737476777879939495100104109111113115117138139[[#This Row],[PEG]],Table1016[#All],2,FALSE)</f>
        <v>#N/A</v>
      </c>
      <c r="D25" s="117"/>
      <c r="E25" s="125" t="e">
        <f>VLOOKUP(Table25755252691013434446474849565758596315181719224566677172737476777879939495100104109111113115117138139[[#This Row],[PEG]],Table1016[#All],3,FALSE)</f>
        <v>#N/A</v>
      </c>
    </row>
    <row r="26" spans="1:5" x14ac:dyDescent="0.35">
      <c r="A26" s="118">
        <v>19</v>
      </c>
      <c r="B26" s="114" t="s">
        <v>12</v>
      </c>
      <c r="C26" s="109" t="e">
        <f>VLOOKUP(Table25755252691013434446474849565758596315181719224566677172737476777879939495100104109111113115117138139[[#This Row],[PEG]],Table1016[#All],2,FALSE)</f>
        <v>#N/A</v>
      </c>
      <c r="D26" s="117"/>
      <c r="E26" s="125" t="e">
        <f>VLOOKUP(Table25755252691013434446474849565758596315181719224566677172737476777879939495100104109111113115117138139[[#This Row],[PEG]],Table1016[#All],3,FALSE)</f>
        <v>#N/A</v>
      </c>
    </row>
    <row r="27" spans="1:5" x14ac:dyDescent="0.35">
      <c r="A27" s="118">
        <v>20</v>
      </c>
      <c r="B27" s="114" t="s">
        <v>115</v>
      </c>
      <c r="C27" s="109" t="e">
        <f>VLOOKUP(Table25755252691013434446474849565758596315181719224566677172737476777879939495100104109111113115117138139[[#This Row],[PEG]],Table1016[#All],2,FALSE)</f>
        <v>#N/A</v>
      </c>
      <c r="D27" s="117"/>
      <c r="E27" s="125" t="e">
        <f>VLOOKUP(Table25755252691013434446474849565758596315181719224566677172737476777879939495100104109111113115117138139[[#This Row],[PEG]],Table1016[#All],3,FALSE)</f>
        <v>#N/A</v>
      </c>
    </row>
    <row r="28" spans="1:5" x14ac:dyDescent="0.35">
      <c r="A28" s="118">
        <v>21</v>
      </c>
      <c r="B28" s="114" t="s">
        <v>114</v>
      </c>
      <c r="C28" s="109" t="e">
        <f>VLOOKUP(Table25755252691013434446474849565758596315181719224566677172737476777879939495100104109111113115117138139[[#This Row],[PEG]],Table1016[#All],2,FALSE)</f>
        <v>#N/A</v>
      </c>
      <c r="D28" s="117"/>
      <c r="E28" s="125" t="e">
        <f>VLOOKUP(Table25755252691013434446474849565758596315181719224566677172737476777879939495100104109111113115117138139[[#This Row],[PEG]],Table1016[#All],3,FALSE)</f>
        <v>#N/A</v>
      </c>
    </row>
    <row r="29" spans="1:5" x14ac:dyDescent="0.35">
      <c r="A29" s="118">
        <v>22</v>
      </c>
      <c r="B29" s="114" t="s">
        <v>12</v>
      </c>
      <c r="C29" s="109" t="e">
        <f>VLOOKUP(Table25755252691013434446474849565758596315181719224566677172737476777879939495100104109111113115117138139[[#This Row],[PEG]],Table1016[#All],2,FALSE)</f>
        <v>#N/A</v>
      </c>
      <c r="D29" s="117"/>
      <c r="E29" s="125" t="e">
        <f>VLOOKUP(Table25755252691013434446474849565758596315181719224566677172737476777879939495100104109111113115117138139[[#This Row],[PEG]],Table1016[#All],3,FALSE)</f>
        <v>#N/A</v>
      </c>
    </row>
    <row r="30" spans="1:5" x14ac:dyDescent="0.35">
      <c r="A30" s="118">
        <v>23</v>
      </c>
      <c r="B30" s="114" t="s">
        <v>12</v>
      </c>
      <c r="C30" s="109" t="e">
        <f>VLOOKUP(Table25755252691013434446474849565758596315181719224566677172737476777879939495100104109111113115117138139[[#This Row],[PEG]],Table1016[#All],2,FALSE)</f>
        <v>#N/A</v>
      </c>
      <c r="D30" s="117"/>
      <c r="E30" s="125" t="e">
        <f>VLOOKUP(Table25755252691013434446474849565758596315181719224566677172737476777879939495100104109111113115117138139[[#This Row],[PEG]],Table1016[#All],3,FALSE)</f>
        <v>#N/A</v>
      </c>
    </row>
    <row r="31" spans="1:5" x14ac:dyDescent="0.35">
      <c r="A31" s="118">
        <v>24</v>
      </c>
      <c r="B31" s="114" t="s">
        <v>115</v>
      </c>
      <c r="C31" s="109" t="e">
        <f>VLOOKUP(Table25755252691013434446474849565758596315181719224566677172737476777879939495100104109111113115117138139[[#This Row],[PEG]],Table1016[#All],2,FALSE)</f>
        <v>#N/A</v>
      </c>
      <c r="D31" s="117"/>
      <c r="E31" s="125" t="e">
        <f>VLOOKUP(Table25755252691013434446474849565758596315181719224566677172737476777879939495100104109111113115117138139[[#This Row],[PEG]],Table1016[#All],3,FALSE)</f>
        <v>#N/A</v>
      </c>
    </row>
    <row r="32" spans="1:5" x14ac:dyDescent="0.35">
      <c r="A32" s="118">
        <v>25</v>
      </c>
      <c r="B32" s="114" t="s">
        <v>115</v>
      </c>
      <c r="C32" s="109" t="e">
        <f>VLOOKUP(Table25755252691013434446474849565758596315181719224566677172737476777879939495100104109111113115117138139[[#This Row],[PEG]],Table1016[#All],2,FALSE)</f>
        <v>#N/A</v>
      </c>
      <c r="D32" s="117"/>
      <c r="E32" s="125" t="e">
        <f>VLOOKUP(Table25755252691013434446474849565758596315181719224566677172737476777879939495100104109111113115117138139[[#This Row],[PEG]],Table1016[#All],3,FALSE)</f>
        <v>#N/A</v>
      </c>
    </row>
    <row r="33" spans="1:5" x14ac:dyDescent="0.35">
      <c r="A33" s="118">
        <v>26</v>
      </c>
      <c r="B33" s="114" t="s">
        <v>124</v>
      </c>
      <c r="C33" s="109" t="e">
        <f>VLOOKUP(Table25755252691013434446474849565758596315181719224566677172737476777879939495100104109111113115117138139[[#This Row],[PEG]],Table1016[#All],2,FALSE)</f>
        <v>#N/A</v>
      </c>
      <c r="D33" s="117"/>
      <c r="E33" s="125" t="e">
        <f>VLOOKUP(Table25755252691013434446474849565758596315181719224566677172737476777879939495100104109111113115117138139[[#This Row],[PEG]],Table1016[#All],3,FALSE)</f>
        <v>#N/A</v>
      </c>
    </row>
    <row r="34" spans="1:5" x14ac:dyDescent="0.35">
      <c r="A34" s="118">
        <v>27</v>
      </c>
      <c r="B34" s="114" t="s">
        <v>115</v>
      </c>
      <c r="C34" s="109" t="e">
        <f>VLOOKUP(Table25755252691013434446474849565758596315181719224566677172737476777879939495100104109111113115117138139[[#This Row],[PEG]],Table1016[#All],2,FALSE)</f>
        <v>#N/A</v>
      </c>
      <c r="D34" s="117"/>
      <c r="E34" s="125" t="e">
        <f>VLOOKUP(Table25755252691013434446474849565758596315181719224566677172737476777879939495100104109111113115117138139[[#This Row],[PEG]],Table1016[#All],3,FALSE)</f>
        <v>#N/A</v>
      </c>
    </row>
    <row r="35" spans="1:5" x14ac:dyDescent="0.35">
      <c r="A35" s="118">
        <v>28</v>
      </c>
      <c r="B35" s="114" t="s">
        <v>124</v>
      </c>
      <c r="C35" s="109" t="e">
        <f>VLOOKUP(Table25755252691013434446474849565758596315181719224566677172737476777879939495100104109111113115117138139[[#This Row],[PEG]],Table1016[#All],2,FALSE)</f>
        <v>#N/A</v>
      </c>
      <c r="D35" s="117"/>
      <c r="E35" s="125" t="e">
        <f>VLOOKUP(Table25755252691013434446474849565758596315181719224566677172737476777879939495100104109111113115117138139[[#This Row],[PEG]],Table1016[#All],3,FALSE)</f>
        <v>#N/A</v>
      </c>
    </row>
    <row r="36" spans="1:5" x14ac:dyDescent="0.35">
      <c r="A36" s="118">
        <v>29</v>
      </c>
      <c r="B36" s="114" t="s">
        <v>115</v>
      </c>
      <c r="C36" s="109" t="e">
        <f>VLOOKUP(Table25755252691013434446474849565758596315181719224566677172737476777879939495100104109111113115117138139[[#This Row],[PEG]],Table1016[#All],2,FALSE)</f>
        <v>#N/A</v>
      </c>
      <c r="D36" s="117"/>
      <c r="E36" s="125" t="e">
        <f>VLOOKUP(Table25755252691013434446474849565758596315181719224566677172737476777879939495100104109111113115117138139[[#This Row],[PEG]],Table1016[#All],3,FALSE)</f>
        <v>#N/A</v>
      </c>
    </row>
    <row r="37" spans="1:5" x14ac:dyDescent="0.35">
      <c r="A37" s="118">
        <v>30</v>
      </c>
      <c r="B37" s="114" t="s">
        <v>12</v>
      </c>
      <c r="C37" s="109" t="e">
        <f>VLOOKUP(Table25755252691013434446474849565758596315181719224566677172737476777879939495100104109111113115117138139[[#This Row],[PEG]],Table1016[#All],2,FALSE)</f>
        <v>#N/A</v>
      </c>
      <c r="D37" s="117"/>
      <c r="E37" s="125" t="e">
        <f>VLOOKUP(Table25755252691013434446474849565758596315181719224566677172737476777879939495100104109111113115117138139[[#This Row],[PEG]],Table1016[#All],3,FALSE)</f>
        <v>#N/A</v>
      </c>
    </row>
    <row r="38" spans="1:5" x14ac:dyDescent="0.35">
      <c r="A38" s="118">
        <v>31</v>
      </c>
      <c r="B38" s="114" t="s">
        <v>12</v>
      </c>
      <c r="C38" s="109" t="e">
        <f>VLOOKUP(Table25755252691013434446474849565758596315181719224566677172737476777879939495100104109111113115117138139[[#This Row],[PEG]],Table1016[#All],2,FALSE)</f>
        <v>#N/A</v>
      </c>
      <c r="D38" s="117"/>
      <c r="E38" s="125" t="e">
        <f>VLOOKUP(Table25755252691013434446474849565758596315181719224566677172737476777879939495100104109111113115117138139[[#This Row],[PEG]],Table1016[#All],3,FALSE)</f>
        <v>#N/A</v>
      </c>
    </row>
    <row r="39" spans="1:5" x14ac:dyDescent="0.35">
      <c r="A39" s="118">
        <v>32</v>
      </c>
      <c r="B39" s="114" t="s">
        <v>12</v>
      </c>
      <c r="C39" s="109" t="e">
        <f>VLOOKUP(Table25755252691013434446474849565758596315181719224566677172737476777879939495100104109111113115117138139[[#This Row],[PEG]],Table1016[#All],2,FALSE)</f>
        <v>#N/A</v>
      </c>
      <c r="D39" s="117"/>
      <c r="E39" s="125" t="e">
        <f>VLOOKUP(Table25755252691013434446474849565758596315181719224566677172737476777879939495100104109111113115117138139[[#This Row],[PEG]],Table1016[#All],3,FALSE)</f>
        <v>#N/A</v>
      </c>
    </row>
    <row r="40" spans="1:5" x14ac:dyDescent="0.35">
      <c r="A40" s="118">
        <v>33</v>
      </c>
      <c r="B40" s="114" t="s">
        <v>12</v>
      </c>
      <c r="C40" s="109" t="e">
        <f>VLOOKUP(Table25755252691013434446474849565758596315181719224566677172737476777879939495100104109111113115117138139[[#This Row],[PEG]],Table1016[#All],2,FALSE)</f>
        <v>#N/A</v>
      </c>
      <c r="D40" s="117"/>
      <c r="E40" s="125" t="e">
        <f>VLOOKUP(Table25755252691013434446474849565758596315181719224566677172737476777879939495100104109111113115117138139[[#This Row],[PEG]],Table1016[#All],3,FALSE)</f>
        <v>#N/A</v>
      </c>
    </row>
    <row r="41" spans="1:5" x14ac:dyDescent="0.35">
      <c r="A41" s="118">
        <v>34</v>
      </c>
      <c r="B41" s="114" t="s">
        <v>115</v>
      </c>
      <c r="C41" s="109" t="e">
        <f>VLOOKUP(Table25755252691013434446474849565758596315181719224566677172737476777879939495100104109111113115117138139[[#This Row],[PEG]],Table1016[#All],2,FALSE)</f>
        <v>#N/A</v>
      </c>
      <c r="D41" s="117"/>
      <c r="E41" s="125" t="e">
        <f>VLOOKUP(Table25755252691013434446474849565758596315181719224566677172737476777879939495100104109111113115117138139[[#This Row],[PEG]],Table1016[#All],3,FALSE)</f>
        <v>#N/A</v>
      </c>
    </row>
    <row r="42" spans="1:5" x14ac:dyDescent="0.35">
      <c r="A42" s="118">
        <v>35</v>
      </c>
      <c r="B42" s="114" t="s">
        <v>13</v>
      </c>
      <c r="C42" s="18" t="s">
        <v>13</v>
      </c>
      <c r="D42" s="115"/>
      <c r="E42" s="32"/>
    </row>
    <row r="43" spans="1:5" x14ac:dyDescent="0.35">
      <c r="C43" s="27"/>
    </row>
    <row r="44" spans="1:5" x14ac:dyDescent="0.35">
      <c r="C44" s="27"/>
    </row>
  </sheetData>
  <mergeCells count="1">
    <mergeCell ref="A1:B1"/>
  </mergeCells>
  <conditionalFormatting sqref="C43:C9983">
    <cfRule type="expression" dxfId="3747" priority="22">
      <formula>$B43="Dial"</formula>
    </cfRule>
    <cfRule type="expression" dxfId="3746" priority="24">
      <formula>$B43="HANGUP"</formula>
    </cfRule>
  </conditionalFormatting>
  <conditionalFormatting sqref="B8:B18">
    <cfRule type="containsText" dxfId="3745" priority="1" operator="containsText" text="Hear">
      <formula>NOT(ISERROR(SEARCH("Hear",B8)))</formula>
    </cfRule>
  </conditionalFormatting>
  <conditionalFormatting sqref="B36:B38 B40:B41">
    <cfRule type="containsText" dxfId="3744" priority="3" operator="containsText" text="Hear">
      <formula>NOT(ISERROR(SEARCH("Hear",B36)))</formula>
    </cfRule>
  </conditionalFormatting>
  <conditionalFormatting sqref="B19:B29 B31:B35 B42">
    <cfRule type="containsText" dxfId="3743" priority="7" operator="containsText" text="Hear">
      <formula>NOT(ISERROR(SEARCH("Hear",B19)))</formula>
    </cfRule>
  </conditionalFormatting>
  <conditionalFormatting sqref="E42">
    <cfRule type="containsText" dxfId="3742" priority="5" operator="containsText" text="WEB SERVICE">
      <formula>NOT(ISERROR(SEARCH("WEB SERVICE",E42)))</formula>
    </cfRule>
    <cfRule type="containsText" dxfId="3741" priority="6" operator="containsText" text="DB">
      <formula>NOT(ISERROR(SEARCH("DB",E42)))</formula>
    </cfRule>
  </conditionalFormatting>
  <conditionalFormatting sqref="C42">
    <cfRule type="expression" dxfId="3740" priority="10">
      <formula>$B42="HANGUP"</formula>
    </cfRule>
    <cfRule type="expression" dxfId="3739" priority="25">
      <formula>$B42="Dial"</formula>
    </cfRule>
  </conditionalFormatting>
  <conditionalFormatting sqref="C42">
    <cfRule type="expression" dxfId="3738" priority="2">
      <formula>$B42="Speak"</formula>
    </cfRule>
  </conditionalFormatting>
  <conditionalFormatting sqref="B30">
    <cfRule type="containsText" dxfId="3737" priority="4" operator="containsText" text="Hear">
      <formula>NOT(ISERROR(SEARCH("Hear",B30)))</formula>
    </cfRule>
  </conditionalFormatting>
  <hyperlinks>
    <hyperlink ref="A1" location="'Test Case Overview'!A1" display="Return to Test Case Overview" xr:uid="{46EBB0A0-7474-40C7-9062-2808DEE10552}"/>
  </hyperlinks>
  <pageMargins left="0.7" right="0.7" top="0.75" bottom="0.75" header="0.3" footer="0.3"/>
  <pageSetup orientation="portrait" verticalDpi="0" r:id="rId1"/>
  <tableParts count="1">
    <tablePart r:id="rId2"/>
  </tableParts>
  <extLst>
    <ext xmlns:x14="http://schemas.microsoft.com/office/spreadsheetml/2009/9/main" uri="{78C0D931-6437-407d-A8EE-F0AAD7539E65}">
      <x14:conditionalFormattings>
        <x14:conditionalFormatting xmlns:xm="http://schemas.microsoft.com/office/excel/2006/main">
          <x14:cfRule type="expression" priority="11" id="{E4DE3F08-2C9C-4180-9BE4-5A442DCEE30B}">
            <xm:f>'TC1'!$B8="HANGUP"</xm:f>
            <x14:dxf>
              <font>
                <b/>
                <i val="0"/>
              </font>
            </x14:dxf>
          </x14:cfRule>
          <x14:cfRule type="expression" priority="12" id="{05E76A98-5CE8-45C9-9140-7528A78898F5}">
            <xm:f>'TC1'!$B8="Dial"</xm:f>
            <x14:dxf>
              <font>
                <b/>
                <i val="0"/>
                <color rgb="FFFF0000"/>
              </font>
            </x14:dxf>
          </x14:cfRule>
          <xm:sqref>C8</xm:sqref>
        </x14:conditionalFormatting>
        <x14:conditionalFormatting xmlns:xm="http://schemas.microsoft.com/office/excel/2006/main">
          <x14:cfRule type="expression" priority="13" id="{27B70106-4957-45E5-9360-1A00795CB50D}">
            <xm:f>'TC1'!$B8="Speak"</xm:f>
            <x14:dxf>
              <font>
                <b/>
                <i val="0"/>
                <color rgb="FFFF0000"/>
              </font>
            </x14:dxf>
          </x14:cfRule>
          <xm:sqref>C8</xm:sqref>
        </x14:conditionalFormatting>
        <x14:conditionalFormatting xmlns:xm="http://schemas.microsoft.com/office/excel/2006/main">
          <x14:cfRule type="containsText" priority="26" operator="containsText" text="Hear" id="{8F5827E8-DEFD-4B97-920F-70FB39D62F39}">
            <xm:f>NOT(ISERROR(SEARCH("Hear",'TC3'!B34)))</xm:f>
            <x14:dxf>
              <font>
                <color theme="9" tint="-0.24994659260841701"/>
              </font>
              <fill>
                <patternFill>
                  <bgColor theme="9" tint="0.59996337778862885"/>
                </patternFill>
              </fill>
            </x14:dxf>
          </x14:cfRule>
          <xm:sqref>B41</xm:sqref>
        </x14:conditionalFormatting>
        <x14:conditionalFormatting xmlns:xm="http://schemas.microsoft.com/office/excel/2006/main">
          <x14:cfRule type="expression" priority="1803" id="{E4DE3F08-2C9C-4180-9BE4-5A442DCEE30B}">
            <xm:f>'TC1'!$B16="HANGUP"</xm:f>
            <x14:dxf>
              <font>
                <b/>
                <i val="0"/>
              </font>
            </x14:dxf>
          </x14:cfRule>
          <x14:cfRule type="expression" priority="1804" id="{05E76A98-5CE8-45C9-9140-7528A78898F5}">
            <xm:f>'TC1'!$B16="Dial"</xm:f>
            <x14:dxf>
              <font>
                <b/>
                <i val="0"/>
                <color rgb="FFFF0000"/>
              </font>
            </x14:dxf>
          </x14:cfRule>
          <xm:sqref>C34:C41</xm:sqref>
        </x14:conditionalFormatting>
        <x14:conditionalFormatting xmlns:xm="http://schemas.microsoft.com/office/excel/2006/main">
          <x14:cfRule type="expression" priority="1805" id="{E4DE3F08-2C9C-4180-9BE4-5A442DCEE30B}">
            <xm:f>'TC1'!#REF!="HANGUP"</xm:f>
            <x14:dxf>
              <font>
                <b/>
                <i val="0"/>
              </font>
            </x14:dxf>
          </x14:cfRule>
          <x14:cfRule type="expression" priority="1806" id="{05E76A98-5CE8-45C9-9140-7528A78898F5}">
            <xm:f>'TC1'!#REF!="Dial"</xm:f>
            <x14:dxf>
              <font>
                <b/>
                <i val="0"/>
                <color rgb="FFFF0000"/>
              </font>
            </x14:dxf>
          </x14:cfRule>
          <xm:sqref>C17:C33</xm:sqref>
        </x14:conditionalFormatting>
        <x14:conditionalFormatting xmlns:xm="http://schemas.microsoft.com/office/excel/2006/main">
          <x14:cfRule type="expression" priority="1810" id="{27B70106-4957-45E5-9360-1A00795CB50D}">
            <xm:f>'TC1'!$B16="Speak"</xm:f>
            <x14:dxf>
              <font>
                <b/>
                <i val="0"/>
                <color rgb="FFFF0000"/>
              </font>
            </x14:dxf>
          </x14:cfRule>
          <xm:sqref>C34:C41</xm:sqref>
        </x14:conditionalFormatting>
        <x14:conditionalFormatting xmlns:xm="http://schemas.microsoft.com/office/excel/2006/main">
          <x14:cfRule type="expression" priority="1811" id="{27B70106-4957-45E5-9360-1A00795CB50D}">
            <xm:f>'TC1'!#REF!="Speak"</xm:f>
            <x14:dxf>
              <font>
                <b/>
                <i val="0"/>
                <color rgb="FFFF0000"/>
              </font>
            </x14:dxf>
          </x14:cfRule>
          <xm:sqref>C17:C33</xm:sqref>
        </x14:conditionalFormatting>
        <x14:conditionalFormatting xmlns:xm="http://schemas.microsoft.com/office/excel/2006/main">
          <x14:cfRule type="containsText" priority="1815" operator="containsText" text="DB" id="{D5697766-ED5D-4E54-98D8-31F06321EA41}">
            <xm:f>NOT(ISERROR(SEARCH("DB",'TC1'!E16)))</xm:f>
            <x14:dxf>
              <font>
                <color rgb="FF006100"/>
              </font>
              <fill>
                <patternFill>
                  <bgColor rgb="FFC6EFCE"/>
                </patternFill>
              </fill>
            </x14:dxf>
          </x14:cfRule>
          <x14:cfRule type="containsText" priority="1816" operator="containsText" text="WEB SERVICE" id="{26FA69AC-06DF-4A44-88ED-D02EF627F798}">
            <xm:f>NOT(ISERROR(SEARCH("WEB SERVICE",'TC1'!E16)))</xm:f>
            <x14:dxf>
              <font>
                <color rgb="FF9C0006"/>
              </font>
              <fill>
                <patternFill>
                  <bgColor rgb="FFFFC7CE"/>
                </patternFill>
              </fill>
            </x14:dxf>
          </x14:cfRule>
          <xm:sqref>E34:E41</xm:sqref>
        </x14:conditionalFormatting>
        <x14:conditionalFormatting xmlns:xm="http://schemas.microsoft.com/office/excel/2006/main">
          <x14:cfRule type="containsText" priority="1817" operator="containsText" text="DB" id="{D5697766-ED5D-4E54-98D8-31F06321EA41}">
            <xm:f>NOT(ISERROR(SEARCH("DB",'TC1'!#REF!)))</xm:f>
            <x14:dxf>
              <font>
                <color rgb="FF006100"/>
              </font>
              <fill>
                <patternFill>
                  <bgColor rgb="FFC6EFCE"/>
                </patternFill>
              </fill>
            </x14:dxf>
          </x14:cfRule>
          <x14:cfRule type="containsText" priority="1818" operator="containsText" text="WEB SERVICE" id="{26FA69AC-06DF-4A44-88ED-D02EF627F798}">
            <xm:f>NOT(ISERROR(SEARCH("WEB SERVICE",'TC1'!#REF!)))</xm:f>
            <x14:dxf>
              <font>
                <color rgb="FF9C0006"/>
              </font>
              <fill>
                <patternFill>
                  <bgColor rgb="FFFFC7CE"/>
                </patternFill>
              </fill>
            </x14:dxf>
          </x14:cfRule>
          <xm:sqref>E17:E33</xm:sqref>
        </x14:conditionalFormatting>
        <x14:conditionalFormatting xmlns:xm="http://schemas.microsoft.com/office/excel/2006/main">
          <x14:cfRule type="expression" priority="4561" id="{E4DE3F08-2C9C-4180-9BE4-5A442DCEE30B}">
            <xm:f>'TC1'!$B9="HANGUP"</xm:f>
            <x14:dxf>
              <font>
                <b/>
                <i val="0"/>
              </font>
            </x14:dxf>
          </x14:cfRule>
          <x14:cfRule type="expression" priority="4562" id="{05E76A98-5CE8-45C9-9140-7528A78898F5}">
            <xm:f>'TC1'!$B9="Dial"</xm:f>
            <x14:dxf>
              <font>
                <b/>
                <i val="0"/>
                <color rgb="FFFF0000"/>
              </font>
            </x14:dxf>
          </x14:cfRule>
          <xm:sqref>C12:C15</xm:sqref>
        </x14:conditionalFormatting>
        <x14:conditionalFormatting xmlns:xm="http://schemas.microsoft.com/office/excel/2006/main">
          <x14:cfRule type="expression" priority="4563" id="{E4DE3F08-2C9C-4180-9BE4-5A442DCEE30B}">
            <xm:f>'TC1'!#REF!="HANGUP"</xm:f>
            <x14:dxf>
              <font>
                <b/>
                <i val="0"/>
              </font>
            </x14:dxf>
          </x14:cfRule>
          <x14:cfRule type="expression" priority="4564" id="{05E76A98-5CE8-45C9-9140-7528A78898F5}">
            <xm:f>'TC1'!#REF!="Dial"</xm:f>
            <x14:dxf>
              <font>
                <b/>
                <i val="0"/>
                <color rgb="FFFF0000"/>
              </font>
            </x14:dxf>
          </x14:cfRule>
          <xm:sqref>C9:C11</xm:sqref>
        </x14:conditionalFormatting>
        <x14:conditionalFormatting xmlns:xm="http://schemas.microsoft.com/office/excel/2006/main">
          <x14:cfRule type="expression" priority="4568" id="{27B70106-4957-45E5-9360-1A00795CB50D}">
            <xm:f>'TC1'!$B9="Speak"</xm:f>
            <x14:dxf>
              <font>
                <b/>
                <i val="0"/>
                <color rgb="FFFF0000"/>
              </font>
            </x14:dxf>
          </x14:cfRule>
          <xm:sqref>C12:C15</xm:sqref>
        </x14:conditionalFormatting>
        <x14:conditionalFormatting xmlns:xm="http://schemas.microsoft.com/office/excel/2006/main">
          <x14:cfRule type="expression" priority="4569" id="{27B70106-4957-45E5-9360-1A00795CB50D}">
            <xm:f>'TC1'!#REF!="Speak"</xm:f>
            <x14:dxf>
              <font>
                <b/>
                <i val="0"/>
                <color rgb="FFFF0000"/>
              </font>
            </x14:dxf>
          </x14:cfRule>
          <xm:sqref>C9:C11</xm:sqref>
        </x14:conditionalFormatting>
        <x14:conditionalFormatting xmlns:xm="http://schemas.microsoft.com/office/excel/2006/main">
          <x14:cfRule type="containsText" priority="4571" operator="containsText" text="DB" id="{D5697766-ED5D-4E54-98D8-31F06321EA41}">
            <xm:f>NOT(ISERROR(SEARCH("DB",'TC1'!#REF!)))</xm:f>
            <x14:dxf>
              <font>
                <color rgb="FF006100"/>
              </font>
              <fill>
                <patternFill>
                  <bgColor rgb="FFC6EFCE"/>
                </patternFill>
              </fill>
            </x14:dxf>
          </x14:cfRule>
          <x14:cfRule type="containsText" priority="4572" operator="containsText" text="WEB SERVICE" id="{26FA69AC-06DF-4A44-88ED-D02EF627F798}">
            <xm:f>NOT(ISERROR(SEARCH("WEB SERVICE",'TC1'!#REF!)))</xm:f>
            <x14:dxf>
              <font>
                <color rgb="FF9C0006"/>
              </font>
              <fill>
                <patternFill>
                  <bgColor rgb="FFFFC7CE"/>
                </patternFill>
              </fill>
            </x14:dxf>
          </x14:cfRule>
          <xm:sqref>E9:E11</xm:sqref>
        </x14:conditionalFormatting>
        <x14:conditionalFormatting xmlns:xm="http://schemas.microsoft.com/office/excel/2006/main">
          <x14:cfRule type="containsText" priority="4573" operator="containsText" text="DB" id="{D5697766-ED5D-4E54-98D8-31F06321EA41}">
            <xm:f>NOT(ISERROR(SEARCH("DB",'TC1'!E9)))</xm:f>
            <x14:dxf>
              <font>
                <color rgb="FF006100"/>
              </font>
              <fill>
                <patternFill>
                  <bgColor rgb="FFC6EFCE"/>
                </patternFill>
              </fill>
            </x14:dxf>
          </x14:cfRule>
          <x14:cfRule type="containsText" priority="4574" operator="containsText" text="WEB SERVICE" id="{26FA69AC-06DF-4A44-88ED-D02EF627F798}">
            <xm:f>NOT(ISERROR(SEARCH("WEB SERVICE",'TC1'!E9)))</xm:f>
            <x14:dxf>
              <font>
                <color rgb="FF9C0006"/>
              </font>
              <fill>
                <patternFill>
                  <bgColor rgb="FFFFC7CE"/>
                </patternFill>
              </fill>
            </x14:dxf>
          </x14:cfRule>
          <xm:sqref>E12:E15</xm:sqref>
        </x14:conditionalFormatting>
        <x14:conditionalFormatting xmlns:xm="http://schemas.microsoft.com/office/excel/2006/main">
          <x14:cfRule type="expression" priority="6980" id="{E4DE3F08-2C9C-4180-9BE4-5A442DCEE30B}">
            <xm:f>'TC1'!$B15="HANGUP"</xm:f>
            <x14:dxf>
              <font>
                <b/>
                <i val="0"/>
              </font>
            </x14:dxf>
          </x14:cfRule>
          <x14:cfRule type="expression" priority="6981" id="{05E76A98-5CE8-45C9-9140-7528A78898F5}">
            <xm:f>'TC1'!$B15="Dial"</xm:f>
            <x14:dxf>
              <font>
                <b/>
                <i val="0"/>
                <color rgb="FFFF0000"/>
              </font>
            </x14:dxf>
          </x14:cfRule>
          <xm:sqref>C16</xm:sqref>
        </x14:conditionalFormatting>
        <x14:conditionalFormatting xmlns:xm="http://schemas.microsoft.com/office/excel/2006/main">
          <x14:cfRule type="expression" priority="6983" id="{27B70106-4957-45E5-9360-1A00795CB50D}">
            <xm:f>'TC1'!$B15="Speak"</xm:f>
            <x14:dxf>
              <font>
                <b/>
                <i val="0"/>
                <color rgb="FFFF0000"/>
              </font>
            </x14:dxf>
          </x14:cfRule>
          <xm:sqref>C16</xm:sqref>
        </x14:conditionalFormatting>
        <x14:conditionalFormatting xmlns:xm="http://schemas.microsoft.com/office/excel/2006/main">
          <x14:cfRule type="containsText" priority="6986" operator="containsText" text="DB" id="{D5697766-ED5D-4E54-98D8-31F06321EA41}">
            <xm:f>NOT(ISERROR(SEARCH("DB",'TC1'!E15)))</xm:f>
            <x14:dxf>
              <font>
                <color rgb="FF006100"/>
              </font>
              <fill>
                <patternFill>
                  <bgColor rgb="FFC6EFCE"/>
                </patternFill>
              </fill>
            </x14:dxf>
          </x14:cfRule>
          <x14:cfRule type="containsText" priority="6987" operator="containsText" text="WEB SERVICE" id="{26FA69AC-06DF-4A44-88ED-D02EF627F798}">
            <xm:f>NOT(ISERROR(SEARCH("WEB SERVICE",'TC1'!E15)))</xm:f>
            <x14:dxf>
              <font>
                <color rgb="FF9C0006"/>
              </font>
              <fill>
                <patternFill>
                  <bgColor rgb="FFFFC7CE"/>
                </patternFill>
              </fill>
            </x14:dxf>
          </x14:cfRule>
          <xm:sqref>E16</xm:sqref>
        </x14:conditionalFormatting>
        <x14:conditionalFormatting xmlns:xm="http://schemas.microsoft.com/office/excel/2006/main">
          <x14:cfRule type="containsText" priority="9374" operator="containsText" text="Hear" id="{3472D924-C13F-43F0-9AE2-13B646DB1560}">
            <xm:f>NOT(ISERROR(SEARCH("Hear",'TC26'!#REF!)))</xm:f>
            <x14:dxf>
              <font>
                <color theme="9" tint="-0.24994659260841701"/>
              </font>
              <fill>
                <patternFill>
                  <bgColor theme="9" tint="0.59996337778862885"/>
                </patternFill>
              </fill>
            </x14:dxf>
          </x14:cfRule>
          <xm:sqref>B39</xm:sqref>
        </x14:conditionalFormatting>
      </x14:conditionalFormattings>
    </ext>
  </extLst>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E00-000000000000}">
  <sheetPr codeName="Sheet80"/>
  <dimension ref="A1:E49"/>
  <sheetViews>
    <sheetView zoomScaleNormal="100" workbookViewId="0">
      <selection sqref="A1:B1"/>
    </sheetView>
  </sheetViews>
  <sheetFormatPr defaultRowHeight="14.5" x14ac:dyDescent="0.35"/>
  <cols>
    <col min="1" max="1" width="14.453125" style="42" bestFit="1" customWidth="1"/>
    <col min="2" max="2" width="42.6328125" style="42" customWidth="1"/>
    <col min="3" max="3" width="106.1796875" style="22" customWidth="1"/>
    <col min="4" max="4" width="21.81640625" style="33" bestFit="1" customWidth="1"/>
    <col min="5" max="5" width="20.6328125" style="42" customWidth="1"/>
  </cols>
  <sheetData>
    <row r="1" spans="1:5" ht="18.5" x14ac:dyDescent="0.35">
      <c r="A1" s="192" t="s">
        <v>4</v>
      </c>
      <c r="B1" s="192"/>
      <c r="C1" s="105"/>
      <c r="D1" s="111"/>
      <c r="E1" s="97"/>
    </row>
    <row r="2" spans="1:5" x14ac:dyDescent="0.35">
      <c r="A2" s="106" t="s">
        <v>5</v>
      </c>
      <c r="B2" s="107" t="str">
        <f ca="1">MID(CELL("filename",A1),FIND("]",CELL("filename",A1))+1,LEN(CELL("filename",A1))-FIND("]",CELL("filename",A1)))</f>
        <v>TC78</v>
      </c>
      <c r="C2" s="98"/>
      <c r="D2" s="111"/>
      <c r="E2" s="97"/>
    </row>
    <row r="3" spans="1:5" x14ac:dyDescent="0.35">
      <c r="A3" s="104" t="s">
        <v>19</v>
      </c>
      <c r="B3" s="112">
        <f ca="1">VLOOKUP(B2,Table53[#All],2,FALSE)</f>
        <v>0</v>
      </c>
      <c r="C3" s="98"/>
      <c r="D3" s="111"/>
      <c r="E3" s="97"/>
    </row>
    <row r="4" spans="1:5" ht="29" x14ac:dyDescent="0.35">
      <c r="A4" s="113" t="s">
        <v>20</v>
      </c>
      <c r="B4" s="99">
        <f ca="1">VLOOKUP(B2,Table53[#All],4,FALSE)</f>
        <v>0</v>
      </c>
      <c r="C4" s="98"/>
      <c r="D4" s="111"/>
      <c r="E4" s="97"/>
    </row>
    <row r="5" spans="1:5" x14ac:dyDescent="0.35">
      <c r="A5" s="104" t="s">
        <v>6</v>
      </c>
      <c r="B5" s="77">
        <f ca="1">VLOOKUP(B2,Table53[#All],3,FALSE)</f>
        <v>0</v>
      </c>
      <c r="C5" s="98"/>
      <c r="D5" s="111"/>
      <c r="E5" s="97"/>
    </row>
    <row r="6" spans="1:5" x14ac:dyDescent="0.35">
      <c r="A6" s="97"/>
      <c r="B6" s="97"/>
      <c r="C6" s="98"/>
      <c r="D6" s="111"/>
      <c r="E6" s="97"/>
    </row>
    <row r="7" spans="1:5" ht="15.5" x14ac:dyDescent="0.35">
      <c r="A7" s="100" t="s">
        <v>7</v>
      </c>
      <c r="B7" s="101" t="s">
        <v>8</v>
      </c>
      <c r="C7" s="102" t="s">
        <v>9</v>
      </c>
      <c r="D7" s="102" t="s">
        <v>14</v>
      </c>
      <c r="E7" s="103" t="s">
        <v>10</v>
      </c>
    </row>
    <row r="8" spans="1:5" s="97" customFormat="1" x14ac:dyDescent="0.35">
      <c r="A8" s="118">
        <v>1</v>
      </c>
      <c r="B8" s="114" t="s">
        <v>114</v>
      </c>
      <c r="C8" s="109" t="s">
        <v>125</v>
      </c>
      <c r="D8" s="128"/>
      <c r="E8" s="125" t="s">
        <v>11</v>
      </c>
    </row>
    <row r="9" spans="1:5" s="97" customFormat="1" x14ac:dyDescent="0.35">
      <c r="A9" s="118">
        <v>2</v>
      </c>
      <c r="B9" s="114" t="s">
        <v>12</v>
      </c>
      <c r="C9" s="109" t="e">
        <f>VLOOKUP(Table25755252691013434446474849565758596315181719224566677172737476777879939495100104109111113115117138139141[[#This Row],[PEG]],Table1016[#All],2,FALSE)</f>
        <v>#N/A</v>
      </c>
      <c r="D9" s="128"/>
      <c r="E9" s="125" t="e">
        <f>VLOOKUP(Table25755252691013434446474849565758596315181719224566677172737476777879939495100104109111113115117138139141[[#This Row],[PEG]],Table1016[#All],3,FALSE)</f>
        <v>#N/A</v>
      </c>
    </row>
    <row r="10" spans="1:5" s="97" customFormat="1" x14ac:dyDescent="0.35">
      <c r="A10" s="118">
        <v>3</v>
      </c>
      <c r="B10" s="114" t="s">
        <v>115</v>
      </c>
      <c r="C10" s="109" t="e">
        <f>VLOOKUP(Table25755252691013434446474849565758596315181719224566677172737476777879939495100104109111113115117138139141[[#This Row],[PEG]],Table1016[#All],2,FALSE)</f>
        <v>#N/A</v>
      </c>
      <c r="D10" s="128"/>
      <c r="E10" s="125" t="e">
        <f>VLOOKUP(Table25755252691013434446474849565758596315181719224566677172737476777879939495100104109111113115117138139141[[#This Row],[PEG]],Table1016[#All],3,FALSE)</f>
        <v>#N/A</v>
      </c>
    </row>
    <row r="11" spans="1:5" s="97" customFormat="1" x14ac:dyDescent="0.35">
      <c r="A11" s="118">
        <v>4</v>
      </c>
      <c r="B11" s="114" t="s">
        <v>115</v>
      </c>
      <c r="C11" s="109" t="e">
        <f>VLOOKUP(Table25755252691013434446474849565758596315181719224566677172737476777879939495100104109111113115117138139141[[#This Row],[PEG]],Table1016[#All],2,FALSE)</f>
        <v>#N/A</v>
      </c>
      <c r="D11" s="128"/>
      <c r="E11" s="125" t="e">
        <f>VLOOKUP(Table25755252691013434446474849565758596315181719224566677172737476777879939495100104109111113115117138139141[[#This Row],[PEG]],Table1016[#All],3,FALSE)</f>
        <v>#N/A</v>
      </c>
    </row>
    <row r="12" spans="1:5" s="97" customFormat="1" x14ac:dyDescent="0.35">
      <c r="A12" s="118">
        <v>5</v>
      </c>
      <c r="B12" s="114" t="s">
        <v>114</v>
      </c>
      <c r="C12" s="109" t="e">
        <f>VLOOKUP(Table25755252691013434446474849565758596315181719224566677172737476777879939495100104109111113115117138139141[[#This Row],[PEG]],Table1016[#All],2,FALSE)</f>
        <v>#N/A</v>
      </c>
      <c r="D12" s="128"/>
      <c r="E12" s="125" t="e">
        <f>VLOOKUP(Table25755252691013434446474849565758596315181719224566677172737476777879939495100104109111113115117138139141[[#This Row],[PEG]],Table1016[#All],3,FALSE)</f>
        <v>#N/A</v>
      </c>
    </row>
    <row r="13" spans="1:5" s="97" customFormat="1" x14ac:dyDescent="0.35">
      <c r="A13" s="118">
        <v>6</v>
      </c>
      <c r="B13" s="114" t="s">
        <v>115</v>
      </c>
      <c r="C13" s="109" t="e">
        <f>VLOOKUP(Table25755252691013434446474849565758596315181719224566677172737476777879939495100104109111113115117138139141[[#This Row],[PEG]],Table1016[#All],2,FALSE)</f>
        <v>#N/A</v>
      </c>
      <c r="D13" s="128"/>
      <c r="E13" s="125" t="e">
        <f>VLOOKUP(Table25755252691013434446474849565758596315181719224566677172737476777879939495100104109111113115117138139141[[#This Row],[PEG]],Table1016[#All],3,FALSE)</f>
        <v>#N/A</v>
      </c>
    </row>
    <row r="14" spans="1:5" s="97" customFormat="1" x14ac:dyDescent="0.35">
      <c r="A14" s="118">
        <v>7</v>
      </c>
      <c r="B14" s="114" t="s">
        <v>114</v>
      </c>
      <c r="C14" s="109" t="e">
        <f>VLOOKUP(Table25755252691013434446474849565758596315181719224566677172737476777879939495100104109111113115117138139141[[#This Row],[PEG]],Table1016[#All],2,FALSE)</f>
        <v>#N/A</v>
      </c>
      <c r="D14" s="128"/>
      <c r="E14" s="125" t="e">
        <f>VLOOKUP(Table25755252691013434446474849565758596315181719224566677172737476777879939495100104109111113115117138139141[[#This Row],[PEG]],Table1016[#All],3,FALSE)</f>
        <v>#N/A</v>
      </c>
    </row>
    <row r="15" spans="1:5" x14ac:dyDescent="0.35">
      <c r="A15" s="118">
        <v>8</v>
      </c>
      <c r="B15" s="114" t="s">
        <v>115</v>
      </c>
      <c r="C15" s="109" t="e">
        <f>VLOOKUP(Table25755252691013434446474849565758596315181719224566677172737476777879939495100104109111113115117138139141[[#This Row],[PEG]],Table1016[#All],2,FALSE)</f>
        <v>#N/A</v>
      </c>
      <c r="D15" s="116"/>
      <c r="E15" s="125" t="e">
        <f>VLOOKUP(Table25755252691013434446474849565758596315181719224566677172737476777879939495100104109111113115117138139141[[#This Row],[PEG]],Table1016[#All],3,FALSE)</f>
        <v>#N/A</v>
      </c>
    </row>
    <row r="16" spans="1:5" x14ac:dyDescent="0.35">
      <c r="A16" s="118">
        <v>9</v>
      </c>
      <c r="B16" s="114" t="s">
        <v>12</v>
      </c>
      <c r="C16" s="109" t="e">
        <f>VLOOKUP(Table25755252691013434446474849565758596315181719224566677172737476777879939495100104109111113115117138139141[[#This Row],[PEG]],Table1016[#All],2,FALSE)</f>
        <v>#N/A</v>
      </c>
      <c r="D16" s="116"/>
      <c r="E16" s="125" t="e">
        <f>VLOOKUP(Table25755252691013434446474849565758596315181719224566677172737476777879939495100104109111113115117138139141[[#This Row],[PEG]],Table1016[#All],3,FALSE)</f>
        <v>#N/A</v>
      </c>
    </row>
    <row r="17" spans="1:5" x14ac:dyDescent="0.35">
      <c r="A17" s="118">
        <v>10</v>
      </c>
      <c r="B17" s="114" t="s">
        <v>12</v>
      </c>
      <c r="C17" s="109" t="e">
        <f>VLOOKUP(Table25755252691013434446474849565758596315181719224566677172737476777879939495100104109111113115117138139141[[#This Row],[PEG]],Table1016[#All],2,FALSE)</f>
        <v>#N/A</v>
      </c>
      <c r="D17" s="117"/>
      <c r="E17" s="125" t="e">
        <f>VLOOKUP(Table25755252691013434446474849565758596315181719224566677172737476777879939495100104109111113115117138139141[[#This Row],[PEG]],Table1016[#All],3,FALSE)</f>
        <v>#N/A</v>
      </c>
    </row>
    <row r="18" spans="1:5" x14ac:dyDescent="0.35">
      <c r="A18" s="118">
        <v>11</v>
      </c>
      <c r="B18" s="114" t="s">
        <v>115</v>
      </c>
      <c r="C18" s="109" t="e">
        <f>VLOOKUP(Table25755252691013434446474849565758596315181719224566677172737476777879939495100104109111113115117138139141[[#This Row],[PEG]],Table1016[#All],2,FALSE)</f>
        <v>#N/A</v>
      </c>
      <c r="D18" s="117"/>
      <c r="E18" s="125" t="e">
        <f>VLOOKUP(Table25755252691013434446474849565758596315181719224566677172737476777879939495100104109111113115117138139141[[#This Row],[PEG]],Table1016[#All],3,FALSE)</f>
        <v>#N/A</v>
      </c>
    </row>
    <row r="19" spans="1:5" x14ac:dyDescent="0.35">
      <c r="A19" s="118">
        <v>12</v>
      </c>
      <c r="B19" s="114" t="s">
        <v>115</v>
      </c>
      <c r="C19" s="109" t="e">
        <f>VLOOKUP(Table25755252691013434446474849565758596315181719224566677172737476777879939495100104109111113115117138139141[[#This Row],[PEG]],Table1016[#All],2,FALSE)</f>
        <v>#N/A</v>
      </c>
      <c r="D19" s="117"/>
      <c r="E19" s="125" t="e">
        <f>VLOOKUP(Table25755252691013434446474849565758596315181719224566677172737476777879939495100104109111113115117138139141[[#This Row],[PEG]],Table1016[#All],3,FALSE)</f>
        <v>#N/A</v>
      </c>
    </row>
    <row r="20" spans="1:5" x14ac:dyDescent="0.35">
      <c r="A20" s="118">
        <v>13</v>
      </c>
      <c r="B20" s="114" t="s">
        <v>114</v>
      </c>
      <c r="C20" s="109" t="e">
        <f>VLOOKUP(Table25755252691013434446474849565758596315181719224566677172737476777879939495100104109111113115117138139141[[#This Row],[PEG]],Table1016[#All],2,FALSE)</f>
        <v>#N/A</v>
      </c>
      <c r="D20" s="117"/>
      <c r="E20" s="125" t="e">
        <f>VLOOKUP(Table25755252691013434446474849565758596315181719224566677172737476777879939495100104109111113115117138139141[[#This Row],[PEG]],Table1016[#All],3,FALSE)</f>
        <v>#N/A</v>
      </c>
    </row>
    <row r="21" spans="1:5" x14ac:dyDescent="0.35">
      <c r="A21" s="118">
        <v>14</v>
      </c>
      <c r="B21" s="114" t="s">
        <v>12</v>
      </c>
      <c r="C21" s="109" t="e">
        <f>VLOOKUP(Table25755252691013434446474849565758596315181719224566677172737476777879939495100104109111113115117138139141[[#This Row],[PEG]],Table1016[#All],2,FALSE)</f>
        <v>#N/A</v>
      </c>
      <c r="D21" s="117"/>
      <c r="E21" s="125" t="e">
        <f>VLOOKUP(Table25755252691013434446474849565758596315181719224566677172737476777879939495100104109111113115117138139141[[#This Row],[PEG]],Table1016[#All],3,FALSE)</f>
        <v>#N/A</v>
      </c>
    </row>
    <row r="22" spans="1:5" x14ac:dyDescent="0.35">
      <c r="A22" s="118">
        <v>15</v>
      </c>
      <c r="B22" s="114" t="s">
        <v>12</v>
      </c>
      <c r="C22" s="109" t="e">
        <f>VLOOKUP(Table25755252691013434446474849565758596315181719224566677172737476777879939495100104109111113115117138139141[[#This Row],[PEG]],Table1016[#All],2,FALSE)</f>
        <v>#N/A</v>
      </c>
      <c r="D22" s="117"/>
      <c r="E22" s="125" t="e">
        <f>VLOOKUP(Table25755252691013434446474849565758596315181719224566677172737476777879939495100104109111113115117138139141[[#This Row],[PEG]],Table1016[#All],3,FALSE)</f>
        <v>#N/A</v>
      </c>
    </row>
    <row r="23" spans="1:5" x14ac:dyDescent="0.35">
      <c r="A23" s="118">
        <v>16</v>
      </c>
      <c r="B23" s="114" t="s">
        <v>115</v>
      </c>
      <c r="C23" s="109" t="e">
        <f>VLOOKUP(Table25755252691013434446474849565758596315181719224566677172737476777879939495100104109111113115117138139141[[#This Row],[PEG]],Table1016[#All],2,FALSE)</f>
        <v>#N/A</v>
      </c>
      <c r="D23" s="117"/>
      <c r="E23" s="125" t="e">
        <f>VLOOKUP(Table25755252691013434446474849565758596315181719224566677172737476777879939495100104109111113115117138139141[[#This Row],[PEG]],Table1016[#All],3,FALSE)</f>
        <v>#N/A</v>
      </c>
    </row>
    <row r="24" spans="1:5" x14ac:dyDescent="0.35">
      <c r="A24" s="118">
        <v>17</v>
      </c>
      <c r="B24" s="114" t="s">
        <v>114</v>
      </c>
      <c r="C24" s="109" t="e">
        <f>VLOOKUP(Table25755252691013434446474849565758596315181719224566677172737476777879939495100104109111113115117138139141[[#This Row],[PEG]],Table1016[#All],2,FALSE)</f>
        <v>#N/A</v>
      </c>
      <c r="D24" s="117"/>
      <c r="E24" s="125" t="e">
        <f>VLOOKUP(Table25755252691013434446474849565758596315181719224566677172737476777879939495100104109111113115117138139141[[#This Row],[PEG]],Table1016[#All],3,FALSE)</f>
        <v>#N/A</v>
      </c>
    </row>
    <row r="25" spans="1:5" x14ac:dyDescent="0.35">
      <c r="A25" s="118">
        <v>18</v>
      </c>
      <c r="B25" s="114" t="s">
        <v>12</v>
      </c>
      <c r="C25" s="109" t="e">
        <f>VLOOKUP(Table25755252691013434446474849565758596315181719224566677172737476777879939495100104109111113115117138139141[[#This Row],[PEG]],Table1016[#All],2,FALSE)</f>
        <v>#N/A</v>
      </c>
      <c r="D25" s="117"/>
      <c r="E25" s="125" t="e">
        <f>VLOOKUP(Table25755252691013434446474849565758596315181719224566677172737476777879939495100104109111113115117138139141[[#This Row],[PEG]],Table1016[#All],3,FALSE)</f>
        <v>#N/A</v>
      </c>
    </row>
    <row r="26" spans="1:5" x14ac:dyDescent="0.35">
      <c r="A26" s="118">
        <v>19</v>
      </c>
      <c r="B26" s="114" t="s">
        <v>12</v>
      </c>
      <c r="C26" s="109" t="e">
        <f>VLOOKUP(Table25755252691013434446474849565758596315181719224566677172737476777879939495100104109111113115117138139141[[#This Row],[PEG]],Table1016[#All],2,FALSE)</f>
        <v>#N/A</v>
      </c>
      <c r="D26" s="117"/>
      <c r="E26" s="125" t="e">
        <f>VLOOKUP(Table25755252691013434446474849565758596315181719224566677172737476777879939495100104109111113115117138139141[[#This Row],[PEG]],Table1016[#All],3,FALSE)</f>
        <v>#N/A</v>
      </c>
    </row>
    <row r="27" spans="1:5" x14ac:dyDescent="0.35">
      <c r="A27" s="118">
        <v>20</v>
      </c>
      <c r="B27" s="114" t="s">
        <v>115</v>
      </c>
      <c r="C27" s="109" t="e">
        <f>VLOOKUP(Table25755252691013434446474849565758596315181719224566677172737476777879939495100104109111113115117138139141[[#This Row],[PEG]],Table1016[#All],2,FALSE)</f>
        <v>#N/A</v>
      </c>
      <c r="D27" s="117"/>
      <c r="E27" s="125" t="e">
        <f>VLOOKUP(Table25755252691013434446474849565758596315181719224566677172737476777879939495100104109111113115117138139141[[#This Row],[PEG]],Table1016[#All],3,FALSE)</f>
        <v>#N/A</v>
      </c>
    </row>
    <row r="28" spans="1:5" x14ac:dyDescent="0.35">
      <c r="A28" s="118">
        <v>21</v>
      </c>
      <c r="B28" s="114" t="s">
        <v>114</v>
      </c>
      <c r="C28" s="109" t="e">
        <f>VLOOKUP(Table25755252691013434446474849565758596315181719224566677172737476777879939495100104109111113115117138139141[[#This Row],[PEG]],Table1016[#All],2,FALSE)</f>
        <v>#N/A</v>
      </c>
      <c r="D28" s="117"/>
      <c r="E28" s="125" t="e">
        <f>VLOOKUP(Table25755252691013434446474849565758596315181719224566677172737476777879939495100104109111113115117138139141[[#This Row],[PEG]],Table1016[#All],3,FALSE)</f>
        <v>#N/A</v>
      </c>
    </row>
    <row r="29" spans="1:5" x14ac:dyDescent="0.35">
      <c r="A29" s="118">
        <v>22</v>
      </c>
      <c r="B29" s="114" t="s">
        <v>12</v>
      </c>
      <c r="C29" s="109" t="e">
        <f>VLOOKUP(Table25755252691013434446474849565758596315181719224566677172737476777879939495100104109111113115117138139141[[#This Row],[PEG]],Table1016[#All],2,FALSE)</f>
        <v>#N/A</v>
      </c>
      <c r="D29" s="117"/>
      <c r="E29" s="125" t="e">
        <f>VLOOKUP(Table25755252691013434446474849565758596315181719224566677172737476777879939495100104109111113115117138139141[[#This Row],[PEG]],Table1016[#All],3,FALSE)</f>
        <v>#N/A</v>
      </c>
    </row>
    <row r="30" spans="1:5" x14ac:dyDescent="0.35">
      <c r="A30" s="118">
        <v>23</v>
      </c>
      <c r="B30" s="114" t="s">
        <v>12</v>
      </c>
      <c r="C30" s="109" t="e">
        <f>VLOOKUP(Table25755252691013434446474849565758596315181719224566677172737476777879939495100104109111113115117138139141[[#This Row],[PEG]],Table1016[#All],2,FALSE)</f>
        <v>#N/A</v>
      </c>
      <c r="D30" s="117"/>
      <c r="E30" s="125" t="e">
        <f>VLOOKUP(Table25755252691013434446474849565758596315181719224566677172737476777879939495100104109111113115117138139141[[#This Row],[PEG]],Table1016[#All],3,FALSE)</f>
        <v>#N/A</v>
      </c>
    </row>
    <row r="31" spans="1:5" x14ac:dyDescent="0.35">
      <c r="A31" s="118">
        <v>24</v>
      </c>
      <c r="B31" s="114" t="s">
        <v>115</v>
      </c>
      <c r="C31" s="109" t="e">
        <f>VLOOKUP(Table25755252691013434446474849565758596315181719224566677172737476777879939495100104109111113115117138139141[[#This Row],[PEG]],Table1016[#All],2,FALSE)</f>
        <v>#N/A</v>
      </c>
      <c r="D31" s="117"/>
      <c r="E31" s="125" t="e">
        <f>VLOOKUP(Table25755252691013434446474849565758596315181719224566677172737476777879939495100104109111113115117138139141[[#This Row],[PEG]],Table1016[#All],3,FALSE)</f>
        <v>#N/A</v>
      </c>
    </row>
    <row r="32" spans="1:5" x14ac:dyDescent="0.35">
      <c r="A32" s="118">
        <v>25</v>
      </c>
      <c r="B32" s="114" t="s">
        <v>115</v>
      </c>
      <c r="C32" s="109" t="e">
        <f>VLOOKUP(Table25755252691013434446474849565758596315181719224566677172737476777879939495100104109111113115117138139141[[#This Row],[PEG]],Table1016[#All],2,FALSE)</f>
        <v>#N/A</v>
      </c>
      <c r="D32" s="117"/>
      <c r="E32" s="125" t="e">
        <f>VLOOKUP(Table25755252691013434446474849565758596315181719224566677172737476777879939495100104109111113115117138139141[[#This Row],[PEG]],Table1016[#All],3,FALSE)</f>
        <v>#N/A</v>
      </c>
    </row>
    <row r="33" spans="1:5" x14ac:dyDescent="0.35">
      <c r="A33" s="118">
        <v>26</v>
      </c>
      <c r="B33" s="114" t="s">
        <v>124</v>
      </c>
      <c r="C33" s="109" t="e">
        <f>VLOOKUP(Table25755252691013434446474849565758596315181719224566677172737476777879939495100104109111113115117138139141[[#This Row],[PEG]],Table1016[#All],2,FALSE)</f>
        <v>#N/A</v>
      </c>
      <c r="D33" s="117"/>
      <c r="E33" s="125" t="e">
        <f>VLOOKUP(Table25755252691013434446474849565758596315181719224566677172737476777879939495100104109111113115117138139141[[#This Row],[PEG]],Table1016[#All],3,FALSE)</f>
        <v>#N/A</v>
      </c>
    </row>
    <row r="34" spans="1:5" x14ac:dyDescent="0.35">
      <c r="A34" s="118">
        <v>27</v>
      </c>
      <c r="B34" s="114" t="s">
        <v>115</v>
      </c>
      <c r="C34" s="109" t="e">
        <f>VLOOKUP(Table25755252691013434446474849565758596315181719224566677172737476777879939495100104109111113115117138139141[[#This Row],[PEG]],Table1016[#All],2,FALSE)</f>
        <v>#N/A</v>
      </c>
      <c r="D34" s="117"/>
      <c r="E34" s="125" t="e">
        <f>VLOOKUP(Table25755252691013434446474849565758596315181719224566677172737476777879939495100104109111113115117138139141[[#This Row],[PEG]],Table1016[#All],3,FALSE)</f>
        <v>#N/A</v>
      </c>
    </row>
    <row r="35" spans="1:5" x14ac:dyDescent="0.35">
      <c r="A35" s="118">
        <v>28</v>
      </c>
      <c r="B35" s="114" t="s">
        <v>124</v>
      </c>
      <c r="C35" s="109" t="e">
        <f>VLOOKUP(Table25755252691013434446474849565758596315181719224566677172737476777879939495100104109111113115117138139141[[#This Row],[PEG]],Table1016[#All],2,FALSE)</f>
        <v>#N/A</v>
      </c>
      <c r="D35" s="117"/>
      <c r="E35" s="125" t="e">
        <f>VLOOKUP(Table25755252691013434446474849565758596315181719224566677172737476777879939495100104109111113115117138139141[[#This Row],[PEG]],Table1016[#All],3,FALSE)</f>
        <v>#N/A</v>
      </c>
    </row>
    <row r="36" spans="1:5" x14ac:dyDescent="0.35">
      <c r="A36" s="118">
        <v>29</v>
      </c>
      <c r="B36" s="114" t="s">
        <v>115</v>
      </c>
      <c r="C36" s="109" t="e">
        <f>VLOOKUP(Table25755252691013434446474849565758596315181719224566677172737476777879939495100104109111113115117138139141[[#This Row],[PEG]],Table1016[#All],2,FALSE)</f>
        <v>#N/A</v>
      </c>
      <c r="D36" s="117"/>
      <c r="E36" s="125" t="e">
        <f>VLOOKUP(Table25755252691013434446474849565758596315181719224566677172737476777879939495100104109111113115117138139141[[#This Row],[PEG]],Table1016[#All],3,FALSE)</f>
        <v>#N/A</v>
      </c>
    </row>
    <row r="37" spans="1:5" x14ac:dyDescent="0.35">
      <c r="A37" s="118">
        <v>30</v>
      </c>
      <c r="B37" s="114" t="s">
        <v>12</v>
      </c>
      <c r="C37" s="109" t="e">
        <f>VLOOKUP(Table25755252691013434446474849565758596315181719224566677172737476777879939495100104109111113115117138139141[[#This Row],[PEG]],Table1016[#All],2,FALSE)</f>
        <v>#N/A</v>
      </c>
      <c r="D37" s="117"/>
      <c r="E37" s="125" t="e">
        <f>VLOOKUP(Table25755252691013434446474849565758596315181719224566677172737476777879939495100104109111113115117138139141[[#This Row],[PEG]],Table1016[#All],3,FALSE)</f>
        <v>#N/A</v>
      </c>
    </row>
    <row r="38" spans="1:5" x14ac:dyDescent="0.35">
      <c r="A38" s="118">
        <v>31</v>
      </c>
      <c r="B38" s="114" t="s">
        <v>12</v>
      </c>
      <c r="C38" s="109" t="e">
        <f>VLOOKUP(Table25755252691013434446474849565758596315181719224566677172737476777879939495100104109111113115117138139141[[#This Row],[PEG]],Table1016[#All],2,FALSE)</f>
        <v>#N/A</v>
      </c>
      <c r="D38" s="117"/>
      <c r="E38" s="125" t="e">
        <f>VLOOKUP(Table25755252691013434446474849565758596315181719224566677172737476777879939495100104109111113115117138139141[[#This Row],[PEG]],Table1016[#All],3,FALSE)</f>
        <v>#N/A</v>
      </c>
    </row>
    <row r="39" spans="1:5" x14ac:dyDescent="0.35">
      <c r="A39" s="118">
        <v>32</v>
      </c>
      <c r="B39" s="114" t="s">
        <v>12</v>
      </c>
      <c r="C39" s="109" t="e">
        <f>VLOOKUP(Table25755252691013434446474849565758596315181719224566677172737476777879939495100104109111113115117138139141[[#This Row],[PEG]],Table1016[#All],2,FALSE)</f>
        <v>#N/A</v>
      </c>
      <c r="D39" s="117"/>
      <c r="E39" s="125" t="e">
        <f>VLOOKUP(Table25755252691013434446474849565758596315181719224566677172737476777879939495100104109111113115117138139141[[#This Row],[PEG]],Table1016[#All],3,FALSE)</f>
        <v>#N/A</v>
      </c>
    </row>
    <row r="40" spans="1:5" x14ac:dyDescent="0.35">
      <c r="A40" s="118">
        <v>33</v>
      </c>
      <c r="B40" s="114" t="s">
        <v>12</v>
      </c>
      <c r="C40" s="109" t="e">
        <f>VLOOKUP(Table25755252691013434446474849565758596315181719224566677172737476777879939495100104109111113115117138139141[[#This Row],[PEG]],Table1016[#All],2,FALSE)</f>
        <v>#N/A</v>
      </c>
      <c r="D40" s="117"/>
      <c r="E40" s="125" t="e">
        <f>VLOOKUP(Table25755252691013434446474849565758596315181719224566677172737476777879939495100104109111113115117138139141[[#This Row],[PEG]],Table1016[#All],3,FALSE)</f>
        <v>#N/A</v>
      </c>
    </row>
    <row r="41" spans="1:5" x14ac:dyDescent="0.35">
      <c r="A41" s="118">
        <v>34</v>
      </c>
      <c r="B41" s="114" t="s">
        <v>115</v>
      </c>
      <c r="C41" s="109" t="e">
        <f>VLOOKUP(Table25755252691013434446474849565758596315181719224566677172737476777879939495100104109111113115117138139141[[#This Row],[PEG]],Table1016[#All],2,FALSE)</f>
        <v>#N/A</v>
      </c>
      <c r="D41" s="117"/>
      <c r="E41" s="125" t="e">
        <f>VLOOKUP(Table25755252691013434446474849565758596315181719224566677172737476777879939495100104109111113115117138139141[[#This Row],[PEG]],Table1016[#All],3,FALSE)</f>
        <v>#N/A</v>
      </c>
    </row>
    <row r="42" spans="1:5" x14ac:dyDescent="0.35">
      <c r="A42" s="118">
        <v>35</v>
      </c>
      <c r="B42" s="114" t="s">
        <v>13</v>
      </c>
      <c r="C42" s="18" t="s">
        <v>13</v>
      </c>
      <c r="D42" s="115"/>
      <c r="E42" s="32"/>
    </row>
    <row r="43" spans="1:5" x14ac:dyDescent="0.35">
      <c r="C43" s="26"/>
    </row>
    <row r="44" spans="1:5" x14ac:dyDescent="0.35">
      <c r="C44" s="26"/>
    </row>
    <row r="45" spans="1:5" x14ac:dyDescent="0.35">
      <c r="C45" s="26"/>
    </row>
    <row r="46" spans="1:5" x14ac:dyDescent="0.35">
      <c r="C46" s="26"/>
    </row>
    <row r="47" spans="1:5" x14ac:dyDescent="0.35">
      <c r="C47" s="27"/>
    </row>
    <row r="48" spans="1:5" x14ac:dyDescent="0.35">
      <c r="C48" s="27"/>
    </row>
    <row r="49" spans="3:3" x14ac:dyDescent="0.35">
      <c r="C49" s="27"/>
    </row>
  </sheetData>
  <mergeCells count="1">
    <mergeCell ref="A1:B1"/>
  </mergeCells>
  <conditionalFormatting sqref="C43:C9988">
    <cfRule type="expression" dxfId="3706" priority="59">
      <formula>$B43="Dial"</formula>
    </cfRule>
    <cfRule type="expression" dxfId="3705" priority="60">
      <formula>$B43="HANGUP"</formula>
    </cfRule>
  </conditionalFormatting>
  <conditionalFormatting sqref="B8:B18">
    <cfRule type="containsText" dxfId="3704" priority="1" operator="containsText" text="Hear">
      <formula>NOT(ISERROR(SEARCH("Hear",B8)))</formula>
    </cfRule>
  </conditionalFormatting>
  <conditionalFormatting sqref="B36:B38 B40:B41">
    <cfRule type="containsText" dxfId="3703" priority="3" operator="containsText" text="Hear">
      <formula>NOT(ISERROR(SEARCH("Hear",B36)))</formula>
    </cfRule>
  </conditionalFormatting>
  <conditionalFormatting sqref="B19:B29 B31:B35 B42">
    <cfRule type="containsText" dxfId="3702" priority="7" operator="containsText" text="Hear">
      <formula>NOT(ISERROR(SEARCH("Hear",B19)))</formula>
    </cfRule>
  </conditionalFormatting>
  <conditionalFormatting sqref="E42">
    <cfRule type="containsText" dxfId="3701" priority="5" operator="containsText" text="WEB SERVICE">
      <formula>NOT(ISERROR(SEARCH("WEB SERVICE",E42)))</formula>
    </cfRule>
    <cfRule type="containsText" dxfId="3700" priority="6" operator="containsText" text="DB">
      <formula>NOT(ISERROR(SEARCH("DB",E42)))</formula>
    </cfRule>
  </conditionalFormatting>
  <conditionalFormatting sqref="C42">
    <cfRule type="expression" dxfId="3699" priority="10">
      <formula>$B42="HANGUP"</formula>
    </cfRule>
  </conditionalFormatting>
  <conditionalFormatting sqref="B30">
    <cfRule type="containsText" dxfId="3698" priority="4" operator="containsText" text="Hear">
      <formula>NOT(ISERROR(SEARCH("Hear",B30)))</formula>
    </cfRule>
  </conditionalFormatting>
  <hyperlinks>
    <hyperlink ref="A1" location="'Test Case Overview'!A1" display="Return to Test Case Overview" xr:uid="{716DE476-9097-4EB0-938F-843F3EB6AFAA}"/>
  </hyperlinks>
  <pageMargins left="0.7" right="0.7" top="0.75" bottom="0.75" header="0.3" footer="0.3"/>
  <pageSetup orientation="portrait" verticalDpi="0" r:id="rId1"/>
  <tableParts count="1">
    <tablePart r:id="rId2"/>
  </tableParts>
  <extLst>
    <ext xmlns:x14="http://schemas.microsoft.com/office/spreadsheetml/2009/9/main" uri="{78C0D931-6437-407d-A8EE-F0AAD7539E65}">
      <x14:conditionalFormattings>
        <x14:conditionalFormatting xmlns:xm="http://schemas.microsoft.com/office/excel/2006/main">
          <x14:cfRule type="expression" priority="11" id="{1571A4EB-3A11-4413-A0C5-D5251399D745}">
            <xm:f>'TC1'!$B8="HANGUP"</xm:f>
            <x14:dxf>
              <font>
                <b/>
                <i val="0"/>
              </font>
            </x14:dxf>
          </x14:cfRule>
          <x14:cfRule type="expression" priority="12" id="{677EBF92-F035-4B31-B2EB-C572ACCE7ABE}">
            <xm:f>'TC1'!$B8="Dial"</xm:f>
            <x14:dxf>
              <font>
                <b/>
                <i val="0"/>
                <color rgb="FFFF0000"/>
              </font>
            </x14:dxf>
          </x14:cfRule>
          <xm:sqref>C8</xm:sqref>
        </x14:conditionalFormatting>
        <x14:conditionalFormatting xmlns:xm="http://schemas.microsoft.com/office/excel/2006/main">
          <x14:cfRule type="expression" priority="13" id="{30FDA4FD-9D61-4FBB-947F-A478F5D90886}">
            <xm:f>'TC1'!$B8="Speak"</xm:f>
            <x14:dxf>
              <font>
                <b/>
                <i val="0"/>
                <color rgb="FFFF0000"/>
              </font>
            </x14:dxf>
          </x14:cfRule>
          <xm:sqref>C8</xm:sqref>
        </x14:conditionalFormatting>
        <x14:conditionalFormatting xmlns:xm="http://schemas.microsoft.com/office/excel/2006/main">
          <x14:cfRule type="containsText" priority="2" operator="containsText" text="Hear" id="{19B1A312-6AA2-402F-BAC1-B2A16138CE76}">
            <xm:f>NOT(ISERROR(SEARCH("Hear",'TC3'!B34)))</xm:f>
            <x14:dxf>
              <font>
                <color theme="9" tint="-0.24994659260841701"/>
              </font>
              <fill>
                <patternFill>
                  <bgColor theme="9" tint="0.59996337778862885"/>
                </patternFill>
              </fill>
            </x14:dxf>
          </x14:cfRule>
          <xm:sqref>B41</xm:sqref>
        </x14:conditionalFormatting>
        <x14:conditionalFormatting xmlns:xm="http://schemas.microsoft.com/office/excel/2006/main">
          <x14:cfRule type="expression" priority="1823" id="{1571A4EB-3A11-4413-A0C5-D5251399D745}">
            <xm:f>'TC1'!$B16="HANGUP"</xm:f>
            <x14:dxf>
              <font>
                <b/>
                <i val="0"/>
              </font>
            </x14:dxf>
          </x14:cfRule>
          <x14:cfRule type="expression" priority="1824" id="{677EBF92-F035-4B31-B2EB-C572ACCE7ABE}">
            <xm:f>'TC1'!$B16="Dial"</xm:f>
            <x14:dxf>
              <font>
                <b/>
                <i val="0"/>
                <color rgb="FFFF0000"/>
              </font>
            </x14:dxf>
          </x14:cfRule>
          <xm:sqref>C34:C41</xm:sqref>
        </x14:conditionalFormatting>
        <x14:conditionalFormatting xmlns:xm="http://schemas.microsoft.com/office/excel/2006/main">
          <x14:cfRule type="expression" priority="1825" id="{1571A4EB-3A11-4413-A0C5-D5251399D745}">
            <xm:f>'TC1'!#REF!="HANGUP"</xm:f>
            <x14:dxf>
              <font>
                <b/>
                <i val="0"/>
              </font>
            </x14:dxf>
          </x14:cfRule>
          <x14:cfRule type="expression" priority="1826" id="{677EBF92-F035-4B31-B2EB-C572ACCE7ABE}">
            <xm:f>'TC1'!#REF!="Dial"</xm:f>
            <x14:dxf>
              <font>
                <b/>
                <i val="0"/>
                <color rgb="FFFF0000"/>
              </font>
            </x14:dxf>
          </x14:cfRule>
          <xm:sqref>C17:C33</xm:sqref>
        </x14:conditionalFormatting>
        <x14:conditionalFormatting xmlns:xm="http://schemas.microsoft.com/office/excel/2006/main">
          <x14:cfRule type="expression" priority="1830" id="{30FDA4FD-9D61-4FBB-947F-A478F5D90886}">
            <xm:f>'TC1'!$B16="Speak"</xm:f>
            <x14:dxf>
              <font>
                <b/>
                <i val="0"/>
                <color rgb="FFFF0000"/>
              </font>
            </x14:dxf>
          </x14:cfRule>
          <xm:sqref>C34:C41</xm:sqref>
        </x14:conditionalFormatting>
        <x14:conditionalFormatting xmlns:xm="http://schemas.microsoft.com/office/excel/2006/main">
          <x14:cfRule type="expression" priority="1831" id="{30FDA4FD-9D61-4FBB-947F-A478F5D90886}">
            <xm:f>'TC1'!#REF!="Speak"</xm:f>
            <x14:dxf>
              <font>
                <b/>
                <i val="0"/>
                <color rgb="FFFF0000"/>
              </font>
            </x14:dxf>
          </x14:cfRule>
          <xm:sqref>C17:C33</xm:sqref>
        </x14:conditionalFormatting>
        <x14:conditionalFormatting xmlns:xm="http://schemas.microsoft.com/office/excel/2006/main">
          <x14:cfRule type="containsText" priority="1835" operator="containsText" text="DB" id="{6039CDE5-0166-483E-8F90-11FD7F5CCF69}">
            <xm:f>NOT(ISERROR(SEARCH("DB",'TC1'!E16)))</xm:f>
            <x14:dxf>
              <font>
                <color rgb="FF006100"/>
              </font>
              <fill>
                <patternFill>
                  <bgColor rgb="FFC6EFCE"/>
                </patternFill>
              </fill>
            </x14:dxf>
          </x14:cfRule>
          <x14:cfRule type="containsText" priority="1836" operator="containsText" text="WEB SERVICE" id="{0C6C3E37-ED35-4CC9-82BC-4E60DC601F6B}">
            <xm:f>NOT(ISERROR(SEARCH("WEB SERVICE",'TC1'!E16)))</xm:f>
            <x14:dxf>
              <font>
                <color rgb="FF9C0006"/>
              </font>
              <fill>
                <patternFill>
                  <bgColor rgb="FFFFC7CE"/>
                </patternFill>
              </fill>
            </x14:dxf>
          </x14:cfRule>
          <xm:sqref>E34:E41</xm:sqref>
        </x14:conditionalFormatting>
        <x14:conditionalFormatting xmlns:xm="http://schemas.microsoft.com/office/excel/2006/main">
          <x14:cfRule type="containsText" priority="1837" operator="containsText" text="DB" id="{6039CDE5-0166-483E-8F90-11FD7F5CCF69}">
            <xm:f>NOT(ISERROR(SEARCH("DB",'TC1'!#REF!)))</xm:f>
            <x14:dxf>
              <font>
                <color rgb="FF006100"/>
              </font>
              <fill>
                <patternFill>
                  <bgColor rgb="FFC6EFCE"/>
                </patternFill>
              </fill>
            </x14:dxf>
          </x14:cfRule>
          <x14:cfRule type="containsText" priority="1838" operator="containsText" text="WEB SERVICE" id="{0C6C3E37-ED35-4CC9-82BC-4E60DC601F6B}">
            <xm:f>NOT(ISERROR(SEARCH("WEB SERVICE",'TC1'!#REF!)))</xm:f>
            <x14:dxf>
              <font>
                <color rgb="FF9C0006"/>
              </font>
              <fill>
                <patternFill>
                  <bgColor rgb="FFFFC7CE"/>
                </patternFill>
              </fill>
            </x14:dxf>
          </x14:cfRule>
          <xm:sqref>E17:E33</xm:sqref>
        </x14:conditionalFormatting>
        <x14:conditionalFormatting xmlns:xm="http://schemas.microsoft.com/office/excel/2006/main">
          <x14:cfRule type="expression" priority="4579" id="{1571A4EB-3A11-4413-A0C5-D5251399D745}">
            <xm:f>'TC1'!$B9="HANGUP"</xm:f>
            <x14:dxf>
              <font>
                <b/>
                <i val="0"/>
              </font>
            </x14:dxf>
          </x14:cfRule>
          <x14:cfRule type="expression" priority="4580" id="{677EBF92-F035-4B31-B2EB-C572ACCE7ABE}">
            <xm:f>'TC1'!$B9="Dial"</xm:f>
            <x14:dxf>
              <font>
                <b/>
                <i val="0"/>
                <color rgb="FFFF0000"/>
              </font>
            </x14:dxf>
          </x14:cfRule>
          <xm:sqref>C12:C15</xm:sqref>
        </x14:conditionalFormatting>
        <x14:conditionalFormatting xmlns:xm="http://schemas.microsoft.com/office/excel/2006/main">
          <x14:cfRule type="expression" priority="4581" id="{1571A4EB-3A11-4413-A0C5-D5251399D745}">
            <xm:f>'TC1'!#REF!="HANGUP"</xm:f>
            <x14:dxf>
              <font>
                <b/>
                <i val="0"/>
              </font>
            </x14:dxf>
          </x14:cfRule>
          <x14:cfRule type="expression" priority="4582" id="{677EBF92-F035-4B31-B2EB-C572ACCE7ABE}">
            <xm:f>'TC1'!#REF!="Dial"</xm:f>
            <x14:dxf>
              <font>
                <b/>
                <i val="0"/>
                <color rgb="FFFF0000"/>
              </font>
            </x14:dxf>
          </x14:cfRule>
          <xm:sqref>C9:C11</xm:sqref>
        </x14:conditionalFormatting>
        <x14:conditionalFormatting xmlns:xm="http://schemas.microsoft.com/office/excel/2006/main">
          <x14:cfRule type="expression" priority="4586" id="{30FDA4FD-9D61-4FBB-947F-A478F5D90886}">
            <xm:f>'TC1'!$B9="Speak"</xm:f>
            <x14:dxf>
              <font>
                <b/>
                <i val="0"/>
                <color rgb="FFFF0000"/>
              </font>
            </x14:dxf>
          </x14:cfRule>
          <xm:sqref>C12:C15</xm:sqref>
        </x14:conditionalFormatting>
        <x14:conditionalFormatting xmlns:xm="http://schemas.microsoft.com/office/excel/2006/main">
          <x14:cfRule type="expression" priority="4587" id="{30FDA4FD-9D61-4FBB-947F-A478F5D90886}">
            <xm:f>'TC1'!#REF!="Speak"</xm:f>
            <x14:dxf>
              <font>
                <b/>
                <i val="0"/>
                <color rgb="FFFF0000"/>
              </font>
            </x14:dxf>
          </x14:cfRule>
          <xm:sqref>C9:C11</xm:sqref>
        </x14:conditionalFormatting>
        <x14:conditionalFormatting xmlns:xm="http://schemas.microsoft.com/office/excel/2006/main">
          <x14:cfRule type="containsText" priority="4589" operator="containsText" text="DB" id="{6039CDE5-0166-483E-8F90-11FD7F5CCF69}">
            <xm:f>NOT(ISERROR(SEARCH("DB",'TC1'!#REF!)))</xm:f>
            <x14:dxf>
              <font>
                <color rgb="FF006100"/>
              </font>
              <fill>
                <patternFill>
                  <bgColor rgb="FFC6EFCE"/>
                </patternFill>
              </fill>
            </x14:dxf>
          </x14:cfRule>
          <x14:cfRule type="containsText" priority="4590" operator="containsText" text="WEB SERVICE" id="{0C6C3E37-ED35-4CC9-82BC-4E60DC601F6B}">
            <xm:f>NOT(ISERROR(SEARCH("WEB SERVICE",'TC1'!#REF!)))</xm:f>
            <x14:dxf>
              <font>
                <color rgb="FF9C0006"/>
              </font>
              <fill>
                <patternFill>
                  <bgColor rgb="FFFFC7CE"/>
                </patternFill>
              </fill>
            </x14:dxf>
          </x14:cfRule>
          <xm:sqref>E9:E11</xm:sqref>
        </x14:conditionalFormatting>
        <x14:conditionalFormatting xmlns:xm="http://schemas.microsoft.com/office/excel/2006/main">
          <x14:cfRule type="containsText" priority="4591" operator="containsText" text="DB" id="{6039CDE5-0166-483E-8F90-11FD7F5CCF69}">
            <xm:f>NOT(ISERROR(SEARCH("DB",'TC1'!E9)))</xm:f>
            <x14:dxf>
              <font>
                <color rgb="FF006100"/>
              </font>
              <fill>
                <patternFill>
                  <bgColor rgb="FFC6EFCE"/>
                </patternFill>
              </fill>
            </x14:dxf>
          </x14:cfRule>
          <x14:cfRule type="containsText" priority="4592" operator="containsText" text="WEB SERVICE" id="{0C6C3E37-ED35-4CC9-82BC-4E60DC601F6B}">
            <xm:f>NOT(ISERROR(SEARCH("WEB SERVICE",'TC1'!E9)))</xm:f>
            <x14:dxf>
              <font>
                <color rgb="FF9C0006"/>
              </font>
              <fill>
                <patternFill>
                  <bgColor rgb="FFFFC7CE"/>
                </patternFill>
              </fill>
            </x14:dxf>
          </x14:cfRule>
          <xm:sqref>E12:E15</xm:sqref>
        </x14:conditionalFormatting>
        <x14:conditionalFormatting xmlns:xm="http://schemas.microsoft.com/office/excel/2006/main">
          <x14:cfRule type="expression" priority="6995" id="{1571A4EB-3A11-4413-A0C5-D5251399D745}">
            <xm:f>'TC1'!$B15="HANGUP"</xm:f>
            <x14:dxf>
              <font>
                <b/>
                <i val="0"/>
              </font>
            </x14:dxf>
          </x14:cfRule>
          <x14:cfRule type="expression" priority="6996" id="{677EBF92-F035-4B31-B2EB-C572ACCE7ABE}">
            <xm:f>'TC1'!$B15="Dial"</xm:f>
            <x14:dxf>
              <font>
                <b/>
                <i val="0"/>
                <color rgb="FFFF0000"/>
              </font>
            </x14:dxf>
          </x14:cfRule>
          <xm:sqref>C16</xm:sqref>
        </x14:conditionalFormatting>
        <x14:conditionalFormatting xmlns:xm="http://schemas.microsoft.com/office/excel/2006/main">
          <x14:cfRule type="expression" priority="6998" id="{30FDA4FD-9D61-4FBB-947F-A478F5D90886}">
            <xm:f>'TC1'!$B15="Speak"</xm:f>
            <x14:dxf>
              <font>
                <b/>
                <i val="0"/>
                <color rgb="FFFF0000"/>
              </font>
            </x14:dxf>
          </x14:cfRule>
          <xm:sqref>C16</xm:sqref>
        </x14:conditionalFormatting>
        <x14:conditionalFormatting xmlns:xm="http://schemas.microsoft.com/office/excel/2006/main">
          <x14:cfRule type="containsText" priority="7001" operator="containsText" text="DB" id="{6039CDE5-0166-483E-8F90-11FD7F5CCF69}">
            <xm:f>NOT(ISERROR(SEARCH("DB",'TC1'!E15)))</xm:f>
            <x14:dxf>
              <font>
                <color rgb="FF006100"/>
              </font>
              <fill>
                <patternFill>
                  <bgColor rgb="FFC6EFCE"/>
                </patternFill>
              </fill>
            </x14:dxf>
          </x14:cfRule>
          <x14:cfRule type="containsText" priority="7002" operator="containsText" text="WEB SERVICE" id="{0C6C3E37-ED35-4CC9-82BC-4E60DC601F6B}">
            <xm:f>NOT(ISERROR(SEARCH("WEB SERVICE",'TC1'!E15)))</xm:f>
            <x14:dxf>
              <font>
                <color rgb="FF9C0006"/>
              </font>
              <fill>
                <patternFill>
                  <bgColor rgb="FFFFC7CE"/>
                </patternFill>
              </fill>
            </x14:dxf>
          </x14:cfRule>
          <xm:sqref>E16</xm:sqref>
        </x14:conditionalFormatting>
        <x14:conditionalFormatting xmlns:xm="http://schemas.microsoft.com/office/excel/2006/main">
          <x14:cfRule type="containsText" priority="9394" operator="containsText" text="Hear" id="{BF4D7435-335F-4EFB-A67F-0A5D301C531E}">
            <xm:f>NOT(ISERROR(SEARCH("Hear",'TC26'!#REF!)))</xm:f>
            <x14:dxf>
              <font>
                <color theme="9" tint="-0.24994659260841701"/>
              </font>
              <fill>
                <patternFill>
                  <bgColor theme="9" tint="0.59996337778862885"/>
                </patternFill>
              </fill>
            </x14:dxf>
          </x14:cfRule>
          <xm:sqref>B39</xm:sqref>
        </x14:conditionalFormatting>
      </x14:conditionalFormatting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9"/>
  <dimension ref="A1:E51"/>
  <sheetViews>
    <sheetView zoomScaleNormal="100" workbookViewId="0">
      <selection sqref="A1:B1"/>
    </sheetView>
  </sheetViews>
  <sheetFormatPr defaultRowHeight="14.5" x14ac:dyDescent="0.35"/>
  <cols>
    <col min="1" max="1" width="14.453125" style="97" bestFit="1" customWidth="1"/>
    <col min="2" max="2" width="42.6328125" style="97" customWidth="1"/>
    <col min="3" max="3" width="106.1796875" style="98" customWidth="1"/>
    <col min="4" max="4" width="21.81640625" style="111" bestFit="1" customWidth="1"/>
    <col min="5" max="5" width="20.6328125" style="97" customWidth="1"/>
  </cols>
  <sheetData>
    <row r="1" spans="1:5" ht="18.5" x14ac:dyDescent="0.35">
      <c r="A1" s="193" t="s">
        <v>4</v>
      </c>
      <c r="B1" s="194"/>
      <c r="C1" s="105"/>
    </row>
    <row r="2" spans="1:5" x14ac:dyDescent="0.35">
      <c r="A2" s="106" t="s">
        <v>5</v>
      </c>
      <c r="B2" s="107" t="str">
        <f ca="1">MID(CELL("filename",A1),FIND("]",CELL("filename",A1))+1,LEN(CELL("filename",A1))-FIND("]",CELL("filename",A1)))</f>
        <v>TC7</v>
      </c>
    </row>
    <row r="3" spans="1:5" x14ac:dyDescent="0.35">
      <c r="A3" s="104" t="s">
        <v>19</v>
      </c>
      <c r="B3" s="112">
        <f ca="1">VLOOKUP(B2,Table1[#All],2,FALSE)</f>
        <v>0</v>
      </c>
    </row>
    <row r="4" spans="1:5" ht="29" x14ac:dyDescent="0.35">
      <c r="A4" s="113" t="s">
        <v>20</v>
      </c>
      <c r="B4" s="99" t="str">
        <f ca="1">VLOOKUP(B2,Table1[#All],4,FALSE)</f>
        <v>Not declined, Last Pmt, Update Checking, Confirm YES</v>
      </c>
    </row>
    <row r="5" spans="1:5" x14ac:dyDescent="0.35">
      <c r="A5" s="104" t="s">
        <v>6</v>
      </c>
      <c r="B5" s="93" t="str">
        <f ca="1">VLOOKUP(B2,Table1[#All],3,FALSE)</f>
        <v>Recurring Update Information - Checking</v>
      </c>
    </row>
    <row r="7" spans="1:5" ht="15.5" x14ac:dyDescent="0.35">
      <c r="A7" s="100" t="s">
        <v>7</v>
      </c>
      <c r="B7" s="101" t="s">
        <v>8</v>
      </c>
      <c r="C7" s="102" t="s">
        <v>9</v>
      </c>
      <c r="D7" s="102" t="s">
        <v>14</v>
      </c>
      <c r="E7" s="103" t="s">
        <v>10</v>
      </c>
    </row>
    <row r="8" spans="1:5" x14ac:dyDescent="0.35">
      <c r="A8" s="118">
        <v>1</v>
      </c>
      <c r="B8" s="114" t="s">
        <v>114</v>
      </c>
      <c r="C8" s="127" t="s">
        <v>240</v>
      </c>
      <c r="D8" s="128"/>
      <c r="E8" s="125" t="s">
        <v>11</v>
      </c>
    </row>
    <row r="9" spans="1:5" x14ac:dyDescent="0.35">
      <c r="A9" s="118">
        <v>2</v>
      </c>
      <c r="B9" s="114" t="s">
        <v>115</v>
      </c>
      <c r="C9" s="109" t="str">
        <f>VLOOKUP(Table257552526911122021[[#This Row],[PEG]],Table1016[#All],2,FALSE)</f>
        <v>To get started, tell me your Account Number</v>
      </c>
      <c r="D9" s="141" t="s">
        <v>245</v>
      </c>
      <c r="E9" s="125" t="str">
        <f>VLOOKUP(Table257552526911122021[[#This Row],[PEG]],Table1016[#All],3,FALSE)</f>
        <v>Prompt</v>
      </c>
    </row>
    <row r="10" spans="1:5" x14ac:dyDescent="0.35">
      <c r="A10" s="118">
        <v>3</v>
      </c>
      <c r="B10" s="114" t="s">
        <v>124</v>
      </c>
      <c r="C10" s="109" t="s">
        <v>394</v>
      </c>
      <c r="D10" s="151"/>
      <c r="E10" s="125" t="e">
        <f>VLOOKUP(Table257552526911122021[[#This Row],[PEG]],Table1016[#All],3,FALSE)</f>
        <v>#N/A</v>
      </c>
    </row>
    <row r="11" spans="1:5" ht="174" x14ac:dyDescent="0.35">
      <c r="A11" s="118">
        <v>4</v>
      </c>
      <c r="B11" s="114" t="s">
        <v>12</v>
      </c>
      <c r="C11" s="109" t="str">
        <f>VLOOKUP(Table257552526911122021[[#This Row],[PEG]],Table1016[#All],2,FALSE)</f>
        <v>SAP HANA – SAP01_GetMember
inputs:
idnumber = iIdnumber	T
idtype 	= iIdtype
outputs:
~ Billing Reference
~ Enrollment Details
~ Billing Details
~ Last Payment
~ Recurring Payment Method
~ Stored Payment Method</v>
      </c>
      <c r="D11" s="152" t="s">
        <v>371</v>
      </c>
      <c r="E11" s="125" t="str">
        <f>VLOOKUP(Table257552526911122021[[#This Row],[PEG]],Table1016[#All],3,FALSE)</f>
        <v>DB</v>
      </c>
    </row>
    <row r="12" spans="1:5" x14ac:dyDescent="0.35">
      <c r="A12" s="118">
        <v>5</v>
      </c>
      <c r="B12" s="114" t="s">
        <v>115</v>
      </c>
      <c r="C12" s="109" t="str">
        <f>VLOOKUP(Table257552526911122021[[#This Row],[PEG]],Table1016[#All],2,FALSE)</f>
        <v>Thanks, I found your account!</v>
      </c>
      <c r="D12" s="141" t="s">
        <v>248</v>
      </c>
      <c r="E12" s="125" t="str">
        <f>VLOOKUP(Table257552526911122021[[#This Row],[PEG]],Table1016[#All],3,FALSE)</f>
        <v>Prompt</v>
      </c>
    </row>
    <row r="13" spans="1:5" ht="29" x14ac:dyDescent="0.35">
      <c r="A13" s="118">
        <v>6</v>
      </c>
      <c r="B13" s="114" t="s">
        <v>115</v>
      </c>
      <c r="C13" s="109" t="str">
        <f>VLOOKUP(Table257552526911122021[[#This Row],[PEG]],Table1016[#All],2,FALSE)</f>
        <v>You are already setup for recurring payments in the amount of &lt;SAP01_CurrentDue&gt; to be deducted on the last day of each month.</v>
      </c>
      <c r="D13" s="142" t="s">
        <v>266</v>
      </c>
      <c r="E13" s="125" t="str">
        <f>VLOOKUP(Table257552526911122021[[#This Row],[PEG]],Table1016[#All],3,FALSE)</f>
        <v>Prompt</v>
      </c>
    </row>
    <row r="14" spans="1:5" x14ac:dyDescent="0.35">
      <c r="A14" s="118">
        <v>7</v>
      </c>
      <c r="B14" s="114" t="s">
        <v>115</v>
      </c>
      <c r="C14" s="130" t="str">
        <f>VLOOKUP(Table257552526911122021[[#This Row],[PEG]],Table1016[#All],2,FALSE)</f>
        <v>Your last payment was posted on &lt;SAP01_ivrLastPaymentDate&gt;.</v>
      </c>
      <c r="D14" s="143" t="s">
        <v>271</v>
      </c>
      <c r="E14" s="125" t="str">
        <f>VLOOKUP(Table257552526911122021[[#This Row],[PEG]],Table1016[#All],3,FALSE)</f>
        <v>Prompt</v>
      </c>
    </row>
    <row r="15" spans="1:5" x14ac:dyDescent="0.35">
      <c r="A15" s="118">
        <v>8</v>
      </c>
      <c r="B15" s="114" t="s">
        <v>115</v>
      </c>
      <c r="C15" s="109" t="str">
        <f>VLOOKUP(Table257552526911122021[[#This Row],[PEG]],Table1016[#All],2,FALSE)</f>
        <v>Do you need to update your payment information?</v>
      </c>
      <c r="D15" s="143" t="s">
        <v>272</v>
      </c>
      <c r="E15" s="125" t="str">
        <f>VLOOKUP(Table257552526911122021[[#This Row],[PEG]],Table1016[#All],3,FALSE)</f>
        <v>Prompt</v>
      </c>
    </row>
    <row r="16" spans="1:5" x14ac:dyDescent="0.35">
      <c r="A16" s="118">
        <v>9</v>
      </c>
      <c r="B16" s="114" t="s">
        <v>124</v>
      </c>
      <c r="C16" s="127" t="s">
        <v>402</v>
      </c>
      <c r="D16" s="143"/>
      <c r="E16" s="125" t="e">
        <f>VLOOKUP(Table257552526911122021[[#This Row],[PEG]],Table1016[#All],3,FALSE)</f>
        <v>#N/A</v>
      </c>
    </row>
    <row r="17" spans="1:5" x14ac:dyDescent="0.35">
      <c r="A17" s="118">
        <v>10</v>
      </c>
      <c r="B17" s="114" t="s">
        <v>115</v>
      </c>
      <c r="C17" s="109" t="str">
        <f>VLOOKUP(Table257552526911122021[[#This Row],[PEG]],Table1016[#All],2,FALSE)</f>
        <v>Ok, are you using Credit, Debit, Checking or Savings?</v>
      </c>
      <c r="D17" s="143" t="s">
        <v>286</v>
      </c>
      <c r="E17" s="125" t="str">
        <f>VLOOKUP(Table257552526911122021[[#This Row],[PEG]],Table1016[#All],3,FALSE)</f>
        <v>Prompt</v>
      </c>
    </row>
    <row r="18" spans="1:5" x14ac:dyDescent="0.35">
      <c r="A18" s="118">
        <v>11</v>
      </c>
      <c r="B18" s="114" t="s">
        <v>124</v>
      </c>
      <c r="C18" s="109" t="s">
        <v>395</v>
      </c>
      <c r="D18" s="143"/>
      <c r="E18" s="125" t="e">
        <f>VLOOKUP(Table257552526911122021[[#This Row],[PEG]],Table1016[#All],3,FALSE)</f>
        <v>#N/A</v>
      </c>
    </row>
    <row r="19" spans="1:5" x14ac:dyDescent="0.35">
      <c r="A19" s="118">
        <v>12</v>
      </c>
      <c r="B19" s="114" t="s">
        <v>115</v>
      </c>
      <c r="C19" s="109" t="str">
        <f>VLOOKUP(Table257552526911122021[[#This Row],[PEG]],Table1016[#All],2,FALSE)</f>
        <v>Tell me your 9-digit routing number.</v>
      </c>
      <c r="D19" s="143" t="s">
        <v>289</v>
      </c>
      <c r="E19" s="125" t="str">
        <f>VLOOKUP(Table257552526911122021[[#This Row],[PEG]],Table1016[#All],3,FALSE)</f>
        <v>Prompt</v>
      </c>
    </row>
    <row r="20" spans="1:5" x14ac:dyDescent="0.35">
      <c r="A20" s="118">
        <v>13</v>
      </c>
      <c r="B20" s="114" t="s">
        <v>124</v>
      </c>
      <c r="C20" s="109" t="s">
        <v>396</v>
      </c>
      <c r="D20" s="143"/>
      <c r="E20" s="125" t="e">
        <f>VLOOKUP(Table257552526911122021[[#This Row],[PEG]],Table1016[#All],3,FALSE)</f>
        <v>#N/A</v>
      </c>
    </row>
    <row r="21" spans="1:5" s="97" customFormat="1" x14ac:dyDescent="0.35">
      <c r="A21" s="118">
        <v>14</v>
      </c>
      <c r="B21" s="114" t="s">
        <v>115</v>
      </c>
      <c r="C21" s="109" t="str">
        <f>VLOOKUP(Table257552526911122021[[#This Row],[PEG]],Table1016[#All],2,FALSE)</f>
        <v>Is &lt;ivrBankKey&gt; the right number?</v>
      </c>
      <c r="D21" s="143" t="s">
        <v>292</v>
      </c>
      <c r="E21" s="125" t="str">
        <f>VLOOKUP(Table257552526911122021[[#This Row],[PEG]],Table1016[#All],3,FALSE)</f>
        <v>Prompt</v>
      </c>
    </row>
    <row r="22" spans="1:5" s="97" customFormat="1" x14ac:dyDescent="0.35">
      <c r="A22" s="118">
        <v>15</v>
      </c>
      <c r="B22" s="114" t="s">
        <v>124</v>
      </c>
      <c r="C22" s="109" t="s">
        <v>415</v>
      </c>
      <c r="D22" s="143"/>
      <c r="E22" s="125" t="e">
        <f>VLOOKUP(Table257552526911122021[[#This Row],[PEG]],Table1016[#All],3,FALSE)</f>
        <v>#N/A</v>
      </c>
    </row>
    <row r="23" spans="1:5" s="97" customFormat="1" x14ac:dyDescent="0.35">
      <c r="A23" s="118">
        <v>16</v>
      </c>
      <c r="B23" s="114" t="s">
        <v>115</v>
      </c>
      <c r="C23" s="109" t="str">
        <f>VLOOKUP(Table257552526911122021[[#This Row],[PEG]],Table1016[#All],2,FALSE)</f>
        <v>Tell me your 9-digit routing number.</v>
      </c>
      <c r="D23" s="143" t="s">
        <v>289</v>
      </c>
      <c r="E23" s="125" t="str">
        <f>VLOOKUP(Table257552526911122021[[#This Row],[PEG]],Table1016[#All],3,FALSE)</f>
        <v>Prompt</v>
      </c>
    </row>
    <row r="24" spans="1:5" s="97" customFormat="1" x14ac:dyDescent="0.35">
      <c r="A24" s="118">
        <v>17</v>
      </c>
      <c r="B24" s="114" t="s">
        <v>124</v>
      </c>
      <c r="C24" s="109" t="s">
        <v>396</v>
      </c>
      <c r="D24" s="143"/>
      <c r="E24" s="125" t="e">
        <f>VLOOKUP(Table257552526911122021[[#This Row],[PEG]],Table1016[#All],3,FALSE)</f>
        <v>#N/A</v>
      </c>
    </row>
    <row r="25" spans="1:5" x14ac:dyDescent="0.35">
      <c r="A25" s="118">
        <v>18</v>
      </c>
      <c r="B25" s="114" t="s">
        <v>115</v>
      </c>
      <c r="C25" s="109" t="str">
        <f>VLOOKUP(Table257552526911122021[[#This Row],[PEG]],Table1016[#All],2,FALSE)</f>
        <v>Is &lt;ivrBankKey&gt; the right number?</v>
      </c>
      <c r="D25" s="143" t="s">
        <v>292</v>
      </c>
      <c r="E25" s="125" t="str">
        <f>VLOOKUP(Table257552526911122021[[#This Row],[PEG]],Table1016[#All],3,FALSE)</f>
        <v>Prompt</v>
      </c>
    </row>
    <row r="26" spans="1:5" x14ac:dyDescent="0.35">
      <c r="A26" s="118">
        <v>19</v>
      </c>
      <c r="B26" s="114" t="s">
        <v>124</v>
      </c>
      <c r="C26" s="109" t="s">
        <v>402</v>
      </c>
      <c r="D26" s="143"/>
      <c r="E26" s="125" t="e">
        <f>VLOOKUP(Table257552526911122021[[#This Row],[PEG]],Table1016[#All],3,FALSE)</f>
        <v>#N/A</v>
      </c>
    </row>
    <row r="27" spans="1:5" x14ac:dyDescent="0.35">
      <c r="A27" s="118">
        <v>20</v>
      </c>
      <c r="B27" s="114" t="s">
        <v>115</v>
      </c>
      <c r="C27" s="109" t="str">
        <f>VLOOKUP(Table257552526911122021[[#This Row],[PEG]],Table1016[#All],2,FALSE)</f>
        <v>Now what is your checking account number.</v>
      </c>
      <c r="D27" s="143" t="s">
        <v>295</v>
      </c>
      <c r="E27" s="125" t="str">
        <f>VLOOKUP(Table257552526911122021[[#This Row],[PEG]],Table1016[#All],3,FALSE)</f>
        <v>Prompt</v>
      </c>
    </row>
    <row r="28" spans="1:5" x14ac:dyDescent="0.35">
      <c r="A28" s="118">
        <v>21</v>
      </c>
      <c r="B28" s="114" t="s">
        <v>124</v>
      </c>
      <c r="C28" s="109" t="s">
        <v>385</v>
      </c>
      <c r="D28" s="143"/>
      <c r="E28" s="125" t="e">
        <f>VLOOKUP(Table257552526911122021[[#This Row],[PEG]],Table1016[#All],3,FALSE)</f>
        <v>#N/A</v>
      </c>
    </row>
    <row r="29" spans="1:5" x14ac:dyDescent="0.35">
      <c r="A29" s="118">
        <v>22</v>
      </c>
      <c r="B29" s="114" t="s">
        <v>115</v>
      </c>
      <c r="C29" s="130" t="str">
        <f>VLOOKUP(Table257552526911122021[[#This Row],[PEG]],Table1016[#All],2,FALSE)</f>
        <v>Is &lt;ivrBankAcct&gt; the right number?</v>
      </c>
      <c r="D29" s="143" t="s">
        <v>301</v>
      </c>
      <c r="E29" s="125">
        <f>VLOOKUP(Table257552526911122021[[#This Row],[PEG]],Table1016[#All],3,FALSE)</f>
        <v>0</v>
      </c>
    </row>
    <row r="30" spans="1:5" x14ac:dyDescent="0.35">
      <c r="A30" s="118">
        <v>23</v>
      </c>
      <c r="B30" s="114" t="s">
        <v>124</v>
      </c>
      <c r="C30" s="109" t="s">
        <v>402</v>
      </c>
      <c r="D30" s="143"/>
      <c r="E30" s="125" t="e">
        <f>VLOOKUP(Table257552526911122021[[#This Row],[PEG]],Table1016[#All],3,FALSE)</f>
        <v>#N/A</v>
      </c>
    </row>
    <row r="31" spans="1:5" x14ac:dyDescent="0.35">
      <c r="A31" s="118">
        <v>24</v>
      </c>
      <c r="B31" s="114" t="s">
        <v>115</v>
      </c>
      <c r="C31" s="130" t="str">
        <f>VLOOKUP(Table257552526911122021[[#This Row],[PEG]],Table1016[#All],2,FALSE)</f>
        <v>To confirm, you want to update your payment method using the account ending in &lt;last 4 digits of ivrBankAcct&gt; Is that right?</v>
      </c>
      <c r="D31" s="143" t="s">
        <v>313</v>
      </c>
      <c r="E31" s="125" t="str">
        <f>VLOOKUP(Table257552526911122021[[#This Row],[PEG]],Table1016[#All],3,FALSE)</f>
        <v>Prompt</v>
      </c>
    </row>
    <row r="32" spans="1:5" x14ac:dyDescent="0.35">
      <c r="A32" s="118">
        <v>25</v>
      </c>
      <c r="B32" s="114" t="s">
        <v>124</v>
      </c>
      <c r="C32" s="109" t="s">
        <v>402</v>
      </c>
      <c r="D32" s="143"/>
      <c r="E32" s="125" t="e">
        <f>VLOOKUP(Table257552526911122021[[#This Row],[PEG]],Table1016[#All],3,FALSE)</f>
        <v>#N/A</v>
      </c>
    </row>
    <row r="33" spans="1:5" s="97" customFormat="1" ht="203" x14ac:dyDescent="0.35">
      <c r="A33" s="118">
        <v>26</v>
      </c>
      <c r="B33" s="114" t="s">
        <v>12</v>
      </c>
      <c r="C33" s="130" t="str">
        <f>VLOOKUP(Table257552526911122021[[#This Row],[PEG]],Table1016[#All],2,FALSE)</f>
        <v>SAP HANA - SAP04_CreateEFTPaymentMethod
inputs:
Businesspartner	= SAP01_Partner
Insobject		= SAP01_Insobject
BankKey		= ivrBankKey
BankAcct		= ivrBankAcct
Accountholder	= SAP01_NameFirst + ' ' + SAP01_NameLast 
BankAccountType	= ivrBankAccountType
RecurringBank	= "X"
StoredBank	= "X"
DeleteBank	= " "
outputs:
SAP04_ConfirmationNum</v>
      </c>
      <c r="D33" s="143" t="s">
        <v>375</v>
      </c>
      <c r="E33" s="125" t="str">
        <f>VLOOKUP(Table257552526911122021[[#This Row],[PEG]],Table1016[#All],3,FALSE)</f>
        <v>DB</v>
      </c>
    </row>
    <row r="34" spans="1:5" ht="43.5" x14ac:dyDescent="0.35">
      <c r="A34" s="118">
        <v>27</v>
      </c>
      <c r="B34" s="114" t="s">
        <v>115</v>
      </c>
      <c r="C34" s="130" t="str">
        <f>VLOOKUP(Table257552526911122021[[#This Row],[PEG]],Table1016[#All],2,FALSE)</f>
        <v>Your payment method has been updated.
Your confirmation number is &lt;SAP04_ConfirmationNum&gt;.
Again, that confirmation number is &lt;SAP04_ConfirmationNum&gt;.</v>
      </c>
      <c r="D34" s="153" t="s">
        <v>316</v>
      </c>
      <c r="E34" s="125" t="str">
        <f>VLOOKUP(Table257552526911122021[[#This Row],[PEG]],Table1016[#All],3,FALSE)</f>
        <v>Prompt</v>
      </c>
    </row>
    <row r="35" spans="1:5" x14ac:dyDescent="0.35">
      <c r="A35" s="118">
        <v>28</v>
      </c>
      <c r="B35" s="147" t="s">
        <v>13</v>
      </c>
      <c r="C35" s="148" t="s">
        <v>13</v>
      </c>
      <c r="D35" s="149"/>
      <c r="E35" s="150"/>
    </row>
    <row r="36" spans="1:5" x14ac:dyDescent="0.35">
      <c r="C36" s="26"/>
    </row>
    <row r="37" spans="1:5" x14ac:dyDescent="0.35">
      <c r="C37" s="26"/>
    </row>
    <row r="38" spans="1:5" x14ac:dyDescent="0.35">
      <c r="C38" s="26"/>
    </row>
    <row r="39" spans="1:5" x14ac:dyDescent="0.35">
      <c r="C39" s="26"/>
    </row>
    <row r="40" spans="1:5" x14ac:dyDescent="0.35">
      <c r="C40" s="26"/>
    </row>
    <row r="41" spans="1:5" x14ac:dyDescent="0.35">
      <c r="C41" s="26"/>
    </row>
    <row r="42" spans="1:5" x14ac:dyDescent="0.35">
      <c r="C42" s="26"/>
    </row>
    <row r="43" spans="1:5" x14ac:dyDescent="0.35">
      <c r="C43" s="26"/>
    </row>
    <row r="44" spans="1:5" x14ac:dyDescent="0.35">
      <c r="C44" s="26"/>
    </row>
    <row r="45" spans="1:5" x14ac:dyDescent="0.35">
      <c r="C45" s="26"/>
    </row>
    <row r="46" spans="1:5" x14ac:dyDescent="0.35">
      <c r="C46" s="26"/>
    </row>
    <row r="47" spans="1:5" x14ac:dyDescent="0.35">
      <c r="C47" s="26"/>
    </row>
    <row r="48" spans="1:5" x14ac:dyDescent="0.35">
      <c r="C48" s="26"/>
    </row>
    <row r="49" spans="3:3" x14ac:dyDescent="0.35">
      <c r="C49" s="27"/>
    </row>
    <row r="50" spans="3:3" x14ac:dyDescent="0.35">
      <c r="C50" s="27"/>
    </row>
    <row r="51" spans="3:3" x14ac:dyDescent="0.35">
      <c r="C51" s="27"/>
    </row>
  </sheetData>
  <mergeCells count="1">
    <mergeCell ref="A1:B1"/>
  </mergeCells>
  <conditionalFormatting sqref="C35:C9990 C9:C13">
    <cfRule type="expression" dxfId="5849" priority="60">
      <formula>$B9="Dial"</formula>
    </cfRule>
    <cfRule type="expression" dxfId="5848" priority="62">
      <formula>$B9="HANGUP"</formula>
    </cfRule>
  </conditionalFormatting>
  <conditionalFormatting sqref="C16">
    <cfRule type="expression" dxfId="5847" priority="29">
      <formula>$B16="Dial"</formula>
    </cfRule>
    <cfRule type="expression" dxfId="5846" priority="30">
      <formula>$B16="HANGUP"</formula>
    </cfRule>
  </conditionalFormatting>
  <conditionalFormatting sqref="B8:B22 B25:B35">
    <cfRule type="containsText" dxfId="5845" priority="33" operator="containsText" text="Hear">
      <formula>NOT(ISERROR(SEARCH("Hear",B8)))</formula>
    </cfRule>
  </conditionalFormatting>
  <conditionalFormatting sqref="C15 C30 C17:C20 C32 C25:C28">
    <cfRule type="expression" dxfId="5844" priority="34">
      <formula>$B15="Dial"</formula>
    </cfRule>
    <cfRule type="expression" dxfId="5843" priority="36">
      <formula>$B15="HANGUP"</formula>
    </cfRule>
  </conditionalFormatting>
  <conditionalFormatting sqref="C15 C30 C17:C20 C32 C9:C13 C25:C28">
    <cfRule type="expression" dxfId="5842" priority="35">
      <formula>$B9="Speak"</formula>
    </cfRule>
  </conditionalFormatting>
  <conditionalFormatting sqref="C14 C29">
    <cfRule type="expression" dxfId="5841" priority="31">
      <formula>$B14="Dial"</formula>
    </cfRule>
    <cfRule type="expression" dxfId="5840" priority="32">
      <formula>$B14="HANGUP"</formula>
    </cfRule>
  </conditionalFormatting>
  <conditionalFormatting sqref="C8">
    <cfRule type="expression" dxfId="5839" priority="27">
      <formula>$B8="Dial"</formula>
    </cfRule>
    <cfRule type="expression" dxfId="5838" priority="28">
      <formula>$B8="HANGUP"</formula>
    </cfRule>
  </conditionalFormatting>
  <conditionalFormatting sqref="C31">
    <cfRule type="expression" dxfId="5837" priority="25">
      <formula>$B31="Dial"</formula>
    </cfRule>
    <cfRule type="expression" dxfId="5836" priority="26">
      <formula>$B31="HANGUP"</formula>
    </cfRule>
  </conditionalFormatting>
  <conditionalFormatting sqref="C34">
    <cfRule type="expression" dxfId="5835" priority="23">
      <formula>$B34="Dial"</formula>
    </cfRule>
    <cfRule type="expression" dxfId="5834" priority="24">
      <formula>$B34="HANGUP"</formula>
    </cfRule>
  </conditionalFormatting>
  <conditionalFormatting sqref="C33">
    <cfRule type="expression" dxfId="5833" priority="12">
      <formula>$B33="Dial"</formula>
    </cfRule>
    <cfRule type="expression" dxfId="5832" priority="13">
      <formula>$B33="HANGUP"</formula>
    </cfRule>
  </conditionalFormatting>
  <conditionalFormatting sqref="C21:C22">
    <cfRule type="expression" dxfId="5831" priority="7">
      <formula>$B21="Dial"</formula>
    </cfRule>
    <cfRule type="expression" dxfId="5830" priority="9">
      <formula>$B21="HANGUP"</formula>
    </cfRule>
  </conditionalFormatting>
  <conditionalFormatting sqref="C21:C22">
    <cfRule type="expression" dxfId="5829" priority="8">
      <formula>$B21="Speak"</formula>
    </cfRule>
  </conditionalFormatting>
  <conditionalFormatting sqref="B23:B24">
    <cfRule type="containsText" dxfId="5828" priority="1" operator="containsText" text="Hear">
      <formula>NOT(ISERROR(SEARCH("Hear",B23)))</formula>
    </cfRule>
  </conditionalFormatting>
  <conditionalFormatting sqref="C23:C24">
    <cfRule type="expression" dxfId="5827" priority="2">
      <formula>$B23="Dial"</formula>
    </cfRule>
    <cfRule type="expression" dxfId="5826" priority="4">
      <formula>$B23="HANGUP"</formula>
    </cfRule>
  </conditionalFormatting>
  <conditionalFormatting sqref="C23:C24">
    <cfRule type="expression" dxfId="5825" priority="3">
      <formula>$B23="Speak"</formula>
    </cfRule>
  </conditionalFormatting>
  <hyperlinks>
    <hyperlink ref="A1" location="'Test Case Overview'!A1" display="Return to Test Case Overview" xr:uid="{00000000-0004-0000-0700-000000000000}"/>
  </hyperlinks>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containsText" priority="736" operator="containsText" text="WEB SERVICE" id="{2C760CFD-6CE4-4476-96EA-75518491746B}">
            <xm:f>NOT(ISERROR(SEARCH("WEB SERVICE",'TC1'!#REF!)))</xm:f>
            <x14:dxf>
              <font>
                <color rgb="FF9C0006"/>
              </font>
              <fill>
                <patternFill>
                  <bgColor rgb="FFFFC7CE"/>
                </patternFill>
              </fill>
            </x14:dxf>
          </x14:cfRule>
          <x14:cfRule type="containsText" priority="737" operator="containsText" text="DB" id="{05F4FF0C-77FC-45AC-A5DA-4C3E50FFB614}">
            <xm:f>NOT(ISERROR(SEARCH("DB",'TC1'!#REF!)))</xm:f>
            <x14:dxf>
              <font>
                <color rgb="FF006100"/>
              </font>
              <fill>
                <patternFill>
                  <bgColor rgb="FFC6EFCE"/>
                </patternFill>
              </fill>
            </x14:dxf>
          </x14:cfRule>
          <xm:sqref>E14:E20 E25:E33</xm:sqref>
        </x14:conditionalFormatting>
        <x14:conditionalFormatting xmlns:xm="http://schemas.microsoft.com/office/excel/2006/main">
          <x14:cfRule type="containsText" priority="14" operator="containsText" text="WEB SERVICE" id="{DE011135-CDCD-483A-BF60-726A7C1CA669}">
            <xm:f>NOT(ISERROR(SEARCH("WEB SERVICE",'TC1'!#REF!)))</xm:f>
            <x14:dxf>
              <font>
                <color rgb="FF9C0006"/>
              </font>
              <fill>
                <patternFill>
                  <bgColor rgb="FFFFC7CE"/>
                </patternFill>
              </fill>
            </x14:dxf>
          </x14:cfRule>
          <x14:cfRule type="containsText" priority="15" operator="containsText" text="DB" id="{6A62E9DC-D87B-4E04-97FE-C3FC854AAF6B}">
            <xm:f>NOT(ISERROR(SEARCH("DB",'TC1'!#REF!)))</xm:f>
            <x14:dxf>
              <font>
                <color rgb="FF006100"/>
              </font>
              <fill>
                <patternFill>
                  <bgColor rgb="FFC6EFCE"/>
                </patternFill>
              </fill>
            </x14:dxf>
          </x14:cfRule>
          <xm:sqref>E34</xm:sqref>
        </x14:conditionalFormatting>
        <x14:conditionalFormatting xmlns:xm="http://schemas.microsoft.com/office/excel/2006/main">
          <x14:cfRule type="containsText" priority="3588" operator="containsText" text="WEB SERVICE" id="{2C760CFD-6CE4-4476-96EA-75518491746B}">
            <xm:f>NOT(ISERROR(SEARCH("WEB SERVICE",'TC1'!E9)))</xm:f>
            <x14:dxf>
              <font>
                <color rgb="FF9C0006"/>
              </font>
              <fill>
                <patternFill>
                  <bgColor rgb="FFFFC7CE"/>
                </patternFill>
              </fill>
            </x14:dxf>
          </x14:cfRule>
          <x14:cfRule type="containsText" priority="3589" operator="containsText" text="DB" id="{05F4FF0C-77FC-45AC-A5DA-4C3E50FFB614}">
            <xm:f>NOT(ISERROR(SEARCH("DB",'TC1'!E9)))</xm:f>
            <x14:dxf>
              <font>
                <color rgb="FF006100"/>
              </font>
              <fill>
                <patternFill>
                  <bgColor rgb="FFC6EFCE"/>
                </patternFill>
              </fill>
            </x14:dxf>
          </x14:cfRule>
          <xm:sqref>E9:E12</xm:sqref>
        </x14:conditionalFormatting>
        <x14:conditionalFormatting xmlns:xm="http://schemas.microsoft.com/office/excel/2006/main">
          <x14:cfRule type="containsText" priority="6160" operator="containsText" text="WEB SERVICE" id="{2C760CFD-6CE4-4476-96EA-75518491746B}">
            <xm:f>NOT(ISERROR(SEARCH("WEB SERVICE",'TC1'!E15)))</xm:f>
            <x14:dxf>
              <font>
                <color rgb="FF9C0006"/>
              </font>
              <fill>
                <patternFill>
                  <bgColor rgb="FFFFC7CE"/>
                </patternFill>
              </fill>
            </x14:dxf>
          </x14:cfRule>
          <x14:cfRule type="containsText" priority="6161" operator="containsText" text="DB" id="{05F4FF0C-77FC-45AC-A5DA-4C3E50FFB614}">
            <xm:f>NOT(ISERROR(SEARCH("DB",'TC1'!E15)))</xm:f>
            <x14:dxf>
              <font>
                <color rgb="FF006100"/>
              </font>
              <fill>
                <patternFill>
                  <bgColor rgb="FFC6EFCE"/>
                </patternFill>
              </fill>
            </x14:dxf>
          </x14:cfRule>
          <xm:sqref>E13</xm:sqref>
        </x14:conditionalFormatting>
        <x14:conditionalFormatting xmlns:xm="http://schemas.microsoft.com/office/excel/2006/main">
          <x14:cfRule type="containsText" priority="10" operator="containsText" text="WEB SERVICE" id="{A634282A-A55F-4EB7-828E-45EF21F71FB2}">
            <xm:f>NOT(ISERROR(SEARCH("WEB SERVICE",'TC1'!#REF!)))</xm:f>
            <x14:dxf>
              <font>
                <color rgb="FF9C0006"/>
              </font>
              <fill>
                <patternFill>
                  <bgColor rgb="FFFFC7CE"/>
                </patternFill>
              </fill>
            </x14:dxf>
          </x14:cfRule>
          <x14:cfRule type="containsText" priority="11" operator="containsText" text="DB" id="{FEB82AFD-52FB-4F4C-968A-AF146E5AEE51}">
            <xm:f>NOT(ISERROR(SEARCH("DB",'TC1'!#REF!)))</xm:f>
            <x14:dxf>
              <font>
                <color rgb="FF006100"/>
              </font>
              <fill>
                <patternFill>
                  <bgColor rgb="FFC6EFCE"/>
                </patternFill>
              </fill>
            </x14:dxf>
          </x14:cfRule>
          <xm:sqref>E21:E22</xm:sqref>
        </x14:conditionalFormatting>
        <x14:conditionalFormatting xmlns:xm="http://schemas.microsoft.com/office/excel/2006/main">
          <x14:cfRule type="containsText" priority="5" operator="containsText" text="WEB SERVICE" id="{B35FEFE2-AA1E-4D45-8FA7-89C6D62A818A}">
            <xm:f>NOT(ISERROR(SEARCH("WEB SERVICE",'TC1'!#REF!)))</xm:f>
            <x14:dxf>
              <font>
                <color rgb="FF9C0006"/>
              </font>
              <fill>
                <patternFill>
                  <bgColor rgb="FFFFC7CE"/>
                </patternFill>
              </fill>
            </x14:dxf>
          </x14:cfRule>
          <x14:cfRule type="containsText" priority="6" operator="containsText" text="DB" id="{160575D6-2751-4140-A510-631FFB50593F}">
            <xm:f>NOT(ISERROR(SEARCH("DB",'TC1'!#REF!)))</xm:f>
            <x14:dxf>
              <font>
                <color rgb="FF006100"/>
              </font>
              <fill>
                <patternFill>
                  <bgColor rgb="FFC6EFCE"/>
                </patternFill>
              </fill>
            </x14:dxf>
          </x14:cfRule>
          <xm:sqref>E23:E24</xm:sqref>
        </x14:conditionalFormatting>
      </x14:conditionalFormattings>
    </ext>
  </extLst>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F00-000000000000}">
  <sheetPr codeName="Sheet81"/>
  <dimension ref="A1:E58"/>
  <sheetViews>
    <sheetView zoomScaleNormal="100" workbookViewId="0">
      <selection activeCell="A2" sqref="A2"/>
    </sheetView>
  </sheetViews>
  <sheetFormatPr defaultRowHeight="14.5" x14ac:dyDescent="0.35"/>
  <cols>
    <col min="1" max="1" width="14.453125" style="42" bestFit="1" customWidth="1"/>
    <col min="2" max="2" width="42.6328125" style="42" customWidth="1"/>
    <col min="3" max="3" width="106.1796875" style="22" customWidth="1"/>
    <col min="4" max="4" width="21.81640625" style="33" bestFit="1" customWidth="1"/>
    <col min="5" max="5" width="20.6328125" style="42" customWidth="1"/>
  </cols>
  <sheetData>
    <row r="1" spans="1:5" ht="18.5" x14ac:dyDescent="0.35">
      <c r="A1" s="192" t="s">
        <v>4</v>
      </c>
      <c r="B1" s="192"/>
      <c r="C1" s="19"/>
    </row>
    <row r="2" spans="1:5" x14ac:dyDescent="0.35">
      <c r="A2" s="20" t="s">
        <v>5</v>
      </c>
      <c r="B2" s="21" t="str">
        <f ca="1">MID(CELL("filename",A1),FIND("]",CELL("filename",A1))+1,LEN(CELL("filename",A1))-FIND("]",CELL("filename",A1)))</f>
        <v>TC79</v>
      </c>
    </row>
    <row r="3" spans="1:5" x14ac:dyDescent="0.35">
      <c r="A3" s="23" t="s">
        <v>19</v>
      </c>
      <c r="B3" s="24">
        <f ca="1">VLOOKUP(B2,Table53[#All],2,FALSE)</f>
        <v>0</v>
      </c>
    </row>
    <row r="4" spans="1:5" ht="29" x14ac:dyDescent="0.35">
      <c r="A4" s="39" t="s">
        <v>20</v>
      </c>
      <c r="B4" s="38">
        <f ca="1">VLOOKUP(B2,Table53[#All],4,FALSE)</f>
        <v>0</v>
      </c>
    </row>
    <row r="5" spans="1:5" x14ac:dyDescent="0.35">
      <c r="A5" s="23" t="s">
        <v>6</v>
      </c>
      <c r="B5" s="77">
        <f ca="1">VLOOKUP(B2,Table53[#All],3,FALSE)</f>
        <v>0</v>
      </c>
    </row>
    <row r="7" spans="1:5" ht="15.5" x14ac:dyDescent="0.35">
      <c r="A7" s="100" t="s">
        <v>7</v>
      </c>
      <c r="B7" s="101" t="s">
        <v>8</v>
      </c>
      <c r="C7" s="102" t="s">
        <v>9</v>
      </c>
      <c r="D7" s="102" t="s">
        <v>14</v>
      </c>
      <c r="E7" s="103" t="s">
        <v>10</v>
      </c>
    </row>
    <row r="8" spans="1:5" s="97" customFormat="1" x14ac:dyDescent="0.35">
      <c r="A8" s="118">
        <v>1</v>
      </c>
      <c r="B8" s="114" t="s">
        <v>114</v>
      </c>
      <c r="C8" s="109" t="s">
        <v>125</v>
      </c>
      <c r="D8" s="128"/>
      <c r="E8" s="125" t="s">
        <v>11</v>
      </c>
    </row>
    <row r="9" spans="1:5" s="97" customFormat="1" x14ac:dyDescent="0.35">
      <c r="A9" s="118">
        <v>2</v>
      </c>
      <c r="B9" s="114" t="s">
        <v>12</v>
      </c>
      <c r="C9" s="109" t="e">
        <f>VLOOKUP(Table257552526910134344464748495657585963151817192245666771727374767778799394951001041091111131151171381391415[[#This Row],[PEG]],Table1016[#All],2,FALSE)</f>
        <v>#N/A</v>
      </c>
      <c r="D9" s="128"/>
      <c r="E9" s="125" t="e">
        <f>VLOOKUP(Table257552526910134344464748495657585963151817192245666771727374767778799394951001041091111131151171381391415[[#This Row],[PEG]],Table1016[#All],3,FALSE)</f>
        <v>#N/A</v>
      </c>
    </row>
    <row r="10" spans="1:5" s="97" customFormat="1" x14ac:dyDescent="0.35">
      <c r="A10" s="118">
        <v>3</v>
      </c>
      <c r="B10" s="114" t="s">
        <v>115</v>
      </c>
      <c r="C10" s="109" t="e">
        <f>VLOOKUP(Table257552526910134344464748495657585963151817192245666771727374767778799394951001041091111131151171381391415[[#This Row],[PEG]],Table1016[#All],2,FALSE)</f>
        <v>#N/A</v>
      </c>
      <c r="D10" s="128"/>
      <c r="E10" s="125" t="e">
        <f>VLOOKUP(Table257552526910134344464748495657585963151817192245666771727374767778799394951001041091111131151171381391415[[#This Row],[PEG]],Table1016[#All],3,FALSE)</f>
        <v>#N/A</v>
      </c>
    </row>
    <row r="11" spans="1:5" s="97" customFormat="1" x14ac:dyDescent="0.35">
      <c r="A11" s="118">
        <v>4</v>
      </c>
      <c r="B11" s="114" t="s">
        <v>115</v>
      </c>
      <c r="C11" s="109" t="e">
        <f>VLOOKUP(Table257552526910134344464748495657585963151817192245666771727374767778799394951001041091111131151171381391415[[#This Row],[PEG]],Table1016[#All],2,FALSE)</f>
        <v>#N/A</v>
      </c>
      <c r="D11" s="128"/>
      <c r="E11" s="125" t="e">
        <f>VLOOKUP(Table257552526910134344464748495657585963151817192245666771727374767778799394951001041091111131151171381391415[[#This Row],[PEG]],Table1016[#All],3,FALSE)</f>
        <v>#N/A</v>
      </c>
    </row>
    <row r="12" spans="1:5" s="97" customFormat="1" x14ac:dyDescent="0.35">
      <c r="A12" s="118">
        <v>5</v>
      </c>
      <c r="B12" s="114" t="s">
        <v>114</v>
      </c>
      <c r="C12" s="109" t="e">
        <f>VLOOKUP(Table257552526910134344464748495657585963151817192245666771727374767778799394951001041091111131151171381391415[[#This Row],[PEG]],Table1016[#All],2,FALSE)</f>
        <v>#N/A</v>
      </c>
      <c r="D12" s="128"/>
      <c r="E12" s="125" t="e">
        <f>VLOOKUP(Table257552526910134344464748495657585963151817192245666771727374767778799394951001041091111131151171381391415[[#This Row],[PEG]],Table1016[#All],3,FALSE)</f>
        <v>#N/A</v>
      </c>
    </row>
    <row r="13" spans="1:5" s="97" customFormat="1" x14ac:dyDescent="0.35">
      <c r="A13" s="118">
        <v>6</v>
      </c>
      <c r="B13" s="114" t="s">
        <v>115</v>
      </c>
      <c r="C13" s="109" t="e">
        <f>VLOOKUP(Table257552526910134344464748495657585963151817192245666771727374767778799394951001041091111131151171381391415[[#This Row],[PEG]],Table1016[#All],2,FALSE)</f>
        <v>#N/A</v>
      </c>
      <c r="D13" s="128"/>
      <c r="E13" s="125" t="e">
        <f>VLOOKUP(Table257552526910134344464748495657585963151817192245666771727374767778799394951001041091111131151171381391415[[#This Row],[PEG]],Table1016[#All],3,FALSE)</f>
        <v>#N/A</v>
      </c>
    </row>
    <row r="14" spans="1:5" s="97" customFormat="1" x14ac:dyDescent="0.35">
      <c r="A14" s="118">
        <v>7</v>
      </c>
      <c r="B14" s="114" t="s">
        <v>114</v>
      </c>
      <c r="C14" s="109" t="e">
        <f>VLOOKUP(Table257552526910134344464748495657585963151817192245666771727374767778799394951001041091111131151171381391415[[#This Row],[PEG]],Table1016[#All],2,FALSE)</f>
        <v>#N/A</v>
      </c>
      <c r="D14" s="128"/>
      <c r="E14" s="125" t="e">
        <f>VLOOKUP(Table257552526910134344464748495657585963151817192245666771727374767778799394951001041091111131151171381391415[[#This Row],[PEG]],Table1016[#All],3,FALSE)</f>
        <v>#N/A</v>
      </c>
    </row>
    <row r="15" spans="1:5" x14ac:dyDescent="0.35">
      <c r="A15" s="118">
        <v>8</v>
      </c>
      <c r="B15" s="114" t="s">
        <v>115</v>
      </c>
      <c r="C15" s="109" t="e">
        <f>VLOOKUP(Table257552526910134344464748495657585963151817192245666771727374767778799394951001041091111131151171381391415[[#This Row],[PEG]],Table1016[#All],2,FALSE)</f>
        <v>#N/A</v>
      </c>
      <c r="D15" s="116"/>
      <c r="E15" s="125" t="e">
        <f>VLOOKUP(Table257552526910134344464748495657585963151817192245666771727374767778799394951001041091111131151171381391415[[#This Row],[PEG]],Table1016[#All],3,FALSE)</f>
        <v>#N/A</v>
      </c>
    </row>
    <row r="16" spans="1:5" x14ac:dyDescent="0.35">
      <c r="A16" s="118">
        <v>9</v>
      </c>
      <c r="B16" s="114" t="s">
        <v>12</v>
      </c>
      <c r="C16" s="109" t="e">
        <f>VLOOKUP(Table257552526910134344464748495657585963151817192245666771727374767778799394951001041091111131151171381391415[[#This Row],[PEG]],Table1016[#All],2,FALSE)</f>
        <v>#N/A</v>
      </c>
      <c r="D16" s="116"/>
      <c r="E16" s="125" t="e">
        <f>VLOOKUP(Table257552526910134344464748495657585963151817192245666771727374767778799394951001041091111131151171381391415[[#This Row],[PEG]],Table1016[#All],3,FALSE)</f>
        <v>#N/A</v>
      </c>
    </row>
    <row r="17" spans="1:5" x14ac:dyDescent="0.35">
      <c r="A17" s="118">
        <v>10</v>
      </c>
      <c r="B17" s="114" t="s">
        <v>12</v>
      </c>
      <c r="C17" s="109" t="e">
        <f>VLOOKUP(Table257552526910134344464748495657585963151817192245666771727374767778799394951001041091111131151171381391415[[#This Row],[PEG]],Table1016[#All],2,FALSE)</f>
        <v>#N/A</v>
      </c>
      <c r="D17" s="117"/>
      <c r="E17" s="125" t="e">
        <f>VLOOKUP(Table257552526910134344464748495657585963151817192245666771727374767778799394951001041091111131151171381391415[[#This Row],[PEG]],Table1016[#All],3,FALSE)</f>
        <v>#N/A</v>
      </c>
    </row>
    <row r="18" spans="1:5" x14ac:dyDescent="0.35">
      <c r="A18" s="118">
        <v>11</v>
      </c>
      <c r="B18" s="114" t="s">
        <v>115</v>
      </c>
      <c r="C18" s="109" t="e">
        <f>VLOOKUP(Table257552526910134344464748495657585963151817192245666771727374767778799394951001041091111131151171381391415[[#This Row],[PEG]],Table1016[#All],2,FALSE)</f>
        <v>#N/A</v>
      </c>
      <c r="D18" s="117"/>
      <c r="E18" s="125" t="e">
        <f>VLOOKUP(Table257552526910134344464748495657585963151817192245666771727374767778799394951001041091111131151171381391415[[#This Row],[PEG]],Table1016[#All],3,FALSE)</f>
        <v>#N/A</v>
      </c>
    </row>
    <row r="19" spans="1:5" x14ac:dyDescent="0.35">
      <c r="A19" s="118">
        <v>12</v>
      </c>
      <c r="B19" s="114" t="s">
        <v>115</v>
      </c>
      <c r="C19" s="109" t="e">
        <f>VLOOKUP(Table257552526910134344464748495657585963151817192245666771727374767778799394951001041091111131151171381391415[[#This Row],[PEG]],Table1016[#All],2,FALSE)</f>
        <v>#N/A</v>
      </c>
      <c r="D19" s="117"/>
      <c r="E19" s="125" t="e">
        <f>VLOOKUP(Table257552526910134344464748495657585963151817192245666771727374767778799394951001041091111131151171381391415[[#This Row],[PEG]],Table1016[#All],3,FALSE)</f>
        <v>#N/A</v>
      </c>
    </row>
    <row r="20" spans="1:5" x14ac:dyDescent="0.35">
      <c r="A20" s="118">
        <v>13</v>
      </c>
      <c r="B20" s="114" t="s">
        <v>114</v>
      </c>
      <c r="C20" s="109" t="e">
        <f>VLOOKUP(Table257552526910134344464748495657585963151817192245666771727374767778799394951001041091111131151171381391415[[#This Row],[PEG]],Table1016[#All],2,FALSE)</f>
        <v>#N/A</v>
      </c>
      <c r="D20" s="117"/>
      <c r="E20" s="125" t="e">
        <f>VLOOKUP(Table257552526910134344464748495657585963151817192245666771727374767778799394951001041091111131151171381391415[[#This Row],[PEG]],Table1016[#All],3,FALSE)</f>
        <v>#N/A</v>
      </c>
    </row>
    <row r="21" spans="1:5" x14ac:dyDescent="0.35">
      <c r="A21" s="118">
        <v>14</v>
      </c>
      <c r="B21" s="114" t="s">
        <v>12</v>
      </c>
      <c r="C21" s="109" t="e">
        <f>VLOOKUP(Table257552526910134344464748495657585963151817192245666771727374767778799394951001041091111131151171381391415[[#This Row],[PEG]],Table1016[#All],2,FALSE)</f>
        <v>#N/A</v>
      </c>
      <c r="D21" s="117"/>
      <c r="E21" s="125" t="e">
        <f>VLOOKUP(Table257552526910134344464748495657585963151817192245666771727374767778799394951001041091111131151171381391415[[#This Row],[PEG]],Table1016[#All],3,FALSE)</f>
        <v>#N/A</v>
      </c>
    </row>
    <row r="22" spans="1:5" x14ac:dyDescent="0.35">
      <c r="A22" s="118">
        <v>15</v>
      </c>
      <c r="B22" s="114" t="s">
        <v>12</v>
      </c>
      <c r="C22" s="109" t="e">
        <f>VLOOKUP(Table257552526910134344464748495657585963151817192245666771727374767778799394951001041091111131151171381391415[[#This Row],[PEG]],Table1016[#All],2,FALSE)</f>
        <v>#N/A</v>
      </c>
      <c r="D22" s="117"/>
      <c r="E22" s="125" t="e">
        <f>VLOOKUP(Table257552526910134344464748495657585963151817192245666771727374767778799394951001041091111131151171381391415[[#This Row],[PEG]],Table1016[#All],3,FALSE)</f>
        <v>#N/A</v>
      </c>
    </row>
    <row r="23" spans="1:5" x14ac:dyDescent="0.35">
      <c r="A23" s="118">
        <v>16</v>
      </c>
      <c r="B23" s="114" t="s">
        <v>115</v>
      </c>
      <c r="C23" s="109" t="e">
        <f>VLOOKUP(Table257552526910134344464748495657585963151817192245666771727374767778799394951001041091111131151171381391415[[#This Row],[PEG]],Table1016[#All],2,FALSE)</f>
        <v>#N/A</v>
      </c>
      <c r="D23" s="117"/>
      <c r="E23" s="125" t="e">
        <f>VLOOKUP(Table257552526910134344464748495657585963151817192245666771727374767778799394951001041091111131151171381391415[[#This Row],[PEG]],Table1016[#All],3,FALSE)</f>
        <v>#N/A</v>
      </c>
    </row>
    <row r="24" spans="1:5" x14ac:dyDescent="0.35">
      <c r="A24" s="118">
        <v>17</v>
      </c>
      <c r="B24" s="114" t="s">
        <v>114</v>
      </c>
      <c r="C24" s="109" t="e">
        <f>VLOOKUP(Table257552526910134344464748495657585963151817192245666771727374767778799394951001041091111131151171381391415[[#This Row],[PEG]],Table1016[#All],2,FALSE)</f>
        <v>#N/A</v>
      </c>
      <c r="D24" s="117"/>
      <c r="E24" s="125" t="e">
        <f>VLOOKUP(Table257552526910134344464748495657585963151817192245666771727374767778799394951001041091111131151171381391415[[#This Row],[PEG]],Table1016[#All],3,FALSE)</f>
        <v>#N/A</v>
      </c>
    </row>
    <row r="25" spans="1:5" s="97" customFormat="1" x14ac:dyDescent="0.35">
      <c r="A25" s="118">
        <v>18</v>
      </c>
      <c r="B25" s="114" t="s">
        <v>12</v>
      </c>
      <c r="C25" s="109" t="e">
        <f>VLOOKUP(Table257552526910134344464748495657585963151817192245666771727374767778799394951001041091111131151171381391415[[#This Row],[PEG]],Table1016[#All],2,FALSE)</f>
        <v>#N/A</v>
      </c>
      <c r="D25" s="117"/>
      <c r="E25" s="125" t="e">
        <f>VLOOKUP(Table257552526910134344464748495657585963151817192245666771727374767778799394951001041091111131151171381391415[[#This Row],[PEG]],Table1016[#All],3,FALSE)</f>
        <v>#N/A</v>
      </c>
    </row>
    <row r="26" spans="1:5" x14ac:dyDescent="0.35">
      <c r="A26" s="118">
        <v>19</v>
      </c>
      <c r="B26" s="114" t="s">
        <v>12</v>
      </c>
      <c r="C26" s="109" t="e">
        <f>VLOOKUP(Table257552526910134344464748495657585963151817192245666771727374767778799394951001041091111131151171381391415[[#This Row],[PEG]],Table1016[#All],2,FALSE)</f>
        <v>#N/A</v>
      </c>
      <c r="D26" s="117"/>
      <c r="E26" s="125" t="e">
        <f>VLOOKUP(Table257552526910134344464748495657585963151817192245666771727374767778799394951001041091111131151171381391415[[#This Row],[PEG]],Table1016[#All],3,FALSE)</f>
        <v>#N/A</v>
      </c>
    </row>
    <row r="27" spans="1:5" x14ac:dyDescent="0.35">
      <c r="A27" s="118">
        <v>20</v>
      </c>
      <c r="B27" s="114" t="s">
        <v>115</v>
      </c>
      <c r="C27" s="109" t="e">
        <f>VLOOKUP(Table257552526910134344464748495657585963151817192245666771727374767778799394951001041091111131151171381391415[[#This Row],[PEG]],Table1016[#All],2,FALSE)</f>
        <v>#N/A</v>
      </c>
      <c r="D27" s="117"/>
      <c r="E27" s="125" t="e">
        <f>VLOOKUP(Table257552526910134344464748495657585963151817192245666771727374767778799394951001041091111131151171381391415[[#This Row],[PEG]],Table1016[#All],3,FALSE)</f>
        <v>#N/A</v>
      </c>
    </row>
    <row r="28" spans="1:5" x14ac:dyDescent="0.35">
      <c r="A28" s="118">
        <v>21</v>
      </c>
      <c r="B28" s="114" t="s">
        <v>114</v>
      </c>
      <c r="C28" s="109" t="e">
        <f>VLOOKUP(Table257552526910134344464748495657585963151817192245666771727374767778799394951001041091111131151171381391415[[#This Row],[PEG]],Table1016[#All],2,FALSE)</f>
        <v>#N/A</v>
      </c>
      <c r="D28" s="117"/>
      <c r="E28" s="125" t="e">
        <f>VLOOKUP(Table257552526910134344464748495657585963151817192245666771727374767778799394951001041091111131151171381391415[[#This Row],[PEG]],Table1016[#All],3,FALSE)</f>
        <v>#N/A</v>
      </c>
    </row>
    <row r="29" spans="1:5" x14ac:dyDescent="0.35">
      <c r="A29" s="118">
        <v>22</v>
      </c>
      <c r="B29" s="114" t="s">
        <v>12</v>
      </c>
      <c r="C29" s="109" t="e">
        <f>VLOOKUP(Table257552526910134344464748495657585963151817192245666771727374767778799394951001041091111131151171381391415[[#This Row],[PEG]],Table1016[#All],2,FALSE)</f>
        <v>#N/A</v>
      </c>
      <c r="D29" s="117"/>
      <c r="E29" s="125" t="e">
        <f>VLOOKUP(Table257552526910134344464748495657585963151817192245666771727374767778799394951001041091111131151171381391415[[#This Row],[PEG]],Table1016[#All],3,FALSE)</f>
        <v>#N/A</v>
      </c>
    </row>
    <row r="30" spans="1:5" x14ac:dyDescent="0.35">
      <c r="A30" s="118">
        <v>23</v>
      </c>
      <c r="B30" s="114" t="s">
        <v>12</v>
      </c>
      <c r="C30" s="109" t="e">
        <f>VLOOKUP(Table257552526910134344464748495657585963151817192245666771727374767778799394951001041091111131151171381391415[[#This Row],[PEG]],Table1016[#All],2,FALSE)</f>
        <v>#N/A</v>
      </c>
      <c r="D30" s="117"/>
      <c r="E30" s="125" t="e">
        <f>VLOOKUP(Table257552526910134344464748495657585963151817192245666771727374767778799394951001041091111131151171381391415[[#This Row],[PEG]],Table1016[#All],3,FALSE)</f>
        <v>#N/A</v>
      </c>
    </row>
    <row r="31" spans="1:5" x14ac:dyDescent="0.35">
      <c r="A31" s="118">
        <v>24</v>
      </c>
      <c r="B31" s="114" t="s">
        <v>115</v>
      </c>
      <c r="C31" s="109" t="e">
        <f>VLOOKUP(Table257552526910134344464748495657585963151817192245666771727374767778799394951001041091111131151171381391415[[#This Row],[PEG]],Table1016[#All],2,FALSE)</f>
        <v>#N/A</v>
      </c>
      <c r="D31" s="117"/>
      <c r="E31" s="125" t="e">
        <f>VLOOKUP(Table257552526910134344464748495657585963151817192245666771727374767778799394951001041091111131151171381391415[[#This Row],[PEG]],Table1016[#All],3,FALSE)</f>
        <v>#N/A</v>
      </c>
    </row>
    <row r="32" spans="1:5" x14ac:dyDescent="0.35">
      <c r="A32" s="118">
        <v>25</v>
      </c>
      <c r="B32" s="114" t="s">
        <v>115</v>
      </c>
      <c r="C32" s="109" t="e">
        <f>VLOOKUP(Table257552526910134344464748495657585963151817192245666771727374767778799394951001041091111131151171381391415[[#This Row],[PEG]],Table1016[#All],2,FALSE)</f>
        <v>#N/A</v>
      </c>
      <c r="D32" s="117"/>
      <c r="E32" s="125" t="e">
        <f>VLOOKUP(Table257552526910134344464748495657585963151817192245666771727374767778799394951001041091111131151171381391415[[#This Row],[PEG]],Table1016[#All],3,FALSE)</f>
        <v>#N/A</v>
      </c>
    </row>
    <row r="33" spans="1:5" x14ac:dyDescent="0.35">
      <c r="A33" s="118">
        <v>26</v>
      </c>
      <c r="B33" s="114" t="s">
        <v>124</v>
      </c>
      <c r="C33" s="109" t="e">
        <f>VLOOKUP(Table257552526910134344464748495657585963151817192245666771727374767778799394951001041091111131151171381391415[[#This Row],[PEG]],Table1016[#All],2,FALSE)</f>
        <v>#N/A</v>
      </c>
      <c r="D33" s="117"/>
      <c r="E33" s="125" t="e">
        <f>VLOOKUP(Table257552526910134344464748495657585963151817192245666771727374767778799394951001041091111131151171381391415[[#This Row],[PEG]],Table1016[#All],3,FALSE)</f>
        <v>#N/A</v>
      </c>
    </row>
    <row r="34" spans="1:5" x14ac:dyDescent="0.35">
      <c r="A34" s="118">
        <v>27</v>
      </c>
      <c r="B34" s="114" t="s">
        <v>115</v>
      </c>
      <c r="C34" s="109" t="e">
        <f>VLOOKUP(Table257552526910134344464748495657585963151817192245666771727374767778799394951001041091111131151171381391415[[#This Row],[PEG]],Table1016[#All],2,FALSE)</f>
        <v>#N/A</v>
      </c>
      <c r="D34" s="117"/>
      <c r="E34" s="125" t="e">
        <f>VLOOKUP(Table257552526910134344464748495657585963151817192245666771727374767778799394951001041091111131151171381391415[[#This Row],[PEG]],Table1016[#All],3,FALSE)</f>
        <v>#N/A</v>
      </c>
    </row>
    <row r="35" spans="1:5" x14ac:dyDescent="0.35">
      <c r="A35" s="118">
        <v>28</v>
      </c>
      <c r="B35" s="114" t="s">
        <v>124</v>
      </c>
      <c r="C35" s="109" t="e">
        <f>VLOOKUP(Table257552526910134344464748495657585963151817192245666771727374767778799394951001041091111131151171381391415[[#This Row],[PEG]],Table1016[#All],2,FALSE)</f>
        <v>#N/A</v>
      </c>
      <c r="D35" s="117"/>
      <c r="E35" s="125" t="e">
        <f>VLOOKUP(Table257552526910134344464748495657585963151817192245666771727374767778799394951001041091111131151171381391415[[#This Row],[PEG]],Table1016[#All],3,FALSE)</f>
        <v>#N/A</v>
      </c>
    </row>
    <row r="36" spans="1:5" x14ac:dyDescent="0.35">
      <c r="A36" s="118">
        <v>29</v>
      </c>
      <c r="B36" s="114" t="s">
        <v>115</v>
      </c>
      <c r="C36" s="109" t="e">
        <f>VLOOKUP(Table257552526910134344464748495657585963151817192245666771727374767778799394951001041091111131151171381391415[[#This Row],[PEG]],Table1016[#All],2,FALSE)</f>
        <v>#N/A</v>
      </c>
      <c r="D36" s="117"/>
      <c r="E36" s="125" t="e">
        <f>VLOOKUP(Table257552526910134344464748495657585963151817192245666771727374767778799394951001041091111131151171381391415[[#This Row],[PEG]],Table1016[#All],3,FALSE)</f>
        <v>#N/A</v>
      </c>
    </row>
    <row r="37" spans="1:5" x14ac:dyDescent="0.35">
      <c r="A37" s="118">
        <v>30</v>
      </c>
      <c r="B37" s="114" t="s">
        <v>12</v>
      </c>
      <c r="C37" s="109" t="e">
        <f>VLOOKUP(Table257552526910134344464748495657585963151817192245666771727374767778799394951001041091111131151171381391415[[#This Row],[PEG]],Table1016[#All],2,FALSE)</f>
        <v>#N/A</v>
      </c>
      <c r="D37" s="117"/>
      <c r="E37" s="125" t="e">
        <f>VLOOKUP(Table257552526910134344464748495657585963151817192245666771727374767778799394951001041091111131151171381391415[[#This Row],[PEG]],Table1016[#All],3,FALSE)</f>
        <v>#N/A</v>
      </c>
    </row>
    <row r="38" spans="1:5" x14ac:dyDescent="0.35">
      <c r="A38" s="118">
        <v>31</v>
      </c>
      <c r="B38" s="114" t="s">
        <v>12</v>
      </c>
      <c r="C38" s="109" t="e">
        <f>VLOOKUP(Table257552526910134344464748495657585963151817192245666771727374767778799394951001041091111131151171381391415[[#This Row],[PEG]],Table1016[#All],2,FALSE)</f>
        <v>#N/A</v>
      </c>
      <c r="D38" s="117"/>
      <c r="E38" s="125" t="e">
        <f>VLOOKUP(Table257552526910134344464748495657585963151817192245666771727374767778799394951001041091111131151171381391415[[#This Row],[PEG]],Table1016[#All],3,FALSE)</f>
        <v>#N/A</v>
      </c>
    </row>
    <row r="39" spans="1:5" x14ac:dyDescent="0.35">
      <c r="A39" s="118">
        <v>32</v>
      </c>
      <c r="B39" s="114" t="s">
        <v>12</v>
      </c>
      <c r="C39" s="109" t="e">
        <f>VLOOKUP(Table257552526910134344464748495657585963151817192245666771727374767778799394951001041091111131151171381391415[[#This Row],[PEG]],Table1016[#All],2,FALSE)</f>
        <v>#N/A</v>
      </c>
      <c r="D39" s="117"/>
      <c r="E39" s="125" t="e">
        <f>VLOOKUP(Table257552526910134344464748495657585963151817192245666771727374767778799394951001041091111131151171381391415[[#This Row],[PEG]],Table1016[#All],3,FALSE)</f>
        <v>#N/A</v>
      </c>
    </row>
    <row r="40" spans="1:5" x14ac:dyDescent="0.35">
      <c r="A40" s="118">
        <v>33</v>
      </c>
      <c r="B40" s="114" t="s">
        <v>12</v>
      </c>
      <c r="C40" s="109" t="e">
        <f>VLOOKUP(Table257552526910134344464748495657585963151817192245666771727374767778799394951001041091111131151171381391415[[#This Row],[PEG]],Table1016[#All],2,FALSE)</f>
        <v>#N/A</v>
      </c>
      <c r="D40" s="117"/>
      <c r="E40" s="125" t="e">
        <f>VLOOKUP(Table257552526910134344464748495657585963151817192245666771727374767778799394951001041091111131151171381391415[[#This Row],[PEG]],Table1016[#All],3,FALSE)</f>
        <v>#N/A</v>
      </c>
    </row>
    <row r="41" spans="1:5" x14ac:dyDescent="0.35">
      <c r="A41" s="118">
        <v>34</v>
      </c>
      <c r="B41" s="114" t="s">
        <v>115</v>
      </c>
      <c r="C41" s="109" t="e">
        <f>VLOOKUP(Table257552526910134344464748495657585963151817192245666771727374767778799394951001041091111131151171381391415[[#This Row],[PEG]],Table1016[#All],2,FALSE)</f>
        <v>#N/A</v>
      </c>
      <c r="D41" s="117"/>
      <c r="E41" s="125" t="e">
        <f>VLOOKUP(Table257552526910134344464748495657585963151817192245666771727374767778799394951001041091111131151171381391415[[#This Row],[PEG]],Table1016[#All],3,FALSE)</f>
        <v>#N/A</v>
      </c>
    </row>
    <row r="42" spans="1:5" x14ac:dyDescent="0.35">
      <c r="A42" s="118">
        <v>35</v>
      </c>
      <c r="B42" s="114" t="s">
        <v>13</v>
      </c>
      <c r="C42" s="18" t="s">
        <v>13</v>
      </c>
      <c r="D42" s="115"/>
      <c r="E42" s="32"/>
    </row>
    <row r="43" spans="1:5" x14ac:dyDescent="0.35">
      <c r="C43" s="26"/>
    </row>
    <row r="44" spans="1:5" x14ac:dyDescent="0.35">
      <c r="C44" s="26"/>
    </row>
    <row r="45" spans="1:5" x14ac:dyDescent="0.35">
      <c r="C45" s="26"/>
    </row>
    <row r="46" spans="1:5" x14ac:dyDescent="0.35">
      <c r="C46" s="26"/>
    </row>
    <row r="47" spans="1:5" x14ac:dyDescent="0.35">
      <c r="C47" s="26"/>
    </row>
    <row r="48" spans="1:5" x14ac:dyDescent="0.35">
      <c r="C48" s="26"/>
    </row>
    <row r="49" spans="3:3" x14ac:dyDescent="0.35">
      <c r="C49" s="26"/>
    </row>
    <row r="50" spans="3:3" x14ac:dyDescent="0.35">
      <c r="C50" s="26"/>
    </row>
    <row r="51" spans="3:3" x14ac:dyDescent="0.35">
      <c r="C51" s="26"/>
    </row>
    <row r="52" spans="3:3" x14ac:dyDescent="0.35">
      <c r="C52" s="26"/>
    </row>
    <row r="53" spans="3:3" x14ac:dyDescent="0.35">
      <c r="C53" s="26"/>
    </row>
    <row r="54" spans="3:3" x14ac:dyDescent="0.35">
      <c r="C54" s="26"/>
    </row>
    <row r="55" spans="3:3" x14ac:dyDescent="0.35">
      <c r="C55" s="26"/>
    </row>
    <row r="56" spans="3:3" x14ac:dyDescent="0.35">
      <c r="C56" s="27"/>
    </row>
    <row r="57" spans="3:3" x14ac:dyDescent="0.35">
      <c r="C57" s="27"/>
    </row>
    <row r="58" spans="3:3" x14ac:dyDescent="0.35">
      <c r="C58" s="27"/>
    </row>
  </sheetData>
  <mergeCells count="1">
    <mergeCell ref="A1:B1"/>
  </mergeCells>
  <conditionalFormatting sqref="C43:C9997">
    <cfRule type="expression" dxfId="3667" priority="41">
      <formula>$B43="Dial"</formula>
    </cfRule>
    <cfRule type="expression" dxfId="3666" priority="44">
      <formula>$B43="HANGUP"</formula>
    </cfRule>
  </conditionalFormatting>
  <conditionalFormatting sqref="E42">
    <cfRule type="containsText" dxfId="3665" priority="5" operator="containsText" text="WEB SERVICE">
      <formula>NOT(ISERROR(SEARCH("WEB SERVICE",E42)))</formula>
    </cfRule>
    <cfRule type="containsText" dxfId="3664" priority="6" operator="containsText" text="DB">
      <formula>NOT(ISERROR(SEARCH("DB",E42)))</formula>
    </cfRule>
  </conditionalFormatting>
  <conditionalFormatting sqref="B30">
    <cfRule type="containsText" dxfId="3663" priority="4" operator="containsText" text="Hear">
      <formula>NOT(ISERROR(SEARCH("Hear",B30)))</formula>
    </cfRule>
  </conditionalFormatting>
  <conditionalFormatting sqref="B8:B18">
    <cfRule type="containsText" dxfId="3662" priority="1" operator="containsText" text="Hear">
      <formula>NOT(ISERROR(SEARCH("Hear",B8)))</formula>
    </cfRule>
  </conditionalFormatting>
  <conditionalFormatting sqref="B36:B38 B40:B41">
    <cfRule type="containsText" dxfId="3661" priority="3" operator="containsText" text="Hear">
      <formula>NOT(ISERROR(SEARCH("Hear",B36)))</formula>
    </cfRule>
  </conditionalFormatting>
  <conditionalFormatting sqref="B19:B29 B31:B35 B42">
    <cfRule type="containsText" dxfId="3660" priority="7" operator="containsText" text="Hear">
      <formula>NOT(ISERROR(SEARCH("Hear",B19)))</formula>
    </cfRule>
  </conditionalFormatting>
  <conditionalFormatting sqref="C42">
    <cfRule type="expression" dxfId="3659" priority="10">
      <formula>$B42="HANGUP"</formula>
    </cfRule>
  </conditionalFormatting>
  <hyperlinks>
    <hyperlink ref="A1" location="'Test Case Overview'!A1" display="Return to Test Case Overview" xr:uid="{00000000-0004-0000-4F00-000000000000}"/>
  </hyperlinks>
  <pageMargins left="0.7" right="0.7" top="0.75" bottom="0.75" header="0.3" footer="0.3"/>
  <pageSetup orientation="portrait" verticalDpi="0" r:id="rId1"/>
  <tableParts count="1">
    <tablePart r:id="rId2"/>
  </tableParts>
  <extLst>
    <ext xmlns:x14="http://schemas.microsoft.com/office/spreadsheetml/2009/9/main" uri="{78C0D931-6437-407d-A8EE-F0AAD7539E65}">
      <x14:conditionalFormattings>
        <x14:conditionalFormatting xmlns:xm="http://schemas.microsoft.com/office/excel/2006/main">
          <x14:cfRule type="expression" priority="22" id="{011FCEE8-1DD3-4DF2-8EC4-E95F099F7BC6}">
            <xm:f>'TC1'!$B8="Speak"</xm:f>
            <x14:dxf>
              <font>
                <b/>
                <i val="0"/>
                <color rgb="FFFF0000"/>
              </font>
            </x14:dxf>
          </x14:cfRule>
          <xm:sqref>C8</xm:sqref>
        </x14:conditionalFormatting>
        <x14:conditionalFormatting xmlns:xm="http://schemas.microsoft.com/office/excel/2006/main">
          <x14:cfRule type="expression" priority="11" id="{8F86F9EB-5D4E-43D3-B069-FB25B9E4184F}">
            <xm:f>'TC1'!$B8="HANGUP"</xm:f>
            <x14:dxf>
              <font>
                <b/>
                <i val="0"/>
              </font>
            </x14:dxf>
          </x14:cfRule>
          <x14:cfRule type="expression" priority="12" id="{D9D1EED9-6B19-4856-921E-2A8957B75324}">
            <xm:f>'TC1'!$B8="Dial"</xm:f>
            <x14:dxf>
              <font>
                <b/>
                <i val="0"/>
                <color rgb="FFFF0000"/>
              </font>
            </x14:dxf>
          </x14:cfRule>
          <xm:sqref>C8</xm:sqref>
        </x14:conditionalFormatting>
        <x14:conditionalFormatting xmlns:xm="http://schemas.microsoft.com/office/excel/2006/main">
          <x14:cfRule type="containsText" priority="2" operator="containsText" text="Hear" id="{69571B8E-91A6-48A5-88A1-028894CAD34C}">
            <xm:f>NOT(ISERROR(SEARCH("Hear",'TC3'!B34)))</xm:f>
            <x14:dxf>
              <font>
                <color theme="9" tint="-0.24994659260841701"/>
              </font>
              <fill>
                <patternFill>
                  <bgColor theme="9" tint="0.59996337778862885"/>
                </patternFill>
              </fill>
            </x14:dxf>
          </x14:cfRule>
          <xm:sqref>B41</xm:sqref>
        </x14:conditionalFormatting>
        <x14:conditionalFormatting xmlns:xm="http://schemas.microsoft.com/office/excel/2006/main">
          <x14:cfRule type="expression" priority="1842" id="{011FCEE8-1DD3-4DF2-8EC4-E95F099F7BC6}">
            <xm:f>'TC1'!$B16="Speak"</xm:f>
            <x14:dxf>
              <font>
                <b/>
                <i val="0"/>
                <color rgb="FFFF0000"/>
              </font>
            </x14:dxf>
          </x14:cfRule>
          <xm:sqref>C34:C41</xm:sqref>
        </x14:conditionalFormatting>
        <x14:conditionalFormatting xmlns:xm="http://schemas.microsoft.com/office/excel/2006/main">
          <x14:cfRule type="expression" priority="1843" id="{011FCEE8-1DD3-4DF2-8EC4-E95F099F7BC6}">
            <xm:f>'TC1'!#REF!="Speak"</xm:f>
            <x14:dxf>
              <font>
                <b/>
                <i val="0"/>
                <color rgb="FFFF0000"/>
              </font>
            </x14:dxf>
          </x14:cfRule>
          <xm:sqref>C17:C33</xm:sqref>
        </x14:conditionalFormatting>
        <x14:conditionalFormatting xmlns:xm="http://schemas.microsoft.com/office/excel/2006/main">
          <x14:cfRule type="expression" priority="1847" id="{8F86F9EB-5D4E-43D3-B069-FB25B9E4184F}">
            <xm:f>'TC1'!$B16="HANGUP"</xm:f>
            <x14:dxf>
              <font>
                <b/>
                <i val="0"/>
              </font>
            </x14:dxf>
          </x14:cfRule>
          <x14:cfRule type="expression" priority="1848" id="{D9D1EED9-6B19-4856-921E-2A8957B75324}">
            <xm:f>'TC1'!$B16="Dial"</xm:f>
            <x14:dxf>
              <font>
                <b/>
                <i val="0"/>
                <color rgb="FFFF0000"/>
              </font>
            </x14:dxf>
          </x14:cfRule>
          <xm:sqref>C34:C41</xm:sqref>
        </x14:conditionalFormatting>
        <x14:conditionalFormatting xmlns:xm="http://schemas.microsoft.com/office/excel/2006/main">
          <x14:cfRule type="expression" priority="1849" id="{8F86F9EB-5D4E-43D3-B069-FB25B9E4184F}">
            <xm:f>'TC1'!#REF!="HANGUP"</xm:f>
            <x14:dxf>
              <font>
                <b/>
                <i val="0"/>
              </font>
            </x14:dxf>
          </x14:cfRule>
          <x14:cfRule type="expression" priority="1850" id="{D9D1EED9-6B19-4856-921E-2A8957B75324}">
            <xm:f>'TC1'!#REF!="Dial"</xm:f>
            <x14:dxf>
              <font>
                <b/>
                <i val="0"/>
                <color rgb="FFFF0000"/>
              </font>
            </x14:dxf>
          </x14:cfRule>
          <xm:sqref>C17:C33</xm:sqref>
        </x14:conditionalFormatting>
        <x14:conditionalFormatting xmlns:xm="http://schemas.microsoft.com/office/excel/2006/main">
          <x14:cfRule type="containsText" priority="1855" operator="containsText" text="DB" id="{37267D6F-79D1-4008-B4C3-F6E6F023E768}">
            <xm:f>NOT(ISERROR(SEARCH("DB",'TC1'!E16)))</xm:f>
            <x14:dxf>
              <font>
                <color rgb="FF006100"/>
              </font>
              <fill>
                <patternFill>
                  <bgColor rgb="FFC6EFCE"/>
                </patternFill>
              </fill>
            </x14:dxf>
          </x14:cfRule>
          <x14:cfRule type="containsText" priority="1856" operator="containsText" text="WEB SERVICE" id="{4DC90213-5A64-4D72-B72C-55B26CF22EB3}">
            <xm:f>NOT(ISERROR(SEARCH("WEB SERVICE",'TC1'!E16)))</xm:f>
            <x14:dxf>
              <font>
                <color rgb="FF9C0006"/>
              </font>
              <fill>
                <patternFill>
                  <bgColor rgb="FFFFC7CE"/>
                </patternFill>
              </fill>
            </x14:dxf>
          </x14:cfRule>
          <xm:sqref>E34:E41</xm:sqref>
        </x14:conditionalFormatting>
        <x14:conditionalFormatting xmlns:xm="http://schemas.microsoft.com/office/excel/2006/main">
          <x14:cfRule type="containsText" priority="1857" operator="containsText" text="DB" id="{37267D6F-79D1-4008-B4C3-F6E6F023E768}">
            <xm:f>NOT(ISERROR(SEARCH("DB",'TC1'!#REF!)))</xm:f>
            <x14:dxf>
              <font>
                <color rgb="FF006100"/>
              </font>
              <fill>
                <patternFill>
                  <bgColor rgb="FFC6EFCE"/>
                </patternFill>
              </fill>
            </x14:dxf>
          </x14:cfRule>
          <x14:cfRule type="containsText" priority="1858" operator="containsText" text="WEB SERVICE" id="{4DC90213-5A64-4D72-B72C-55B26CF22EB3}">
            <xm:f>NOT(ISERROR(SEARCH("WEB SERVICE",'TC1'!#REF!)))</xm:f>
            <x14:dxf>
              <font>
                <color rgb="FF9C0006"/>
              </font>
              <fill>
                <patternFill>
                  <bgColor rgb="FFFFC7CE"/>
                </patternFill>
              </fill>
            </x14:dxf>
          </x14:cfRule>
          <xm:sqref>E17:E33</xm:sqref>
        </x14:conditionalFormatting>
        <x14:conditionalFormatting xmlns:xm="http://schemas.microsoft.com/office/excel/2006/main">
          <x14:cfRule type="expression" priority="4596" id="{011FCEE8-1DD3-4DF2-8EC4-E95F099F7BC6}">
            <xm:f>'TC1'!$B9="Speak"</xm:f>
            <x14:dxf>
              <font>
                <b/>
                <i val="0"/>
                <color rgb="FFFF0000"/>
              </font>
            </x14:dxf>
          </x14:cfRule>
          <xm:sqref>C12:C15</xm:sqref>
        </x14:conditionalFormatting>
        <x14:conditionalFormatting xmlns:xm="http://schemas.microsoft.com/office/excel/2006/main">
          <x14:cfRule type="expression" priority="4597" id="{011FCEE8-1DD3-4DF2-8EC4-E95F099F7BC6}">
            <xm:f>'TC1'!#REF!="Speak"</xm:f>
            <x14:dxf>
              <font>
                <b/>
                <i val="0"/>
                <color rgb="FFFF0000"/>
              </font>
            </x14:dxf>
          </x14:cfRule>
          <xm:sqref>C9:C11</xm:sqref>
        </x14:conditionalFormatting>
        <x14:conditionalFormatting xmlns:xm="http://schemas.microsoft.com/office/excel/2006/main">
          <x14:cfRule type="expression" priority="4601" id="{8F86F9EB-5D4E-43D3-B069-FB25B9E4184F}">
            <xm:f>'TC1'!$B9="HANGUP"</xm:f>
            <x14:dxf>
              <font>
                <b/>
                <i val="0"/>
              </font>
            </x14:dxf>
          </x14:cfRule>
          <x14:cfRule type="expression" priority="4602" id="{D9D1EED9-6B19-4856-921E-2A8957B75324}">
            <xm:f>'TC1'!$B9="Dial"</xm:f>
            <x14:dxf>
              <font>
                <b/>
                <i val="0"/>
                <color rgb="FFFF0000"/>
              </font>
            </x14:dxf>
          </x14:cfRule>
          <xm:sqref>C12:C15</xm:sqref>
        </x14:conditionalFormatting>
        <x14:conditionalFormatting xmlns:xm="http://schemas.microsoft.com/office/excel/2006/main">
          <x14:cfRule type="expression" priority="4603" id="{8F86F9EB-5D4E-43D3-B069-FB25B9E4184F}">
            <xm:f>'TC1'!#REF!="HANGUP"</xm:f>
            <x14:dxf>
              <font>
                <b/>
                <i val="0"/>
              </font>
            </x14:dxf>
          </x14:cfRule>
          <x14:cfRule type="expression" priority="4604" id="{D9D1EED9-6B19-4856-921E-2A8957B75324}">
            <xm:f>'TC1'!#REF!="Dial"</xm:f>
            <x14:dxf>
              <font>
                <b/>
                <i val="0"/>
                <color rgb="FFFF0000"/>
              </font>
            </x14:dxf>
          </x14:cfRule>
          <xm:sqref>C9:C11</xm:sqref>
        </x14:conditionalFormatting>
        <x14:conditionalFormatting xmlns:xm="http://schemas.microsoft.com/office/excel/2006/main">
          <x14:cfRule type="containsText" priority="4607" operator="containsText" text="DB" id="{37267D6F-79D1-4008-B4C3-F6E6F023E768}">
            <xm:f>NOT(ISERROR(SEARCH("DB",'TC1'!#REF!)))</xm:f>
            <x14:dxf>
              <font>
                <color rgb="FF006100"/>
              </font>
              <fill>
                <patternFill>
                  <bgColor rgb="FFC6EFCE"/>
                </patternFill>
              </fill>
            </x14:dxf>
          </x14:cfRule>
          <x14:cfRule type="containsText" priority="4608" operator="containsText" text="WEB SERVICE" id="{4DC90213-5A64-4D72-B72C-55B26CF22EB3}">
            <xm:f>NOT(ISERROR(SEARCH("WEB SERVICE",'TC1'!#REF!)))</xm:f>
            <x14:dxf>
              <font>
                <color rgb="FF9C0006"/>
              </font>
              <fill>
                <patternFill>
                  <bgColor rgb="FFFFC7CE"/>
                </patternFill>
              </fill>
            </x14:dxf>
          </x14:cfRule>
          <xm:sqref>E9:E11</xm:sqref>
        </x14:conditionalFormatting>
        <x14:conditionalFormatting xmlns:xm="http://schemas.microsoft.com/office/excel/2006/main">
          <x14:cfRule type="containsText" priority="4609" operator="containsText" text="DB" id="{37267D6F-79D1-4008-B4C3-F6E6F023E768}">
            <xm:f>NOT(ISERROR(SEARCH("DB",'TC1'!E9)))</xm:f>
            <x14:dxf>
              <font>
                <color rgb="FF006100"/>
              </font>
              <fill>
                <patternFill>
                  <bgColor rgb="FFC6EFCE"/>
                </patternFill>
              </fill>
            </x14:dxf>
          </x14:cfRule>
          <x14:cfRule type="containsText" priority="4610" operator="containsText" text="WEB SERVICE" id="{4DC90213-5A64-4D72-B72C-55B26CF22EB3}">
            <xm:f>NOT(ISERROR(SEARCH("WEB SERVICE",'TC1'!E9)))</xm:f>
            <x14:dxf>
              <font>
                <color rgb="FF9C0006"/>
              </font>
              <fill>
                <patternFill>
                  <bgColor rgb="FFFFC7CE"/>
                </patternFill>
              </fill>
            </x14:dxf>
          </x14:cfRule>
          <xm:sqref>E12:E15</xm:sqref>
        </x14:conditionalFormatting>
        <x14:conditionalFormatting xmlns:xm="http://schemas.microsoft.com/office/excel/2006/main">
          <x14:cfRule type="expression" priority="7009" id="{011FCEE8-1DD3-4DF2-8EC4-E95F099F7BC6}">
            <xm:f>'TC1'!$B15="Speak"</xm:f>
            <x14:dxf>
              <font>
                <b/>
                <i val="0"/>
                <color rgb="FFFF0000"/>
              </font>
            </x14:dxf>
          </x14:cfRule>
          <xm:sqref>C16</xm:sqref>
        </x14:conditionalFormatting>
        <x14:conditionalFormatting xmlns:xm="http://schemas.microsoft.com/office/excel/2006/main">
          <x14:cfRule type="expression" priority="7012" id="{8F86F9EB-5D4E-43D3-B069-FB25B9E4184F}">
            <xm:f>'TC1'!$B15="HANGUP"</xm:f>
            <x14:dxf>
              <font>
                <b/>
                <i val="0"/>
              </font>
            </x14:dxf>
          </x14:cfRule>
          <x14:cfRule type="expression" priority="7013" id="{D9D1EED9-6B19-4856-921E-2A8957B75324}">
            <xm:f>'TC1'!$B15="Dial"</xm:f>
            <x14:dxf>
              <font>
                <b/>
                <i val="0"/>
                <color rgb="FFFF0000"/>
              </font>
            </x14:dxf>
          </x14:cfRule>
          <xm:sqref>C16</xm:sqref>
        </x14:conditionalFormatting>
        <x14:conditionalFormatting xmlns:xm="http://schemas.microsoft.com/office/excel/2006/main">
          <x14:cfRule type="containsText" priority="7016" operator="containsText" text="DB" id="{37267D6F-79D1-4008-B4C3-F6E6F023E768}">
            <xm:f>NOT(ISERROR(SEARCH("DB",'TC1'!E15)))</xm:f>
            <x14:dxf>
              <font>
                <color rgb="FF006100"/>
              </font>
              <fill>
                <patternFill>
                  <bgColor rgb="FFC6EFCE"/>
                </patternFill>
              </fill>
            </x14:dxf>
          </x14:cfRule>
          <x14:cfRule type="containsText" priority="7017" operator="containsText" text="WEB SERVICE" id="{4DC90213-5A64-4D72-B72C-55B26CF22EB3}">
            <xm:f>NOT(ISERROR(SEARCH("WEB SERVICE",'TC1'!E15)))</xm:f>
            <x14:dxf>
              <font>
                <color rgb="FF9C0006"/>
              </font>
              <fill>
                <patternFill>
                  <bgColor rgb="FFFFC7CE"/>
                </patternFill>
              </fill>
            </x14:dxf>
          </x14:cfRule>
          <xm:sqref>E16</xm:sqref>
        </x14:conditionalFormatting>
        <x14:conditionalFormatting xmlns:xm="http://schemas.microsoft.com/office/excel/2006/main">
          <x14:cfRule type="containsText" priority="9414" operator="containsText" text="Hear" id="{5C4A9970-D6C4-46CD-BC4F-DC01EA3DB09E}">
            <xm:f>NOT(ISERROR(SEARCH("Hear",'TC26'!#REF!)))</xm:f>
            <x14:dxf>
              <font>
                <color theme="9" tint="-0.24994659260841701"/>
              </font>
              <fill>
                <patternFill>
                  <bgColor theme="9" tint="0.59996337778862885"/>
                </patternFill>
              </fill>
            </x14:dxf>
          </x14:cfRule>
          <xm:sqref>B39</xm:sqref>
        </x14:conditionalFormatting>
      </x14:conditionalFormattings>
    </ext>
  </extLst>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000-000000000000}">
  <sheetPr codeName="Sheet82"/>
  <dimension ref="A1:E47"/>
  <sheetViews>
    <sheetView zoomScaleNormal="100" workbookViewId="0">
      <selection activeCell="A2" sqref="A2"/>
    </sheetView>
  </sheetViews>
  <sheetFormatPr defaultRowHeight="14.5" x14ac:dyDescent="0.35"/>
  <cols>
    <col min="1" max="1" width="14.453125" style="42" bestFit="1" customWidth="1"/>
    <col min="2" max="2" width="42.6328125" style="42" customWidth="1"/>
    <col min="3" max="3" width="106.1796875" style="22" customWidth="1"/>
    <col min="4" max="4" width="21.81640625" style="33" bestFit="1" customWidth="1"/>
    <col min="5" max="5" width="20.6328125" style="42" customWidth="1"/>
  </cols>
  <sheetData>
    <row r="1" spans="1:5" ht="18.5" x14ac:dyDescent="0.35">
      <c r="A1" s="192" t="s">
        <v>4</v>
      </c>
      <c r="B1" s="192"/>
      <c r="C1" s="19"/>
    </row>
    <row r="2" spans="1:5" x14ac:dyDescent="0.35">
      <c r="A2" s="20" t="s">
        <v>5</v>
      </c>
      <c r="B2" s="21" t="str">
        <f ca="1">MID(CELL("filename",A1),FIND("]",CELL("filename",A1))+1,LEN(CELL("filename",A1))-FIND("]",CELL("filename",A1)))</f>
        <v>TC80</v>
      </c>
    </row>
    <row r="3" spans="1:5" x14ac:dyDescent="0.35">
      <c r="A3" s="23" t="s">
        <v>19</v>
      </c>
      <c r="B3" s="24">
        <f ca="1">VLOOKUP(B2,Table53[#All],2,FALSE)</f>
        <v>0</v>
      </c>
    </row>
    <row r="4" spans="1:5" ht="29" x14ac:dyDescent="0.35">
      <c r="A4" s="39" t="s">
        <v>20</v>
      </c>
      <c r="B4" s="38">
        <f ca="1">VLOOKUP(B2,Table53[#All],4,FALSE)</f>
        <v>0</v>
      </c>
    </row>
    <row r="5" spans="1:5" x14ac:dyDescent="0.35">
      <c r="A5" s="23" t="s">
        <v>6</v>
      </c>
      <c r="B5" s="77">
        <f ca="1">VLOOKUP(B2,Table53[#All],3,FALSE)</f>
        <v>0</v>
      </c>
    </row>
    <row r="7" spans="1:5" ht="15.5" x14ac:dyDescent="0.35">
      <c r="A7" s="100" t="s">
        <v>7</v>
      </c>
      <c r="B7" s="101" t="s">
        <v>8</v>
      </c>
      <c r="C7" s="102" t="s">
        <v>9</v>
      </c>
      <c r="D7" s="102" t="s">
        <v>14</v>
      </c>
      <c r="E7" s="103" t="s">
        <v>10</v>
      </c>
    </row>
    <row r="8" spans="1:5" s="97" customFormat="1" x14ac:dyDescent="0.35">
      <c r="A8" s="118">
        <v>1</v>
      </c>
      <c r="B8" s="114" t="s">
        <v>114</v>
      </c>
      <c r="C8" s="109" t="s">
        <v>125</v>
      </c>
      <c r="D8" s="128"/>
      <c r="E8" s="125" t="s">
        <v>11</v>
      </c>
    </row>
    <row r="9" spans="1:5" s="97" customFormat="1" x14ac:dyDescent="0.35">
      <c r="A9" s="118">
        <v>2</v>
      </c>
      <c r="B9" s="114" t="s">
        <v>12</v>
      </c>
      <c r="C9" s="109" t="e">
        <f>VLOOKUP(Table2575525269101343444647484956575859631518171922456667717273747677787993949510010410911111311511713813914157[[#This Row],[PEG]],Table1016[#All],2,FALSE)</f>
        <v>#N/A</v>
      </c>
      <c r="D9" s="128"/>
      <c r="E9" s="125" t="e">
        <f>VLOOKUP(Table2575525269101343444647484956575859631518171922456667717273747677787993949510010410911111311511713813914157[[#This Row],[PEG]],Table1016[#All],3,FALSE)</f>
        <v>#N/A</v>
      </c>
    </row>
    <row r="10" spans="1:5" s="97" customFormat="1" x14ac:dyDescent="0.35">
      <c r="A10" s="118">
        <v>3</v>
      </c>
      <c r="B10" s="114" t="s">
        <v>115</v>
      </c>
      <c r="C10" s="109" t="e">
        <f>VLOOKUP(Table2575525269101343444647484956575859631518171922456667717273747677787993949510010410911111311511713813914157[[#This Row],[PEG]],Table1016[#All],2,FALSE)</f>
        <v>#N/A</v>
      </c>
      <c r="D10" s="128"/>
      <c r="E10" s="125" t="e">
        <f>VLOOKUP(Table2575525269101343444647484956575859631518171922456667717273747677787993949510010410911111311511713813914157[[#This Row],[PEG]],Table1016[#All],3,FALSE)</f>
        <v>#N/A</v>
      </c>
    </row>
    <row r="11" spans="1:5" s="97" customFormat="1" x14ac:dyDescent="0.35">
      <c r="A11" s="118">
        <v>4</v>
      </c>
      <c r="B11" s="114" t="s">
        <v>115</v>
      </c>
      <c r="C11" s="109" t="e">
        <f>VLOOKUP(Table2575525269101343444647484956575859631518171922456667717273747677787993949510010410911111311511713813914157[[#This Row],[PEG]],Table1016[#All],2,FALSE)</f>
        <v>#N/A</v>
      </c>
      <c r="D11" s="128"/>
      <c r="E11" s="125" t="e">
        <f>VLOOKUP(Table2575525269101343444647484956575859631518171922456667717273747677787993949510010410911111311511713813914157[[#This Row],[PEG]],Table1016[#All],3,FALSE)</f>
        <v>#N/A</v>
      </c>
    </row>
    <row r="12" spans="1:5" s="97" customFormat="1" x14ac:dyDescent="0.35">
      <c r="A12" s="118">
        <v>5</v>
      </c>
      <c r="B12" s="114" t="s">
        <v>114</v>
      </c>
      <c r="C12" s="109" t="e">
        <f>VLOOKUP(Table2575525269101343444647484956575859631518171922456667717273747677787993949510010410911111311511713813914157[[#This Row],[PEG]],Table1016[#All],2,FALSE)</f>
        <v>#N/A</v>
      </c>
      <c r="D12" s="128"/>
      <c r="E12" s="125" t="e">
        <f>VLOOKUP(Table2575525269101343444647484956575859631518171922456667717273747677787993949510010410911111311511713813914157[[#This Row],[PEG]],Table1016[#All],3,FALSE)</f>
        <v>#N/A</v>
      </c>
    </row>
    <row r="13" spans="1:5" s="97" customFormat="1" x14ac:dyDescent="0.35">
      <c r="A13" s="118">
        <v>6</v>
      </c>
      <c r="B13" s="114" t="s">
        <v>115</v>
      </c>
      <c r="C13" s="109" t="e">
        <f>VLOOKUP(Table2575525269101343444647484956575859631518171922456667717273747677787993949510010410911111311511713813914157[[#This Row],[PEG]],Table1016[#All],2,FALSE)</f>
        <v>#N/A</v>
      </c>
      <c r="D13" s="128"/>
      <c r="E13" s="125" t="e">
        <f>VLOOKUP(Table2575525269101343444647484956575859631518171922456667717273747677787993949510010410911111311511713813914157[[#This Row],[PEG]],Table1016[#All],3,FALSE)</f>
        <v>#N/A</v>
      </c>
    </row>
    <row r="14" spans="1:5" s="97" customFormat="1" x14ac:dyDescent="0.35">
      <c r="A14" s="118">
        <v>7</v>
      </c>
      <c r="B14" s="114" t="s">
        <v>114</v>
      </c>
      <c r="C14" s="109" t="e">
        <f>VLOOKUP(Table2575525269101343444647484956575859631518171922456667717273747677787993949510010410911111311511713813914157[[#This Row],[PEG]],Table1016[#All],2,FALSE)</f>
        <v>#N/A</v>
      </c>
      <c r="D14" s="128"/>
      <c r="E14" s="125" t="e">
        <f>VLOOKUP(Table2575525269101343444647484956575859631518171922456667717273747677787993949510010410911111311511713813914157[[#This Row],[PEG]],Table1016[#All],3,FALSE)</f>
        <v>#N/A</v>
      </c>
    </row>
    <row r="15" spans="1:5" x14ac:dyDescent="0.35">
      <c r="A15" s="118">
        <v>8</v>
      </c>
      <c r="B15" s="114" t="s">
        <v>115</v>
      </c>
      <c r="C15" s="109" t="e">
        <f>VLOOKUP(Table2575525269101343444647484956575859631518171922456667717273747677787993949510010410911111311511713813914157[[#This Row],[PEG]],Table1016[#All],2,FALSE)</f>
        <v>#N/A</v>
      </c>
      <c r="D15" s="116"/>
      <c r="E15" s="125" t="e">
        <f>VLOOKUP(Table2575525269101343444647484956575859631518171922456667717273747677787993949510010410911111311511713813914157[[#This Row],[PEG]],Table1016[#All],3,FALSE)</f>
        <v>#N/A</v>
      </c>
    </row>
    <row r="16" spans="1:5" x14ac:dyDescent="0.35">
      <c r="A16" s="118">
        <v>9</v>
      </c>
      <c r="B16" s="114" t="s">
        <v>12</v>
      </c>
      <c r="C16" s="109" t="e">
        <f>VLOOKUP(Table2575525269101343444647484956575859631518171922456667717273747677787993949510010410911111311511713813914157[[#This Row],[PEG]],Table1016[#All],2,FALSE)</f>
        <v>#N/A</v>
      </c>
      <c r="D16" s="116"/>
      <c r="E16" s="125" t="e">
        <f>VLOOKUP(Table2575525269101343444647484956575859631518171922456667717273747677787993949510010410911111311511713813914157[[#This Row],[PEG]],Table1016[#All],3,FALSE)</f>
        <v>#N/A</v>
      </c>
    </row>
    <row r="17" spans="1:5" x14ac:dyDescent="0.35">
      <c r="A17" s="118">
        <v>10</v>
      </c>
      <c r="B17" s="114" t="s">
        <v>12</v>
      </c>
      <c r="C17" s="109" t="e">
        <f>VLOOKUP(Table2575525269101343444647484956575859631518171922456667717273747677787993949510010410911111311511713813914157[[#This Row],[PEG]],Table1016[#All],2,FALSE)</f>
        <v>#N/A</v>
      </c>
      <c r="D17" s="117"/>
      <c r="E17" s="125" t="e">
        <f>VLOOKUP(Table2575525269101343444647484956575859631518171922456667717273747677787993949510010410911111311511713813914157[[#This Row],[PEG]],Table1016[#All],3,FALSE)</f>
        <v>#N/A</v>
      </c>
    </row>
    <row r="18" spans="1:5" x14ac:dyDescent="0.35">
      <c r="A18" s="118">
        <v>11</v>
      </c>
      <c r="B18" s="114" t="s">
        <v>115</v>
      </c>
      <c r="C18" s="109" t="e">
        <f>VLOOKUP(Table2575525269101343444647484956575859631518171922456667717273747677787993949510010410911111311511713813914157[[#This Row],[PEG]],Table1016[#All],2,FALSE)</f>
        <v>#N/A</v>
      </c>
      <c r="D18" s="117"/>
      <c r="E18" s="125" t="e">
        <f>VLOOKUP(Table2575525269101343444647484956575859631518171922456667717273747677787993949510010410911111311511713813914157[[#This Row],[PEG]],Table1016[#All],3,FALSE)</f>
        <v>#N/A</v>
      </c>
    </row>
    <row r="19" spans="1:5" x14ac:dyDescent="0.35">
      <c r="A19" s="118">
        <v>12</v>
      </c>
      <c r="B19" s="114" t="s">
        <v>115</v>
      </c>
      <c r="C19" s="109" t="e">
        <f>VLOOKUP(Table2575525269101343444647484956575859631518171922456667717273747677787993949510010410911111311511713813914157[[#This Row],[PEG]],Table1016[#All],2,FALSE)</f>
        <v>#N/A</v>
      </c>
      <c r="D19" s="117"/>
      <c r="E19" s="125" t="e">
        <f>VLOOKUP(Table2575525269101343444647484956575859631518171922456667717273747677787993949510010410911111311511713813914157[[#This Row],[PEG]],Table1016[#All],3,FALSE)</f>
        <v>#N/A</v>
      </c>
    </row>
    <row r="20" spans="1:5" x14ac:dyDescent="0.35">
      <c r="A20" s="118">
        <v>13</v>
      </c>
      <c r="B20" s="114" t="s">
        <v>114</v>
      </c>
      <c r="C20" s="109" t="e">
        <f>VLOOKUP(Table2575525269101343444647484956575859631518171922456667717273747677787993949510010410911111311511713813914157[[#This Row],[PEG]],Table1016[#All],2,FALSE)</f>
        <v>#N/A</v>
      </c>
      <c r="D20" s="117"/>
      <c r="E20" s="125" t="e">
        <f>VLOOKUP(Table2575525269101343444647484956575859631518171922456667717273747677787993949510010410911111311511713813914157[[#This Row],[PEG]],Table1016[#All],3,FALSE)</f>
        <v>#N/A</v>
      </c>
    </row>
    <row r="21" spans="1:5" x14ac:dyDescent="0.35">
      <c r="A21" s="118">
        <v>14</v>
      </c>
      <c r="B21" s="114" t="s">
        <v>12</v>
      </c>
      <c r="C21" s="109" t="e">
        <f>VLOOKUP(Table2575525269101343444647484956575859631518171922456667717273747677787993949510010410911111311511713813914157[[#This Row],[PEG]],Table1016[#All],2,FALSE)</f>
        <v>#N/A</v>
      </c>
      <c r="D21" s="117"/>
      <c r="E21" s="125" t="e">
        <f>VLOOKUP(Table2575525269101343444647484956575859631518171922456667717273747677787993949510010410911111311511713813914157[[#This Row],[PEG]],Table1016[#All],3,FALSE)</f>
        <v>#N/A</v>
      </c>
    </row>
    <row r="22" spans="1:5" x14ac:dyDescent="0.35">
      <c r="A22" s="118">
        <v>15</v>
      </c>
      <c r="B22" s="114" t="s">
        <v>12</v>
      </c>
      <c r="C22" s="109" t="e">
        <f>VLOOKUP(Table2575525269101343444647484956575859631518171922456667717273747677787993949510010410911111311511713813914157[[#This Row],[PEG]],Table1016[#All],2,FALSE)</f>
        <v>#N/A</v>
      </c>
      <c r="D22" s="117"/>
      <c r="E22" s="125" t="e">
        <f>VLOOKUP(Table2575525269101343444647484956575859631518171922456667717273747677787993949510010410911111311511713813914157[[#This Row],[PEG]],Table1016[#All],3,FALSE)</f>
        <v>#N/A</v>
      </c>
    </row>
    <row r="23" spans="1:5" x14ac:dyDescent="0.35">
      <c r="A23" s="118">
        <v>16</v>
      </c>
      <c r="B23" s="114" t="s">
        <v>115</v>
      </c>
      <c r="C23" s="109" t="e">
        <f>VLOOKUP(Table2575525269101343444647484956575859631518171922456667717273747677787993949510010410911111311511713813914157[[#This Row],[PEG]],Table1016[#All],2,FALSE)</f>
        <v>#N/A</v>
      </c>
      <c r="D23" s="117"/>
      <c r="E23" s="125" t="e">
        <f>VLOOKUP(Table2575525269101343444647484956575859631518171922456667717273747677787993949510010410911111311511713813914157[[#This Row],[PEG]],Table1016[#All],3,FALSE)</f>
        <v>#N/A</v>
      </c>
    </row>
    <row r="24" spans="1:5" x14ac:dyDescent="0.35">
      <c r="A24" s="118">
        <v>17</v>
      </c>
      <c r="B24" s="114" t="s">
        <v>114</v>
      </c>
      <c r="C24" s="109" t="e">
        <f>VLOOKUP(Table2575525269101343444647484956575859631518171922456667717273747677787993949510010410911111311511713813914157[[#This Row],[PEG]],Table1016[#All],2,FALSE)</f>
        <v>#N/A</v>
      </c>
      <c r="D24" s="117"/>
      <c r="E24" s="125" t="e">
        <f>VLOOKUP(Table2575525269101343444647484956575859631518171922456667717273747677787993949510010410911111311511713813914157[[#This Row],[PEG]],Table1016[#All],3,FALSE)</f>
        <v>#N/A</v>
      </c>
    </row>
    <row r="25" spans="1:5" s="97" customFormat="1" x14ac:dyDescent="0.35">
      <c r="A25" s="118">
        <v>18</v>
      </c>
      <c r="B25" s="114" t="s">
        <v>12</v>
      </c>
      <c r="C25" s="109" t="e">
        <f>VLOOKUP(Table2575525269101343444647484956575859631518171922456667717273747677787993949510010410911111311511713813914157[[#This Row],[PEG]],Table1016[#All],2,FALSE)</f>
        <v>#N/A</v>
      </c>
      <c r="D25" s="117"/>
      <c r="E25" s="125" t="e">
        <f>VLOOKUP(Table2575525269101343444647484956575859631518171922456667717273747677787993949510010410911111311511713813914157[[#This Row],[PEG]],Table1016[#All],3,FALSE)</f>
        <v>#N/A</v>
      </c>
    </row>
    <row r="26" spans="1:5" x14ac:dyDescent="0.35">
      <c r="A26" s="118">
        <v>19</v>
      </c>
      <c r="B26" s="114" t="s">
        <v>12</v>
      </c>
      <c r="C26" s="109" t="e">
        <f>VLOOKUP(Table2575525269101343444647484956575859631518171922456667717273747677787993949510010410911111311511713813914157[[#This Row],[PEG]],Table1016[#All],2,FALSE)</f>
        <v>#N/A</v>
      </c>
      <c r="D26" s="117"/>
      <c r="E26" s="125" t="e">
        <f>VLOOKUP(Table2575525269101343444647484956575859631518171922456667717273747677787993949510010410911111311511713813914157[[#This Row],[PEG]],Table1016[#All],3,FALSE)</f>
        <v>#N/A</v>
      </c>
    </row>
    <row r="27" spans="1:5" x14ac:dyDescent="0.35">
      <c r="A27" s="118">
        <v>20</v>
      </c>
      <c r="B27" s="114" t="s">
        <v>115</v>
      </c>
      <c r="C27" s="109" t="e">
        <f>VLOOKUP(Table2575525269101343444647484956575859631518171922456667717273747677787993949510010410911111311511713813914157[[#This Row],[PEG]],Table1016[#All],2,FALSE)</f>
        <v>#N/A</v>
      </c>
      <c r="D27" s="117"/>
      <c r="E27" s="125" t="e">
        <f>VLOOKUP(Table2575525269101343444647484956575859631518171922456667717273747677787993949510010410911111311511713813914157[[#This Row],[PEG]],Table1016[#All],3,FALSE)</f>
        <v>#N/A</v>
      </c>
    </row>
    <row r="28" spans="1:5" x14ac:dyDescent="0.35">
      <c r="A28" s="118">
        <v>21</v>
      </c>
      <c r="B28" s="114" t="s">
        <v>114</v>
      </c>
      <c r="C28" s="109" t="e">
        <f>VLOOKUP(Table2575525269101343444647484956575859631518171922456667717273747677787993949510010410911111311511713813914157[[#This Row],[PEG]],Table1016[#All],2,FALSE)</f>
        <v>#N/A</v>
      </c>
      <c r="D28" s="117"/>
      <c r="E28" s="125" t="e">
        <f>VLOOKUP(Table2575525269101343444647484956575859631518171922456667717273747677787993949510010410911111311511713813914157[[#This Row],[PEG]],Table1016[#All],3,FALSE)</f>
        <v>#N/A</v>
      </c>
    </row>
    <row r="29" spans="1:5" x14ac:dyDescent="0.35">
      <c r="A29" s="118">
        <v>22</v>
      </c>
      <c r="B29" s="114" t="s">
        <v>12</v>
      </c>
      <c r="C29" s="109" t="e">
        <f>VLOOKUP(Table2575525269101343444647484956575859631518171922456667717273747677787993949510010410911111311511713813914157[[#This Row],[PEG]],Table1016[#All],2,FALSE)</f>
        <v>#N/A</v>
      </c>
      <c r="D29" s="117"/>
      <c r="E29" s="125" t="e">
        <f>VLOOKUP(Table2575525269101343444647484956575859631518171922456667717273747677787993949510010410911111311511713813914157[[#This Row],[PEG]],Table1016[#All],3,FALSE)</f>
        <v>#N/A</v>
      </c>
    </row>
    <row r="30" spans="1:5" x14ac:dyDescent="0.35">
      <c r="A30" s="118">
        <v>23</v>
      </c>
      <c r="B30" s="114" t="s">
        <v>12</v>
      </c>
      <c r="C30" s="109" t="e">
        <f>VLOOKUP(Table2575525269101343444647484956575859631518171922456667717273747677787993949510010410911111311511713813914157[[#This Row],[PEG]],Table1016[#All],2,FALSE)</f>
        <v>#N/A</v>
      </c>
      <c r="D30" s="117"/>
      <c r="E30" s="125" t="e">
        <f>VLOOKUP(Table2575525269101343444647484956575859631518171922456667717273747677787993949510010410911111311511713813914157[[#This Row],[PEG]],Table1016[#All],3,FALSE)</f>
        <v>#N/A</v>
      </c>
    </row>
    <row r="31" spans="1:5" x14ac:dyDescent="0.35">
      <c r="A31" s="118">
        <v>24</v>
      </c>
      <c r="B31" s="114" t="s">
        <v>115</v>
      </c>
      <c r="C31" s="109" t="e">
        <f>VLOOKUP(Table2575525269101343444647484956575859631518171922456667717273747677787993949510010410911111311511713813914157[[#This Row],[PEG]],Table1016[#All],2,FALSE)</f>
        <v>#N/A</v>
      </c>
      <c r="D31" s="117"/>
      <c r="E31" s="125" t="e">
        <f>VLOOKUP(Table2575525269101343444647484956575859631518171922456667717273747677787993949510010410911111311511713813914157[[#This Row],[PEG]],Table1016[#All],3,FALSE)</f>
        <v>#N/A</v>
      </c>
    </row>
    <row r="32" spans="1:5" x14ac:dyDescent="0.35">
      <c r="A32" s="118">
        <v>25</v>
      </c>
      <c r="B32" s="114" t="s">
        <v>115</v>
      </c>
      <c r="C32" s="109" t="e">
        <f>VLOOKUP(Table2575525269101343444647484956575859631518171922456667717273747677787993949510010410911111311511713813914157[[#This Row],[PEG]],Table1016[#All],2,FALSE)</f>
        <v>#N/A</v>
      </c>
      <c r="D32" s="117"/>
      <c r="E32" s="125" t="e">
        <f>VLOOKUP(Table2575525269101343444647484956575859631518171922456667717273747677787993949510010410911111311511713813914157[[#This Row],[PEG]],Table1016[#All],3,FALSE)</f>
        <v>#N/A</v>
      </c>
    </row>
    <row r="33" spans="1:5" x14ac:dyDescent="0.35">
      <c r="A33" s="118">
        <v>26</v>
      </c>
      <c r="B33" s="114" t="s">
        <v>124</v>
      </c>
      <c r="C33" s="109" t="e">
        <f>VLOOKUP(Table2575525269101343444647484956575859631518171922456667717273747677787993949510010410911111311511713813914157[[#This Row],[PEG]],Table1016[#All],2,FALSE)</f>
        <v>#N/A</v>
      </c>
      <c r="D33" s="117"/>
      <c r="E33" s="125" t="e">
        <f>VLOOKUP(Table2575525269101343444647484956575859631518171922456667717273747677787993949510010410911111311511713813914157[[#This Row],[PEG]],Table1016[#All],3,FALSE)</f>
        <v>#N/A</v>
      </c>
    </row>
    <row r="34" spans="1:5" x14ac:dyDescent="0.35">
      <c r="A34" s="118">
        <v>27</v>
      </c>
      <c r="B34" s="114" t="s">
        <v>115</v>
      </c>
      <c r="C34" s="109" t="e">
        <f>VLOOKUP(Table2575525269101343444647484956575859631518171922456667717273747677787993949510010410911111311511713813914157[[#This Row],[PEG]],Table1016[#All],2,FALSE)</f>
        <v>#N/A</v>
      </c>
      <c r="D34" s="117"/>
      <c r="E34" s="125" t="e">
        <f>VLOOKUP(Table2575525269101343444647484956575859631518171922456667717273747677787993949510010410911111311511713813914157[[#This Row],[PEG]],Table1016[#All],3,FALSE)</f>
        <v>#N/A</v>
      </c>
    </row>
    <row r="35" spans="1:5" x14ac:dyDescent="0.35">
      <c r="A35" s="118">
        <v>28</v>
      </c>
      <c r="B35" s="114" t="s">
        <v>124</v>
      </c>
      <c r="C35" s="109" t="e">
        <f>VLOOKUP(Table2575525269101343444647484956575859631518171922456667717273747677787993949510010410911111311511713813914157[[#This Row],[PEG]],Table1016[#All],2,FALSE)</f>
        <v>#N/A</v>
      </c>
      <c r="D35" s="117"/>
      <c r="E35" s="125" t="e">
        <f>VLOOKUP(Table2575525269101343444647484956575859631518171922456667717273747677787993949510010410911111311511713813914157[[#This Row],[PEG]],Table1016[#All],3,FALSE)</f>
        <v>#N/A</v>
      </c>
    </row>
    <row r="36" spans="1:5" x14ac:dyDescent="0.35">
      <c r="A36" s="118">
        <v>29</v>
      </c>
      <c r="B36" s="114" t="s">
        <v>115</v>
      </c>
      <c r="C36" s="109" t="e">
        <f>VLOOKUP(Table2575525269101343444647484956575859631518171922456667717273747677787993949510010410911111311511713813914157[[#This Row],[PEG]],Table1016[#All],2,FALSE)</f>
        <v>#N/A</v>
      </c>
      <c r="D36" s="117"/>
      <c r="E36" s="125" t="e">
        <f>VLOOKUP(Table2575525269101343444647484956575859631518171922456667717273747677787993949510010410911111311511713813914157[[#This Row],[PEG]],Table1016[#All],3,FALSE)</f>
        <v>#N/A</v>
      </c>
    </row>
    <row r="37" spans="1:5" x14ac:dyDescent="0.35">
      <c r="A37" s="118">
        <v>30</v>
      </c>
      <c r="B37" s="114" t="s">
        <v>12</v>
      </c>
      <c r="C37" s="109" t="e">
        <f>VLOOKUP(Table2575525269101343444647484956575859631518171922456667717273747677787993949510010410911111311511713813914157[[#This Row],[PEG]],Table1016[#All],2,FALSE)</f>
        <v>#N/A</v>
      </c>
      <c r="D37" s="117"/>
      <c r="E37" s="125" t="e">
        <f>VLOOKUP(Table2575525269101343444647484956575859631518171922456667717273747677787993949510010410911111311511713813914157[[#This Row],[PEG]],Table1016[#All],3,FALSE)</f>
        <v>#N/A</v>
      </c>
    </row>
    <row r="38" spans="1:5" x14ac:dyDescent="0.35">
      <c r="A38" s="118">
        <v>31</v>
      </c>
      <c r="B38" s="114" t="s">
        <v>12</v>
      </c>
      <c r="C38" s="109" t="e">
        <f>VLOOKUP(Table2575525269101343444647484956575859631518171922456667717273747677787993949510010410911111311511713813914157[[#This Row],[PEG]],Table1016[#All],2,FALSE)</f>
        <v>#N/A</v>
      </c>
      <c r="D38" s="117"/>
      <c r="E38" s="125" t="e">
        <f>VLOOKUP(Table2575525269101343444647484956575859631518171922456667717273747677787993949510010410911111311511713813914157[[#This Row],[PEG]],Table1016[#All],3,FALSE)</f>
        <v>#N/A</v>
      </c>
    </row>
    <row r="39" spans="1:5" x14ac:dyDescent="0.35">
      <c r="A39" s="118">
        <v>32</v>
      </c>
      <c r="B39" s="114" t="s">
        <v>12</v>
      </c>
      <c r="C39" s="109" t="e">
        <f>VLOOKUP(Table2575525269101343444647484956575859631518171922456667717273747677787993949510010410911111311511713813914157[[#This Row],[PEG]],Table1016[#All],2,FALSE)</f>
        <v>#N/A</v>
      </c>
      <c r="D39" s="117"/>
      <c r="E39" s="125" t="e">
        <f>VLOOKUP(Table2575525269101343444647484956575859631518171922456667717273747677787993949510010410911111311511713813914157[[#This Row],[PEG]],Table1016[#All],3,FALSE)</f>
        <v>#N/A</v>
      </c>
    </row>
    <row r="40" spans="1:5" x14ac:dyDescent="0.35">
      <c r="A40" s="118">
        <v>33</v>
      </c>
      <c r="B40" s="114" t="s">
        <v>12</v>
      </c>
      <c r="C40" s="109" t="e">
        <f>VLOOKUP(Table2575525269101343444647484956575859631518171922456667717273747677787993949510010410911111311511713813914157[[#This Row],[PEG]],Table1016[#All],2,FALSE)</f>
        <v>#N/A</v>
      </c>
      <c r="D40" s="117"/>
      <c r="E40" s="125" t="e">
        <f>VLOOKUP(Table2575525269101343444647484956575859631518171922456667717273747677787993949510010410911111311511713813914157[[#This Row],[PEG]],Table1016[#All],3,FALSE)</f>
        <v>#N/A</v>
      </c>
    </row>
    <row r="41" spans="1:5" x14ac:dyDescent="0.35">
      <c r="A41" s="118">
        <v>34</v>
      </c>
      <c r="B41" s="114" t="s">
        <v>115</v>
      </c>
      <c r="C41" s="109" t="e">
        <f>VLOOKUP(Table2575525269101343444647484956575859631518171922456667717273747677787993949510010410911111311511713813914157[[#This Row],[PEG]],Table1016[#All],2,FALSE)</f>
        <v>#N/A</v>
      </c>
      <c r="D41" s="117"/>
      <c r="E41" s="125" t="e">
        <f>VLOOKUP(Table2575525269101343444647484956575859631518171922456667717273747677787993949510010410911111311511713813914157[[#This Row],[PEG]],Table1016[#All],3,FALSE)</f>
        <v>#N/A</v>
      </c>
    </row>
    <row r="42" spans="1:5" x14ac:dyDescent="0.35">
      <c r="A42" s="118">
        <v>35</v>
      </c>
      <c r="B42" s="114" t="s">
        <v>13</v>
      </c>
      <c r="C42" s="18" t="s">
        <v>13</v>
      </c>
      <c r="D42" s="115"/>
      <c r="E42" s="32"/>
    </row>
    <row r="43" spans="1:5" x14ac:dyDescent="0.35">
      <c r="C43" s="26"/>
    </row>
    <row r="44" spans="1:5" x14ac:dyDescent="0.35">
      <c r="C44" s="26"/>
    </row>
    <row r="45" spans="1:5" x14ac:dyDescent="0.35">
      <c r="C45" s="27"/>
    </row>
    <row r="46" spans="1:5" x14ac:dyDescent="0.35">
      <c r="C46" s="27"/>
    </row>
    <row r="47" spans="1:5" x14ac:dyDescent="0.35">
      <c r="C47" s="27"/>
    </row>
  </sheetData>
  <mergeCells count="1">
    <mergeCell ref="A1:B1"/>
  </mergeCells>
  <conditionalFormatting sqref="C43:C9986">
    <cfRule type="expression" dxfId="3628" priority="42">
      <formula>$B43="Dial"</formula>
    </cfRule>
    <cfRule type="expression" dxfId="3627" priority="44">
      <formula>$B43="HANGUP"</formula>
    </cfRule>
  </conditionalFormatting>
  <conditionalFormatting sqref="E42">
    <cfRule type="containsText" dxfId="3626" priority="5" operator="containsText" text="WEB SERVICE">
      <formula>NOT(ISERROR(SEARCH("WEB SERVICE",E42)))</formula>
    </cfRule>
    <cfRule type="containsText" dxfId="3625" priority="6" operator="containsText" text="DB">
      <formula>NOT(ISERROR(SEARCH("DB",E42)))</formula>
    </cfRule>
  </conditionalFormatting>
  <conditionalFormatting sqref="B30">
    <cfRule type="containsText" dxfId="3624" priority="4" operator="containsText" text="Hear">
      <formula>NOT(ISERROR(SEARCH("Hear",B30)))</formula>
    </cfRule>
  </conditionalFormatting>
  <conditionalFormatting sqref="B8:B18">
    <cfRule type="containsText" dxfId="3623" priority="1" operator="containsText" text="Hear">
      <formula>NOT(ISERROR(SEARCH("Hear",B8)))</formula>
    </cfRule>
  </conditionalFormatting>
  <conditionalFormatting sqref="B36:B38 B40:B41">
    <cfRule type="containsText" dxfId="3622" priority="3" operator="containsText" text="Hear">
      <formula>NOT(ISERROR(SEARCH("Hear",B36)))</formula>
    </cfRule>
  </conditionalFormatting>
  <conditionalFormatting sqref="B19:B29 B31:B35 B42">
    <cfRule type="containsText" dxfId="3621" priority="7" operator="containsText" text="Hear">
      <formula>NOT(ISERROR(SEARCH("Hear",B19)))</formula>
    </cfRule>
  </conditionalFormatting>
  <conditionalFormatting sqref="C42">
    <cfRule type="expression" dxfId="3620" priority="10">
      <formula>$B42="HANGUP"</formula>
    </cfRule>
  </conditionalFormatting>
  <hyperlinks>
    <hyperlink ref="A1" location="'Test Case Overview'!A1" display="Return to Test Case Overview" xr:uid="{00000000-0004-0000-5000-000000000000}"/>
  </hyperlinks>
  <pageMargins left="0.7" right="0.7" top="0.75" bottom="0.75" header="0.3" footer="0.3"/>
  <pageSetup orientation="portrait" verticalDpi="0" r:id="rId1"/>
  <tableParts count="1">
    <tablePart r:id="rId2"/>
  </tableParts>
  <extLst>
    <ext xmlns:x14="http://schemas.microsoft.com/office/spreadsheetml/2009/9/main" uri="{78C0D931-6437-407d-A8EE-F0AAD7539E65}">
      <x14:conditionalFormattings>
        <x14:conditionalFormatting xmlns:xm="http://schemas.microsoft.com/office/excel/2006/main">
          <x14:cfRule type="expression" priority="23" id="{12B87081-1D91-407B-A565-4743971DC109}">
            <xm:f>'TC1'!$B8="Speak"</xm:f>
            <x14:dxf>
              <font>
                <b/>
                <i val="0"/>
                <color rgb="FFFF0000"/>
              </font>
            </x14:dxf>
          </x14:cfRule>
          <xm:sqref>C8</xm:sqref>
        </x14:conditionalFormatting>
        <x14:conditionalFormatting xmlns:xm="http://schemas.microsoft.com/office/excel/2006/main">
          <x14:cfRule type="expression" priority="11" id="{48A2FDA1-11EC-42E2-B477-638FB3AAEB53}">
            <xm:f>'TC1'!$B8="HANGUP"</xm:f>
            <x14:dxf>
              <font>
                <b/>
                <i val="0"/>
              </font>
            </x14:dxf>
          </x14:cfRule>
          <x14:cfRule type="expression" priority="12" id="{70FE98EF-F053-4FB8-9BEC-3ABB11FCC29F}">
            <xm:f>'TC1'!$B8="Dial"</xm:f>
            <x14:dxf>
              <font>
                <b/>
                <i val="0"/>
                <color rgb="FFFF0000"/>
              </font>
            </x14:dxf>
          </x14:cfRule>
          <xm:sqref>C8</xm:sqref>
        </x14:conditionalFormatting>
        <x14:conditionalFormatting xmlns:xm="http://schemas.microsoft.com/office/excel/2006/main">
          <x14:cfRule type="containsText" priority="2" operator="containsText" text="Hear" id="{69DFFCFA-05D3-4090-9FD9-94276CFCFE40}">
            <xm:f>NOT(ISERROR(SEARCH("Hear",'TC3'!B34)))</xm:f>
            <x14:dxf>
              <font>
                <color theme="9" tint="-0.24994659260841701"/>
              </font>
              <fill>
                <patternFill>
                  <bgColor theme="9" tint="0.59996337778862885"/>
                </patternFill>
              </fill>
            </x14:dxf>
          </x14:cfRule>
          <xm:sqref>B41</xm:sqref>
        </x14:conditionalFormatting>
        <x14:conditionalFormatting xmlns:xm="http://schemas.microsoft.com/office/excel/2006/main">
          <x14:cfRule type="expression" priority="1862" id="{12B87081-1D91-407B-A565-4743971DC109}">
            <xm:f>'TC1'!$B16="Speak"</xm:f>
            <x14:dxf>
              <font>
                <b/>
                <i val="0"/>
                <color rgb="FFFF0000"/>
              </font>
            </x14:dxf>
          </x14:cfRule>
          <xm:sqref>C34:C41</xm:sqref>
        </x14:conditionalFormatting>
        <x14:conditionalFormatting xmlns:xm="http://schemas.microsoft.com/office/excel/2006/main">
          <x14:cfRule type="expression" priority="1863" id="{12B87081-1D91-407B-A565-4743971DC109}">
            <xm:f>'TC1'!#REF!="Speak"</xm:f>
            <x14:dxf>
              <font>
                <b/>
                <i val="0"/>
                <color rgb="FFFF0000"/>
              </font>
            </x14:dxf>
          </x14:cfRule>
          <xm:sqref>C17:C33</xm:sqref>
        </x14:conditionalFormatting>
        <x14:conditionalFormatting xmlns:xm="http://schemas.microsoft.com/office/excel/2006/main">
          <x14:cfRule type="expression" priority="1867" id="{48A2FDA1-11EC-42E2-B477-638FB3AAEB53}">
            <xm:f>'TC1'!$B16="HANGUP"</xm:f>
            <x14:dxf>
              <font>
                <b/>
                <i val="0"/>
              </font>
            </x14:dxf>
          </x14:cfRule>
          <x14:cfRule type="expression" priority="1868" id="{70FE98EF-F053-4FB8-9BEC-3ABB11FCC29F}">
            <xm:f>'TC1'!$B16="Dial"</xm:f>
            <x14:dxf>
              <font>
                <b/>
                <i val="0"/>
                <color rgb="FFFF0000"/>
              </font>
            </x14:dxf>
          </x14:cfRule>
          <xm:sqref>C34:C41</xm:sqref>
        </x14:conditionalFormatting>
        <x14:conditionalFormatting xmlns:xm="http://schemas.microsoft.com/office/excel/2006/main">
          <x14:cfRule type="expression" priority="1869" id="{48A2FDA1-11EC-42E2-B477-638FB3AAEB53}">
            <xm:f>'TC1'!#REF!="HANGUP"</xm:f>
            <x14:dxf>
              <font>
                <b/>
                <i val="0"/>
              </font>
            </x14:dxf>
          </x14:cfRule>
          <x14:cfRule type="expression" priority="1870" id="{70FE98EF-F053-4FB8-9BEC-3ABB11FCC29F}">
            <xm:f>'TC1'!#REF!="Dial"</xm:f>
            <x14:dxf>
              <font>
                <b/>
                <i val="0"/>
                <color rgb="FFFF0000"/>
              </font>
            </x14:dxf>
          </x14:cfRule>
          <xm:sqref>C17:C33</xm:sqref>
        </x14:conditionalFormatting>
        <x14:conditionalFormatting xmlns:xm="http://schemas.microsoft.com/office/excel/2006/main">
          <x14:cfRule type="containsText" priority="1875" operator="containsText" text="DB" id="{68B93342-F139-48E6-AB0D-B754D63CD8C1}">
            <xm:f>NOT(ISERROR(SEARCH("DB",'TC1'!E16)))</xm:f>
            <x14:dxf>
              <font>
                <color rgb="FF006100"/>
              </font>
              <fill>
                <patternFill>
                  <bgColor rgb="FFC6EFCE"/>
                </patternFill>
              </fill>
            </x14:dxf>
          </x14:cfRule>
          <x14:cfRule type="containsText" priority="1876" operator="containsText" text="WEB SERVICE" id="{DD80B7C7-BF93-46E0-A572-AA02F3F4112A}">
            <xm:f>NOT(ISERROR(SEARCH("WEB SERVICE",'TC1'!E16)))</xm:f>
            <x14:dxf>
              <font>
                <color rgb="FF9C0006"/>
              </font>
              <fill>
                <patternFill>
                  <bgColor rgb="FFFFC7CE"/>
                </patternFill>
              </fill>
            </x14:dxf>
          </x14:cfRule>
          <xm:sqref>E34:E41</xm:sqref>
        </x14:conditionalFormatting>
        <x14:conditionalFormatting xmlns:xm="http://schemas.microsoft.com/office/excel/2006/main">
          <x14:cfRule type="containsText" priority="1877" operator="containsText" text="DB" id="{68B93342-F139-48E6-AB0D-B754D63CD8C1}">
            <xm:f>NOT(ISERROR(SEARCH("DB",'TC1'!#REF!)))</xm:f>
            <x14:dxf>
              <font>
                <color rgb="FF006100"/>
              </font>
              <fill>
                <patternFill>
                  <bgColor rgb="FFC6EFCE"/>
                </patternFill>
              </fill>
            </x14:dxf>
          </x14:cfRule>
          <x14:cfRule type="containsText" priority="1878" operator="containsText" text="WEB SERVICE" id="{DD80B7C7-BF93-46E0-A572-AA02F3F4112A}">
            <xm:f>NOT(ISERROR(SEARCH("WEB SERVICE",'TC1'!#REF!)))</xm:f>
            <x14:dxf>
              <font>
                <color rgb="FF9C0006"/>
              </font>
              <fill>
                <patternFill>
                  <bgColor rgb="FFFFC7CE"/>
                </patternFill>
              </fill>
            </x14:dxf>
          </x14:cfRule>
          <xm:sqref>E17:E33</xm:sqref>
        </x14:conditionalFormatting>
        <x14:conditionalFormatting xmlns:xm="http://schemas.microsoft.com/office/excel/2006/main">
          <x14:cfRule type="expression" priority="4614" id="{12B87081-1D91-407B-A565-4743971DC109}">
            <xm:f>'TC1'!$B9="Speak"</xm:f>
            <x14:dxf>
              <font>
                <b/>
                <i val="0"/>
                <color rgb="FFFF0000"/>
              </font>
            </x14:dxf>
          </x14:cfRule>
          <xm:sqref>C12:C15</xm:sqref>
        </x14:conditionalFormatting>
        <x14:conditionalFormatting xmlns:xm="http://schemas.microsoft.com/office/excel/2006/main">
          <x14:cfRule type="expression" priority="4615" id="{12B87081-1D91-407B-A565-4743971DC109}">
            <xm:f>'TC1'!#REF!="Speak"</xm:f>
            <x14:dxf>
              <font>
                <b/>
                <i val="0"/>
                <color rgb="FFFF0000"/>
              </font>
            </x14:dxf>
          </x14:cfRule>
          <xm:sqref>C9:C11</xm:sqref>
        </x14:conditionalFormatting>
        <x14:conditionalFormatting xmlns:xm="http://schemas.microsoft.com/office/excel/2006/main">
          <x14:cfRule type="expression" priority="4619" id="{48A2FDA1-11EC-42E2-B477-638FB3AAEB53}">
            <xm:f>'TC1'!$B9="HANGUP"</xm:f>
            <x14:dxf>
              <font>
                <b/>
                <i val="0"/>
              </font>
            </x14:dxf>
          </x14:cfRule>
          <x14:cfRule type="expression" priority="4620" id="{70FE98EF-F053-4FB8-9BEC-3ABB11FCC29F}">
            <xm:f>'TC1'!$B9="Dial"</xm:f>
            <x14:dxf>
              <font>
                <b/>
                <i val="0"/>
                <color rgb="FFFF0000"/>
              </font>
            </x14:dxf>
          </x14:cfRule>
          <xm:sqref>C12:C15</xm:sqref>
        </x14:conditionalFormatting>
        <x14:conditionalFormatting xmlns:xm="http://schemas.microsoft.com/office/excel/2006/main">
          <x14:cfRule type="expression" priority="4621" id="{48A2FDA1-11EC-42E2-B477-638FB3AAEB53}">
            <xm:f>'TC1'!#REF!="HANGUP"</xm:f>
            <x14:dxf>
              <font>
                <b/>
                <i val="0"/>
              </font>
            </x14:dxf>
          </x14:cfRule>
          <x14:cfRule type="expression" priority="4622" id="{70FE98EF-F053-4FB8-9BEC-3ABB11FCC29F}">
            <xm:f>'TC1'!#REF!="Dial"</xm:f>
            <x14:dxf>
              <font>
                <b/>
                <i val="0"/>
                <color rgb="FFFF0000"/>
              </font>
            </x14:dxf>
          </x14:cfRule>
          <xm:sqref>C9:C11</xm:sqref>
        </x14:conditionalFormatting>
        <x14:conditionalFormatting xmlns:xm="http://schemas.microsoft.com/office/excel/2006/main">
          <x14:cfRule type="containsText" priority="4625" operator="containsText" text="DB" id="{68B93342-F139-48E6-AB0D-B754D63CD8C1}">
            <xm:f>NOT(ISERROR(SEARCH("DB",'TC1'!#REF!)))</xm:f>
            <x14:dxf>
              <font>
                <color rgb="FF006100"/>
              </font>
              <fill>
                <patternFill>
                  <bgColor rgb="FFC6EFCE"/>
                </patternFill>
              </fill>
            </x14:dxf>
          </x14:cfRule>
          <x14:cfRule type="containsText" priority="4626" operator="containsText" text="WEB SERVICE" id="{DD80B7C7-BF93-46E0-A572-AA02F3F4112A}">
            <xm:f>NOT(ISERROR(SEARCH("WEB SERVICE",'TC1'!#REF!)))</xm:f>
            <x14:dxf>
              <font>
                <color rgb="FF9C0006"/>
              </font>
              <fill>
                <patternFill>
                  <bgColor rgb="FFFFC7CE"/>
                </patternFill>
              </fill>
            </x14:dxf>
          </x14:cfRule>
          <xm:sqref>E9:E11</xm:sqref>
        </x14:conditionalFormatting>
        <x14:conditionalFormatting xmlns:xm="http://schemas.microsoft.com/office/excel/2006/main">
          <x14:cfRule type="containsText" priority="4627" operator="containsText" text="DB" id="{68B93342-F139-48E6-AB0D-B754D63CD8C1}">
            <xm:f>NOT(ISERROR(SEARCH("DB",'TC1'!E9)))</xm:f>
            <x14:dxf>
              <font>
                <color rgb="FF006100"/>
              </font>
              <fill>
                <patternFill>
                  <bgColor rgb="FFC6EFCE"/>
                </patternFill>
              </fill>
            </x14:dxf>
          </x14:cfRule>
          <x14:cfRule type="containsText" priority="4628" operator="containsText" text="WEB SERVICE" id="{DD80B7C7-BF93-46E0-A572-AA02F3F4112A}">
            <xm:f>NOT(ISERROR(SEARCH("WEB SERVICE",'TC1'!E9)))</xm:f>
            <x14:dxf>
              <font>
                <color rgb="FF9C0006"/>
              </font>
              <fill>
                <patternFill>
                  <bgColor rgb="FFFFC7CE"/>
                </patternFill>
              </fill>
            </x14:dxf>
          </x14:cfRule>
          <xm:sqref>E12:E15</xm:sqref>
        </x14:conditionalFormatting>
        <x14:conditionalFormatting xmlns:xm="http://schemas.microsoft.com/office/excel/2006/main">
          <x14:cfRule type="expression" priority="7024" id="{12B87081-1D91-407B-A565-4743971DC109}">
            <xm:f>'TC1'!$B15="Speak"</xm:f>
            <x14:dxf>
              <font>
                <b/>
                <i val="0"/>
                <color rgb="FFFF0000"/>
              </font>
            </x14:dxf>
          </x14:cfRule>
          <xm:sqref>C16</xm:sqref>
        </x14:conditionalFormatting>
        <x14:conditionalFormatting xmlns:xm="http://schemas.microsoft.com/office/excel/2006/main">
          <x14:cfRule type="expression" priority="7027" id="{48A2FDA1-11EC-42E2-B477-638FB3AAEB53}">
            <xm:f>'TC1'!$B15="HANGUP"</xm:f>
            <x14:dxf>
              <font>
                <b/>
                <i val="0"/>
              </font>
            </x14:dxf>
          </x14:cfRule>
          <x14:cfRule type="expression" priority="7028" id="{70FE98EF-F053-4FB8-9BEC-3ABB11FCC29F}">
            <xm:f>'TC1'!$B15="Dial"</xm:f>
            <x14:dxf>
              <font>
                <b/>
                <i val="0"/>
                <color rgb="FFFF0000"/>
              </font>
            </x14:dxf>
          </x14:cfRule>
          <xm:sqref>C16</xm:sqref>
        </x14:conditionalFormatting>
        <x14:conditionalFormatting xmlns:xm="http://schemas.microsoft.com/office/excel/2006/main">
          <x14:cfRule type="containsText" priority="7031" operator="containsText" text="DB" id="{68B93342-F139-48E6-AB0D-B754D63CD8C1}">
            <xm:f>NOT(ISERROR(SEARCH("DB",'TC1'!E15)))</xm:f>
            <x14:dxf>
              <font>
                <color rgb="FF006100"/>
              </font>
              <fill>
                <patternFill>
                  <bgColor rgb="FFC6EFCE"/>
                </patternFill>
              </fill>
            </x14:dxf>
          </x14:cfRule>
          <x14:cfRule type="containsText" priority="7032" operator="containsText" text="WEB SERVICE" id="{DD80B7C7-BF93-46E0-A572-AA02F3F4112A}">
            <xm:f>NOT(ISERROR(SEARCH("WEB SERVICE",'TC1'!E15)))</xm:f>
            <x14:dxf>
              <font>
                <color rgb="FF9C0006"/>
              </font>
              <fill>
                <patternFill>
                  <bgColor rgb="FFFFC7CE"/>
                </patternFill>
              </fill>
            </x14:dxf>
          </x14:cfRule>
          <xm:sqref>E16</xm:sqref>
        </x14:conditionalFormatting>
        <x14:conditionalFormatting xmlns:xm="http://schemas.microsoft.com/office/excel/2006/main">
          <x14:cfRule type="containsText" priority="9434" operator="containsText" text="Hear" id="{D7200005-8C4F-4FB0-8685-5B611F0FD524}">
            <xm:f>NOT(ISERROR(SEARCH("Hear",'TC26'!#REF!)))</xm:f>
            <x14:dxf>
              <font>
                <color theme="9" tint="-0.24994659260841701"/>
              </font>
              <fill>
                <patternFill>
                  <bgColor theme="9" tint="0.59996337778862885"/>
                </patternFill>
              </fill>
            </x14:dxf>
          </x14:cfRule>
          <xm:sqref>B39</xm:sqref>
        </x14:conditionalFormatting>
      </x14:conditionalFormattings>
    </ext>
  </extLst>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100-000000000000}">
  <sheetPr codeName="Sheet83"/>
  <dimension ref="A1:E62"/>
  <sheetViews>
    <sheetView zoomScaleNormal="100" workbookViewId="0">
      <selection activeCell="A2" sqref="A2"/>
    </sheetView>
  </sheetViews>
  <sheetFormatPr defaultRowHeight="14.5" x14ac:dyDescent="0.35"/>
  <cols>
    <col min="1" max="1" width="14.453125" style="42" bestFit="1" customWidth="1"/>
    <col min="2" max="2" width="42.6328125" style="42" customWidth="1"/>
    <col min="3" max="3" width="106.1796875" style="22" customWidth="1"/>
    <col min="4" max="4" width="21.81640625" style="33" bestFit="1" customWidth="1"/>
    <col min="5" max="5" width="20.6328125" style="42" customWidth="1"/>
  </cols>
  <sheetData>
    <row r="1" spans="1:5" ht="18.5" x14ac:dyDescent="0.35">
      <c r="A1" s="192" t="s">
        <v>4</v>
      </c>
      <c r="B1" s="192"/>
      <c r="C1" s="19"/>
    </row>
    <row r="2" spans="1:5" x14ac:dyDescent="0.35">
      <c r="A2" s="20" t="s">
        <v>5</v>
      </c>
      <c r="B2" s="21" t="str">
        <f ca="1">MID(CELL("filename",A1),FIND("]",CELL("filename",A1))+1,LEN(CELL("filename",A1))-FIND("]",CELL("filename",A1)))</f>
        <v>TC81</v>
      </c>
    </row>
    <row r="3" spans="1:5" x14ac:dyDescent="0.35">
      <c r="A3" s="23" t="s">
        <v>19</v>
      </c>
      <c r="B3" s="24">
        <f ca="1">VLOOKUP(B2,Table53[#All],2,FALSE)</f>
        <v>0</v>
      </c>
    </row>
    <row r="4" spans="1:5" ht="29" x14ac:dyDescent="0.35">
      <c r="A4" s="39" t="s">
        <v>20</v>
      </c>
      <c r="B4" s="38">
        <f ca="1">VLOOKUP(B2,Table53[#All],4,FALSE)</f>
        <v>0</v>
      </c>
    </row>
    <row r="5" spans="1:5" x14ac:dyDescent="0.35">
      <c r="A5" s="23" t="s">
        <v>6</v>
      </c>
      <c r="B5" s="77">
        <f ca="1">VLOOKUP(B2,Table53[#All],3,FALSE)</f>
        <v>0</v>
      </c>
    </row>
    <row r="7" spans="1:5" ht="15.5" x14ac:dyDescent="0.35">
      <c r="A7" s="100" t="s">
        <v>7</v>
      </c>
      <c r="B7" s="101" t="s">
        <v>8</v>
      </c>
      <c r="C7" s="102" t="s">
        <v>9</v>
      </c>
      <c r="D7" s="102" t="s">
        <v>14</v>
      </c>
      <c r="E7" s="103" t="s">
        <v>10</v>
      </c>
    </row>
    <row r="8" spans="1:5" s="97" customFormat="1" x14ac:dyDescent="0.35">
      <c r="A8" s="118">
        <v>1</v>
      </c>
      <c r="B8" s="114" t="s">
        <v>114</v>
      </c>
      <c r="C8" s="109" t="s">
        <v>125</v>
      </c>
      <c r="D8" s="128"/>
      <c r="E8" s="125" t="s">
        <v>11</v>
      </c>
    </row>
    <row r="9" spans="1:5" s="97" customFormat="1" x14ac:dyDescent="0.35">
      <c r="A9" s="118">
        <v>2</v>
      </c>
      <c r="B9" s="114" t="s">
        <v>12</v>
      </c>
      <c r="C9" s="109" t="e">
        <f>VLOOKUP(Table25751[[#This Row],[PEG]],Table1016[#All],2,FALSE)</f>
        <v>#N/A</v>
      </c>
      <c r="D9" s="128"/>
      <c r="E9" s="125" t="e">
        <f>VLOOKUP(Table25751[[#This Row],[PEG]],Table1016[#All],3,FALSE)</f>
        <v>#N/A</v>
      </c>
    </row>
    <row r="10" spans="1:5" s="97" customFormat="1" x14ac:dyDescent="0.35">
      <c r="A10" s="118">
        <v>3</v>
      </c>
      <c r="B10" s="114" t="s">
        <v>115</v>
      </c>
      <c r="C10" s="109" t="e">
        <f>VLOOKUP(Table25751[[#This Row],[PEG]],Table1016[#All],2,FALSE)</f>
        <v>#N/A</v>
      </c>
      <c r="D10" s="128"/>
      <c r="E10" s="125" t="e">
        <f>VLOOKUP(Table25751[[#This Row],[PEG]],Table1016[#All],3,FALSE)</f>
        <v>#N/A</v>
      </c>
    </row>
    <row r="11" spans="1:5" s="97" customFormat="1" x14ac:dyDescent="0.35">
      <c r="A11" s="118">
        <v>4</v>
      </c>
      <c r="B11" s="114" t="s">
        <v>115</v>
      </c>
      <c r="C11" s="109" t="e">
        <f>VLOOKUP(Table25751[[#This Row],[PEG]],Table1016[#All],2,FALSE)</f>
        <v>#N/A</v>
      </c>
      <c r="D11" s="128"/>
      <c r="E11" s="125" t="e">
        <f>VLOOKUP(Table25751[[#This Row],[PEG]],Table1016[#All],3,FALSE)</f>
        <v>#N/A</v>
      </c>
    </row>
    <row r="12" spans="1:5" s="97" customFormat="1" x14ac:dyDescent="0.35">
      <c r="A12" s="118">
        <v>5</v>
      </c>
      <c r="B12" s="114" t="s">
        <v>114</v>
      </c>
      <c r="C12" s="109" t="e">
        <f>VLOOKUP(Table25751[[#This Row],[PEG]],Table1016[#All],2,FALSE)</f>
        <v>#N/A</v>
      </c>
      <c r="D12" s="128"/>
      <c r="E12" s="125" t="e">
        <f>VLOOKUP(Table25751[[#This Row],[PEG]],Table1016[#All],3,FALSE)</f>
        <v>#N/A</v>
      </c>
    </row>
    <row r="13" spans="1:5" s="97" customFormat="1" x14ac:dyDescent="0.35">
      <c r="A13" s="118">
        <v>6</v>
      </c>
      <c r="B13" s="114" t="s">
        <v>115</v>
      </c>
      <c r="C13" s="109" t="e">
        <f>VLOOKUP(Table25751[[#This Row],[PEG]],Table1016[#All],2,FALSE)</f>
        <v>#N/A</v>
      </c>
      <c r="D13" s="128"/>
      <c r="E13" s="125" t="e">
        <f>VLOOKUP(Table25751[[#This Row],[PEG]],Table1016[#All],3,FALSE)</f>
        <v>#N/A</v>
      </c>
    </row>
    <row r="14" spans="1:5" s="97" customFormat="1" x14ac:dyDescent="0.35">
      <c r="A14" s="118">
        <v>7</v>
      </c>
      <c r="B14" s="114" t="s">
        <v>114</v>
      </c>
      <c r="C14" s="109" t="e">
        <f>VLOOKUP(Table25751[[#This Row],[PEG]],Table1016[#All],2,FALSE)</f>
        <v>#N/A</v>
      </c>
      <c r="D14" s="128"/>
      <c r="E14" s="125" t="e">
        <f>VLOOKUP(Table25751[[#This Row],[PEG]],Table1016[#All],3,FALSE)</f>
        <v>#N/A</v>
      </c>
    </row>
    <row r="15" spans="1:5" x14ac:dyDescent="0.35">
      <c r="A15" s="118">
        <v>8</v>
      </c>
      <c r="B15" s="114" t="s">
        <v>115</v>
      </c>
      <c r="C15" s="109" t="e">
        <f>VLOOKUP(Table25751[[#This Row],[PEG]],Table1016[#All],2,FALSE)</f>
        <v>#N/A</v>
      </c>
      <c r="D15" s="116"/>
      <c r="E15" s="125" t="e">
        <f>VLOOKUP(Table25751[[#This Row],[PEG]],Table1016[#All],3,FALSE)</f>
        <v>#N/A</v>
      </c>
    </row>
    <row r="16" spans="1:5" x14ac:dyDescent="0.35">
      <c r="A16" s="118">
        <v>9</v>
      </c>
      <c r="B16" s="114" t="s">
        <v>12</v>
      </c>
      <c r="C16" s="109" t="e">
        <f>VLOOKUP(Table25751[[#This Row],[PEG]],Table1016[#All],2,FALSE)</f>
        <v>#N/A</v>
      </c>
      <c r="D16" s="116"/>
      <c r="E16" s="125" t="e">
        <f>VLOOKUP(Table25751[[#This Row],[PEG]],Table1016[#All],3,FALSE)</f>
        <v>#N/A</v>
      </c>
    </row>
    <row r="17" spans="1:5" x14ac:dyDescent="0.35">
      <c r="A17" s="118">
        <v>10</v>
      </c>
      <c r="B17" s="114" t="s">
        <v>12</v>
      </c>
      <c r="C17" s="109" t="e">
        <f>VLOOKUP(Table25751[[#This Row],[PEG]],Table1016[#All],2,FALSE)</f>
        <v>#N/A</v>
      </c>
      <c r="D17" s="117"/>
      <c r="E17" s="125" t="e">
        <f>VLOOKUP(Table25751[[#This Row],[PEG]],Table1016[#All],3,FALSE)</f>
        <v>#N/A</v>
      </c>
    </row>
    <row r="18" spans="1:5" x14ac:dyDescent="0.35">
      <c r="A18" s="118">
        <v>11</v>
      </c>
      <c r="B18" s="114" t="s">
        <v>115</v>
      </c>
      <c r="C18" s="109" t="e">
        <f>VLOOKUP(Table25751[[#This Row],[PEG]],Table1016[#All],2,FALSE)</f>
        <v>#N/A</v>
      </c>
      <c r="D18" s="117"/>
      <c r="E18" s="125" t="e">
        <f>VLOOKUP(Table25751[[#This Row],[PEG]],Table1016[#All],3,FALSE)</f>
        <v>#N/A</v>
      </c>
    </row>
    <row r="19" spans="1:5" x14ac:dyDescent="0.35">
      <c r="A19" s="118">
        <v>12</v>
      </c>
      <c r="B19" s="114" t="s">
        <v>115</v>
      </c>
      <c r="C19" s="109" t="e">
        <f>VLOOKUP(Table25751[[#This Row],[PEG]],Table1016[#All],2,FALSE)</f>
        <v>#N/A</v>
      </c>
      <c r="D19" s="117"/>
      <c r="E19" s="125" t="e">
        <f>VLOOKUP(Table25751[[#This Row],[PEG]],Table1016[#All],3,FALSE)</f>
        <v>#N/A</v>
      </c>
    </row>
    <row r="20" spans="1:5" x14ac:dyDescent="0.35">
      <c r="A20" s="118">
        <v>13</v>
      </c>
      <c r="B20" s="114" t="s">
        <v>114</v>
      </c>
      <c r="C20" s="109" t="e">
        <f>VLOOKUP(Table25751[[#This Row],[PEG]],Table1016[#All],2,FALSE)</f>
        <v>#N/A</v>
      </c>
      <c r="D20" s="117"/>
      <c r="E20" s="125" t="e">
        <f>VLOOKUP(Table25751[[#This Row],[PEG]],Table1016[#All],3,FALSE)</f>
        <v>#N/A</v>
      </c>
    </row>
    <row r="21" spans="1:5" x14ac:dyDescent="0.35">
      <c r="A21" s="118">
        <v>14</v>
      </c>
      <c r="B21" s="114" t="s">
        <v>12</v>
      </c>
      <c r="C21" s="109" t="e">
        <f>VLOOKUP(Table25751[[#This Row],[PEG]],Table1016[#All],2,FALSE)</f>
        <v>#N/A</v>
      </c>
      <c r="D21" s="117"/>
      <c r="E21" s="125" t="e">
        <f>VLOOKUP(Table25751[[#This Row],[PEG]],Table1016[#All],3,FALSE)</f>
        <v>#N/A</v>
      </c>
    </row>
    <row r="22" spans="1:5" x14ac:dyDescent="0.35">
      <c r="A22" s="118">
        <v>15</v>
      </c>
      <c r="B22" s="114" t="s">
        <v>12</v>
      </c>
      <c r="C22" s="109" t="e">
        <f>VLOOKUP(Table25751[[#This Row],[PEG]],Table1016[#All],2,FALSE)</f>
        <v>#N/A</v>
      </c>
      <c r="D22" s="117"/>
      <c r="E22" s="125" t="e">
        <f>VLOOKUP(Table25751[[#This Row],[PEG]],Table1016[#All],3,FALSE)</f>
        <v>#N/A</v>
      </c>
    </row>
    <row r="23" spans="1:5" x14ac:dyDescent="0.35">
      <c r="A23" s="118">
        <v>16</v>
      </c>
      <c r="B23" s="114" t="s">
        <v>115</v>
      </c>
      <c r="C23" s="109" t="e">
        <f>VLOOKUP(Table25751[[#This Row],[PEG]],Table1016[#All],2,FALSE)</f>
        <v>#N/A</v>
      </c>
      <c r="D23" s="117"/>
      <c r="E23" s="125" t="e">
        <f>VLOOKUP(Table25751[[#This Row],[PEG]],Table1016[#All],3,FALSE)</f>
        <v>#N/A</v>
      </c>
    </row>
    <row r="24" spans="1:5" x14ac:dyDescent="0.35">
      <c r="A24" s="118">
        <v>17</v>
      </c>
      <c r="B24" s="114" t="s">
        <v>114</v>
      </c>
      <c r="C24" s="109" t="e">
        <f>VLOOKUP(Table25751[[#This Row],[PEG]],Table1016[#All],2,FALSE)</f>
        <v>#N/A</v>
      </c>
      <c r="D24" s="117"/>
      <c r="E24" s="125" t="e">
        <f>VLOOKUP(Table25751[[#This Row],[PEG]],Table1016[#All],3,FALSE)</f>
        <v>#N/A</v>
      </c>
    </row>
    <row r="25" spans="1:5" s="97" customFormat="1" x14ac:dyDescent="0.35">
      <c r="A25" s="118">
        <v>18</v>
      </c>
      <c r="B25" s="114" t="s">
        <v>12</v>
      </c>
      <c r="C25" s="109" t="e">
        <f>VLOOKUP(Table25751[[#This Row],[PEG]],Table1016[#All],2,FALSE)</f>
        <v>#N/A</v>
      </c>
      <c r="D25" s="117"/>
      <c r="E25" s="125" t="e">
        <f>VLOOKUP(Table25751[[#This Row],[PEG]],Table1016[#All],3,FALSE)</f>
        <v>#N/A</v>
      </c>
    </row>
    <row r="26" spans="1:5" x14ac:dyDescent="0.35">
      <c r="A26" s="118">
        <v>19</v>
      </c>
      <c r="B26" s="114" t="s">
        <v>12</v>
      </c>
      <c r="C26" s="109" t="e">
        <f>VLOOKUP(Table25751[[#This Row],[PEG]],Table1016[#All],2,FALSE)</f>
        <v>#N/A</v>
      </c>
      <c r="D26" s="117"/>
      <c r="E26" s="125" t="e">
        <f>VLOOKUP(Table25751[[#This Row],[PEG]],Table1016[#All],3,FALSE)</f>
        <v>#N/A</v>
      </c>
    </row>
    <row r="27" spans="1:5" x14ac:dyDescent="0.35">
      <c r="A27" s="118">
        <v>20</v>
      </c>
      <c r="B27" s="114" t="s">
        <v>115</v>
      </c>
      <c r="C27" s="109" t="e">
        <f>VLOOKUP(Table25751[[#This Row],[PEG]],Table1016[#All],2,FALSE)</f>
        <v>#N/A</v>
      </c>
      <c r="D27" s="117"/>
      <c r="E27" s="125" t="e">
        <f>VLOOKUP(Table25751[[#This Row],[PEG]],Table1016[#All],3,FALSE)</f>
        <v>#N/A</v>
      </c>
    </row>
    <row r="28" spans="1:5" x14ac:dyDescent="0.35">
      <c r="A28" s="118">
        <v>21</v>
      </c>
      <c r="B28" s="114" t="s">
        <v>114</v>
      </c>
      <c r="C28" s="109" t="e">
        <f>VLOOKUP(Table25751[[#This Row],[PEG]],Table1016[#All],2,FALSE)</f>
        <v>#N/A</v>
      </c>
      <c r="D28" s="117"/>
      <c r="E28" s="125" t="e">
        <f>VLOOKUP(Table25751[[#This Row],[PEG]],Table1016[#All],3,FALSE)</f>
        <v>#N/A</v>
      </c>
    </row>
    <row r="29" spans="1:5" x14ac:dyDescent="0.35">
      <c r="A29" s="118">
        <v>22</v>
      </c>
      <c r="B29" s="114" t="s">
        <v>12</v>
      </c>
      <c r="C29" s="109" t="e">
        <f>VLOOKUP(Table25751[[#This Row],[PEG]],Table1016[#All],2,FALSE)</f>
        <v>#N/A</v>
      </c>
      <c r="D29" s="117"/>
      <c r="E29" s="125" t="e">
        <f>VLOOKUP(Table25751[[#This Row],[PEG]],Table1016[#All],3,FALSE)</f>
        <v>#N/A</v>
      </c>
    </row>
    <row r="30" spans="1:5" x14ac:dyDescent="0.35">
      <c r="A30" s="118">
        <v>23</v>
      </c>
      <c r="B30" s="114" t="s">
        <v>12</v>
      </c>
      <c r="C30" s="109" t="e">
        <f>VLOOKUP(Table25751[[#This Row],[PEG]],Table1016[#All],2,FALSE)</f>
        <v>#N/A</v>
      </c>
      <c r="D30" s="117"/>
      <c r="E30" s="125" t="e">
        <f>VLOOKUP(Table25751[[#This Row],[PEG]],Table1016[#All],3,FALSE)</f>
        <v>#N/A</v>
      </c>
    </row>
    <row r="31" spans="1:5" x14ac:dyDescent="0.35">
      <c r="A31" s="118">
        <v>24</v>
      </c>
      <c r="B31" s="114" t="s">
        <v>115</v>
      </c>
      <c r="C31" s="109" t="e">
        <f>VLOOKUP(Table25751[[#This Row],[PEG]],Table1016[#All],2,FALSE)</f>
        <v>#N/A</v>
      </c>
      <c r="D31" s="117"/>
      <c r="E31" s="125" t="e">
        <f>VLOOKUP(Table25751[[#This Row],[PEG]],Table1016[#All],3,FALSE)</f>
        <v>#N/A</v>
      </c>
    </row>
    <row r="32" spans="1:5" s="80" customFormat="1" x14ac:dyDescent="0.35">
      <c r="A32" s="118">
        <v>25</v>
      </c>
      <c r="B32" s="114" t="s">
        <v>115</v>
      </c>
      <c r="C32" s="109" t="e">
        <f>VLOOKUP(Table25751[[#This Row],[PEG]],Table1016[#All],2,FALSE)</f>
        <v>#N/A</v>
      </c>
      <c r="D32" s="117"/>
      <c r="E32" s="125" t="e">
        <f>VLOOKUP(Table25751[[#This Row],[PEG]],Table1016[#All],3,FALSE)</f>
        <v>#N/A</v>
      </c>
    </row>
    <row r="33" spans="1:5" x14ac:dyDescent="0.35">
      <c r="A33" s="118">
        <v>26</v>
      </c>
      <c r="B33" s="114" t="s">
        <v>124</v>
      </c>
      <c r="C33" s="109" t="e">
        <f>VLOOKUP(Table25751[[#This Row],[PEG]],Table1016[#All],2,FALSE)</f>
        <v>#N/A</v>
      </c>
      <c r="D33" s="117"/>
      <c r="E33" s="125" t="e">
        <f>VLOOKUP(Table25751[[#This Row],[PEG]],Table1016[#All],3,FALSE)</f>
        <v>#N/A</v>
      </c>
    </row>
    <row r="34" spans="1:5" x14ac:dyDescent="0.35">
      <c r="A34" s="118">
        <v>27</v>
      </c>
      <c r="B34" s="114" t="s">
        <v>115</v>
      </c>
      <c r="C34" s="109" t="e">
        <f>VLOOKUP(Table25751[[#This Row],[PEG]],Table1016[#All],2,FALSE)</f>
        <v>#N/A</v>
      </c>
      <c r="D34" s="117"/>
      <c r="E34" s="125" t="e">
        <f>VLOOKUP(Table25751[[#This Row],[PEG]],Table1016[#All],3,FALSE)</f>
        <v>#N/A</v>
      </c>
    </row>
    <row r="35" spans="1:5" x14ac:dyDescent="0.35">
      <c r="A35" s="118">
        <v>28</v>
      </c>
      <c r="B35" s="114" t="s">
        <v>124</v>
      </c>
      <c r="C35" s="109" t="e">
        <f>VLOOKUP(Table25751[[#This Row],[PEG]],Table1016[#All],2,FALSE)</f>
        <v>#N/A</v>
      </c>
      <c r="D35" s="117"/>
      <c r="E35" s="125" t="e">
        <f>VLOOKUP(Table25751[[#This Row],[PEG]],Table1016[#All],3,FALSE)</f>
        <v>#N/A</v>
      </c>
    </row>
    <row r="36" spans="1:5" x14ac:dyDescent="0.35">
      <c r="A36" s="118">
        <v>29</v>
      </c>
      <c r="B36" s="114" t="s">
        <v>115</v>
      </c>
      <c r="C36" s="109" t="e">
        <f>VLOOKUP(Table25751[[#This Row],[PEG]],Table1016[#All],2,FALSE)</f>
        <v>#N/A</v>
      </c>
      <c r="D36" s="117"/>
      <c r="E36" s="125" t="e">
        <f>VLOOKUP(Table25751[[#This Row],[PEG]],Table1016[#All],3,FALSE)</f>
        <v>#N/A</v>
      </c>
    </row>
    <row r="37" spans="1:5" x14ac:dyDescent="0.35">
      <c r="A37" s="118">
        <v>30</v>
      </c>
      <c r="B37" s="114" t="s">
        <v>12</v>
      </c>
      <c r="C37" s="109" t="e">
        <f>VLOOKUP(Table25751[[#This Row],[PEG]],Table1016[#All],2,FALSE)</f>
        <v>#N/A</v>
      </c>
      <c r="D37" s="117"/>
      <c r="E37" s="125" t="e">
        <f>VLOOKUP(Table25751[[#This Row],[PEG]],Table1016[#All],3,FALSE)</f>
        <v>#N/A</v>
      </c>
    </row>
    <row r="38" spans="1:5" x14ac:dyDescent="0.35">
      <c r="A38" s="118">
        <v>31</v>
      </c>
      <c r="B38" s="114" t="s">
        <v>12</v>
      </c>
      <c r="C38" s="109" t="e">
        <f>VLOOKUP(Table25751[[#This Row],[PEG]],Table1016[#All],2,FALSE)</f>
        <v>#N/A</v>
      </c>
      <c r="D38" s="117"/>
      <c r="E38" s="125" t="e">
        <f>VLOOKUP(Table25751[[#This Row],[PEG]],Table1016[#All],3,FALSE)</f>
        <v>#N/A</v>
      </c>
    </row>
    <row r="39" spans="1:5" x14ac:dyDescent="0.35">
      <c r="A39" s="118">
        <v>32</v>
      </c>
      <c r="B39" s="114" t="s">
        <v>12</v>
      </c>
      <c r="C39" s="109" t="e">
        <f>VLOOKUP(Table25751[[#This Row],[PEG]],Table1016[#All],2,FALSE)</f>
        <v>#N/A</v>
      </c>
      <c r="D39" s="117"/>
      <c r="E39" s="125" t="e">
        <f>VLOOKUP(Table25751[[#This Row],[PEG]],Table1016[#All],3,FALSE)</f>
        <v>#N/A</v>
      </c>
    </row>
    <row r="40" spans="1:5" x14ac:dyDescent="0.35">
      <c r="A40" s="118">
        <v>33</v>
      </c>
      <c r="B40" s="114" t="s">
        <v>12</v>
      </c>
      <c r="C40" s="109" t="e">
        <f>VLOOKUP(Table25751[[#This Row],[PEG]],Table1016[#All],2,FALSE)</f>
        <v>#N/A</v>
      </c>
      <c r="D40" s="117"/>
      <c r="E40" s="125" t="e">
        <f>VLOOKUP(Table25751[[#This Row],[PEG]],Table1016[#All],3,FALSE)</f>
        <v>#N/A</v>
      </c>
    </row>
    <row r="41" spans="1:5" x14ac:dyDescent="0.35">
      <c r="A41" s="118">
        <v>34</v>
      </c>
      <c r="B41" s="114" t="s">
        <v>115</v>
      </c>
      <c r="C41" s="109" t="e">
        <f>VLOOKUP(Table25751[[#This Row],[PEG]],Table1016[#All],2,FALSE)</f>
        <v>#N/A</v>
      </c>
      <c r="D41" s="117"/>
      <c r="E41" s="125" t="e">
        <f>VLOOKUP(Table25751[[#This Row],[PEG]],Table1016[#All],3,FALSE)</f>
        <v>#N/A</v>
      </c>
    </row>
    <row r="42" spans="1:5" x14ac:dyDescent="0.35">
      <c r="A42" s="118">
        <v>35</v>
      </c>
      <c r="B42" s="114" t="s">
        <v>12</v>
      </c>
      <c r="C42" s="109" t="e">
        <f>VLOOKUP(Table25751[[#This Row],[PEG]],Table1016[#All],2,FALSE)</f>
        <v>#N/A</v>
      </c>
      <c r="D42" s="115"/>
      <c r="E42" s="125" t="e">
        <f>VLOOKUP(Table25751[[#This Row],[PEG]],Table1016[#All],3,FALSE)</f>
        <v>#N/A</v>
      </c>
    </row>
    <row r="43" spans="1:5" x14ac:dyDescent="0.35">
      <c r="A43" s="118">
        <v>36</v>
      </c>
      <c r="B43" s="35" t="s">
        <v>115</v>
      </c>
      <c r="C43" s="109" t="e">
        <f>VLOOKUP(Table25751[[#This Row],[PEG]],Table1016[#All],2,FALSE)</f>
        <v>#N/A</v>
      </c>
      <c r="D43" s="81"/>
      <c r="E43" s="125" t="e">
        <f>VLOOKUP(Table25751[[#This Row],[PEG]],Table1016[#All],3,FALSE)</f>
        <v>#N/A</v>
      </c>
    </row>
    <row r="44" spans="1:5" x14ac:dyDescent="0.35">
      <c r="A44" s="118">
        <v>37</v>
      </c>
      <c r="B44" s="35" t="s">
        <v>13</v>
      </c>
      <c r="C44" s="18" t="s">
        <v>13</v>
      </c>
      <c r="D44" s="78"/>
      <c r="E44" s="32"/>
    </row>
    <row r="45" spans="1:5" x14ac:dyDescent="0.35">
      <c r="C45" s="26"/>
      <c r="D45" s="33" t="s">
        <v>0</v>
      </c>
    </row>
    <row r="46" spans="1:5" x14ac:dyDescent="0.35">
      <c r="C46" s="26"/>
    </row>
    <row r="47" spans="1:5" x14ac:dyDescent="0.35">
      <c r="C47" s="26"/>
    </row>
    <row r="48" spans="1:5" x14ac:dyDescent="0.35">
      <c r="C48" s="26"/>
    </row>
    <row r="49" spans="3:3" x14ac:dyDescent="0.35">
      <c r="C49" s="26"/>
    </row>
    <row r="50" spans="3:3" x14ac:dyDescent="0.35">
      <c r="C50" s="26"/>
    </row>
    <row r="51" spans="3:3" x14ac:dyDescent="0.35">
      <c r="C51" s="26"/>
    </row>
    <row r="52" spans="3:3" x14ac:dyDescent="0.35">
      <c r="C52" s="26"/>
    </row>
    <row r="53" spans="3:3" x14ac:dyDescent="0.35">
      <c r="C53" s="26"/>
    </row>
    <row r="54" spans="3:3" x14ac:dyDescent="0.35">
      <c r="C54" s="26"/>
    </row>
    <row r="55" spans="3:3" x14ac:dyDescent="0.35">
      <c r="C55" s="26"/>
    </row>
    <row r="56" spans="3:3" x14ac:dyDescent="0.35">
      <c r="C56" s="26"/>
    </row>
    <row r="57" spans="3:3" x14ac:dyDescent="0.35">
      <c r="C57" s="26"/>
    </row>
    <row r="58" spans="3:3" x14ac:dyDescent="0.35">
      <c r="C58" s="26"/>
    </row>
    <row r="59" spans="3:3" x14ac:dyDescent="0.35">
      <c r="C59" s="26"/>
    </row>
    <row r="60" spans="3:3" x14ac:dyDescent="0.35">
      <c r="C60" s="27"/>
    </row>
    <row r="61" spans="3:3" x14ac:dyDescent="0.35">
      <c r="C61" s="27"/>
    </row>
    <row r="62" spans="3:3" x14ac:dyDescent="0.35">
      <c r="C62" s="27"/>
    </row>
  </sheetData>
  <mergeCells count="1">
    <mergeCell ref="A1:B1"/>
  </mergeCells>
  <conditionalFormatting sqref="B43:B44">
    <cfRule type="containsText" dxfId="3589" priority="42" operator="containsText" text="Hear">
      <formula>NOT(ISERROR(SEARCH("Hear",B43)))</formula>
    </cfRule>
  </conditionalFormatting>
  <conditionalFormatting sqref="E44">
    <cfRule type="containsText" dxfId="3588" priority="40" operator="containsText" text="WEB SERVICE">
      <formula>NOT(ISERROR(SEARCH("WEB SERVICE",E44)))</formula>
    </cfRule>
    <cfRule type="containsText" dxfId="3587" priority="41" operator="containsText" text="DB">
      <formula>NOT(ISERROR(SEARCH("DB",E44)))</formula>
    </cfRule>
  </conditionalFormatting>
  <conditionalFormatting sqref="C44:C10001">
    <cfRule type="expression" dxfId="3586" priority="43">
      <formula>$B44="Dial"</formula>
    </cfRule>
    <cfRule type="expression" dxfId="3585" priority="45">
      <formula>$B44="HANGUP"</formula>
    </cfRule>
  </conditionalFormatting>
  <conditionalFormatting sqref="C44">
    <cfRule type="expression" dxfId="3584" priority="44">
      <formula>$B44="Speak"</formula>
    </cfRule>
  </conditionalFormatting>
  <conditionalFormatting sqref="B30">
    <cfRule type="containsText" dxfId="3583" priority="4" operator="containsText" text="Hear">
      <formula>NOT(ISERROR(SEARCH("Hear",B30)))</formula>
    </cfRule>
  </conditionalFormatting>
  <conditionalFormatting sqref="B8:B18">
    <cfRule type="containsText" dxfId="3582" priority="1" operator="containsText" text="Hear">
      <formula>NOT(ISERROR(SEARCH("Hear",B8)))</formula>
    </cfRule>
  </conditionalFormatting>
  <conditionalFormatting sqref="B36:B38 B40:B41">
    <cfRule type="containsText" dxfId="3581" priority="3" operator="containsText" text="Hear">
      <formula>NOT(ISERROR(SEARCH("Hear",B36)))</formula>
    </cfRule>
  </conditionalFormatting>
  <conditionalFormatting sqref="B19:B29 B31:B35 B42">
    <cfRule type="containsText" dxfId="3580" priority="7" operator="containsText" text="Hear">
      <formula>NOT(ISERROR(SEARCH("Hear",B19)))</formula>
    </cfRule>
  </conditionalFormatting>
  <hyperlinks>
    <hyperlink ref="A1" location="'Test Case Overview'!A1" display="Return to Test Case Overview" xr:uid="{00000000-0004-0000-5100-000000000000}"/>
  </hyperlinks>
  <pageMargins left="0.7" right="0.7" top="0.75" bottom="0.75" header="0.3" footer="0.3"/>
  <pageSetup orientation="portrait" r:id="rId1"/>
  <tableParts count="1">
    <tablePart r:id="rId2"/>
  </tableParts>
  <extLst>
    <ext xmlns:x14="http://schemas.microsoft.com/office/spreadsheetml/2009/9/main" uri="{78C0D931-6437-407d-A8EE-F0AAD7539E65}">
      <x14:conditionalFormattings>
        <x14:conditionalFormatting xmlns:xm="http://schemas.microsoft.com/office/excel/2006/main">
          <x14:cfRule type="expression" priority="24" id="{C036866A-603B-4762-BBCB-161234DC42F1}">
            <xm:f>'TC1'!$B8="Speak"</xm:f>
            <x14:dxf>
              <font>
                <b/>
                <i val="0"/>
                <color rgb="FFFF0000"/>
              </font>
            </x14:dxf>
          </x14:cfRule>
          <xm:sqref>C8</xm:sqref>
        </x14:conditionalFormatting>
        <x14:conditionalFormatting xmlns:xm="http://schemas.microsoft.com/office/excel/2006/main">
          <x14:cfRule type="expression" priority="11" id="{B2256EE3-FAE4-4569-AB2C-EF0C0256A318}">
            <xm:f>'TC1'!$B8="HANGUP"</xm:f>
            <x14:dxf>
              <font>
                <b/>
                <i val="0"/>
              </font>
            </x14:dxf>
          </x14:cfRule>
          <x14:cfRule type="expression" priority="12" id="{1D3C54AB-F25A-48D2-81D2-F6F0FDA43810}">
            <xm:f>'TC1'!$B8="Dial"</xm:f>
            <x14:dxf>
              <font>
                <b/>
                <i val="0"/>
                <color rgb="FFFF0000"/>
              </font>
            </x14:dxf>
          </x14:cfRule>
          <xm:sqref>C8</xm:sqref>
        </x14:conditionalFormatting>
        <x14:conditionalFormatting xmlns:xm="http://schemas.microsoft.com/office/excel/2006/main">
          <x14:cfRule type="containsText" priority="2" operator="containsText" text="Hear" id="{9B6CB9CE-7D1D-468F-ADDB-2DD55A0D8C83}">
            <xm:f>NOT(ISERROR(SEARCH("Hear",'TC3'!B34)))</xm:f>
            <x14:dxf>
              <font>
                <color theme="9" tint="-0.24994659260841701"/>
              </font>
              <fill>
                <patternFill>
                  <bgColor theme="9" tint="0.59996337778862885"/>
                </patternFill>
              </fill>
            </x14:dxf>
          </x14:cfRule>
          <xm:sqref>B41</xm:sqref>
        </x14:conditionalFormatting>
        <x14:conditionalFormatting xmlns:xm="http://schemas.microsoft.com/office/excel/2006/main">
          <x14:cfRule type="expression" priority="1882" id="{C036866A-603B-4762-BBCB-161234DC42F1}">
            <xm:f>'TC1'!$B16="Speak"</xm:f>
            <x14:dxf>
              <font>
                <b/>
                <i val="0"/>
                <color rgb="FFFF0000"/>
              </font>
            </x14:dxf>
          </x14:cfRule>
          <xm:sqref>C34:C43</xm:sqref>
        </x14:conditionalFormatting>
        <x14:conditionalFormatting xmlns:xm="http://schemas.microsoft.com/office/excel/2006/main">
          <x14:cfRule type="expression" priority="1883" id="{C036866A-603B-4762-BBCB-161234DC42F1}">
            <xm:f>'TC1'!#REF!="Speak"</xm:f>
            <x14:dxf>
              <font>
                <b/>
                <i val="0"/>
                <color rgb="FFFF0000"/>
              </font>
            </x14:dxf>
          </x14:cfRule>
          <xm:sqref>C17:C33</xm:sqref>
        </x14:conditionalFormatting>
        <x14:conditionalFormatting xmlns:xm="http://schemas.microsoft.com/office/excel/2006/main">
          <x14:cfRule type="expression" priority="1887" id="{B2256EE3-FAE4-4569-AB2C-EF0C0256A318}">
            <xm:f>'TC1'!$B16="HANGUP"</xm:f>
            <x14:dxf>
              <font>
                <b/>
                <i val="0"/>
              </font>
            </x14:dxf>
          </x14:cfRule>
          <x14:cfRule type="expression" priority="1888" id="{1D3C54AB-F25A-48D2-81D2-F6F0FDA43810}">
            <xm:f>'TC1'!$B16="Dial"</xm:f>
            <x14:dxf>
              <font>
                <b/>
                <i val="0"/>
                <color rgb="FFFF0000"/>
              </font>
            </x14:dxf>
          </x14:cfRule>
          <xm:sqref>C34:C43</xm:sqref>
        </x14:conditionalFormatting>
        <x14:conditionalFormatting xmlns:xm="http://schemas.microsoft.com/office/excel/2006/main">
          <x14:cfRule type="expression" priority="1889" id="{B2256EE3-FAE4-4569-AB2C-EF0C0256A318}">
            <xm:f>'TC1'!#REF!="HANGUP"</xm:f>
            <x14:dxf>
              <font>
                <b/>
                <i val="0"/>
              </font>
            </x14:dxf>
          </x14:cfRule>
          <x14:cfRule type="expression" priority="1890" id="{1D3C54AB-F25A-48D2-81D2-F6F0FDA43810}">
            <xm:f>'TC1'!#REF!="Dial"</xm:f>
            <x14:dxf>
              <font>
                <b/>
                <i val="0"/>
                <color rgb="FFFF0000"/>
              </font>
            </x14:dxf>
          </x14:cfRule>
          <xm:sqref>C17:C33</xm:sqref>
        </x14:conditionalFormatting>
        <x14:conditionalFormatting xmlns:xm="http://schemas.microsoft.com/office/excel/2006/main">
          <x14:cfRule type="containsText" priority="1895" operator="containsText" text="DB" id="{BB76FD91-A668-4380-BB56-1E98CA2161DA}">
            <xm:f>NOT(ISERROR(SEARCH("DB",'TC1'!E16)))</xm:f>
            <x14:dxf>
              <font>
                <color rgb="FF006100"/>
              </font>
              <fill>
                <patternFill>
                  <bgColor rgb="FFC6EFCE"/>
                </patternFill>
              </fill>
            </x14:dxf>
          </x14:cfRule>
          <x14:cfRule type="containsText" priority="1896" operator="containsText" text="WEB SERVICE" id="{C4163817-4384-4226-BD68-809D5C351BF6}">
            <xm:f>NOT(ISERROR(SEARCH("WEB SERVICE",'TC1'!E16)))</xm:f>
            <x14:dxf>
              <font>
                <color rgb="FF9C0006"/>
              </font>
              <fill>
                <patternFill>
                  <bgColor rgb="FFFFC7CE"/>
                </patternFill>
              </fill>
            </x14:dxf>
          </x14:cfRule>
          <xm:sqref>E34:E43</xm:sqref>
        </x14:conditionalFormatting>
        <x14:conditionalFormatting xmlns:xm="http://schemas.microsoft.com/office/excel/2006/main">
          <x14:cfRule type="containsText" priority="1897" operator="containsText" text="DB" id="{BB76FD91-A668-4380-BB56-1E98CA2161DA}">
            <xm:f>NOT(ISERROR(SEARCH("DB",'TC1'!#REF!)))</xm:f>
            <x14:dxf>
              <font>
                <color rgb="FF006100"/>
              </font>
              <fill>
                <patternFill>
                  <bgColor rgb="FFC6EFCE"/>
                </patternFill>
              </fill>
            </x14:dxf>
          </x14:cfRule>
          <x14:cfRule type="containsText" priority="1898" operator="containsText" text="WEB SERVICE" id="{C4163817-4384-4226-BD68-809D5C351BF6}">
            <xm:f>NOT(ISERROR(SEARCH("WEB SERVICE",'TC1'!#REF!)))</xm:f>
            <x14:dxf>
              <font>
                <color rgb="FF9C0006"/>
              </font>
              <fill>
                <patternFill>
                  <bgColor rgb="FFFFC7CE"/>
                </patternFill>
              </fill>
            </x14:dxf>
          </x14:cfRule>
          <xm:sqref>E17:E33</xm:sqref>
        </x14:conditionalFormatting>
        <x14:conditionalFormatting xmlns:xm="http://schemas.microsoft.com/office/excel/2006/main">
          <x14:cfRule type="expression" priority="4632" id="{C036866A-603B-4762-BBCB-161234DC42F1}">
            <xm:f>'TC1'!$B9="Speak"</xm:f>
            <x14:dxf>
              <font>
                <b/>
                <i val="0"/>
                <color rgb="FFFF0000"/>
              </font>
            </x14:dxf>
          </x14:cfRule>
          <xm:sqref>C12:C15</xm:sqref>
        </x14:conditionalFormatting>
        <x14:conditionalFormatting xmlns:xm="http://schemas.microsoft.com/office/excel/2006/main">
          <x14:cfRule type="expression" priority="4633" id="{C036866A-603B-4762-BBCB-161234DC42F1}">
            <xm:f>'TC1'!#REF!="Speak"</xm:f>
            <x14:dxf>
              <font>
                <b/>
                <i val="0"/>
                <color rgb="FFFF0000"/>
              </font>
            </x14:dxf>
          </x14:cfRule>
          <xm:sqref>C9:C11</xm:sqref>
        </x14:conditionalFormatting>
        <x14:conditionalFormatting xmlns:xm="http://schemas.microsoft.com/office/excel/2006/main">
          <x14:cfRule type="expression" priority="4637" id="{B2256EE3-FAE4-4569-AB2C-EF0C0256A318}">
            <xm:f>'TC1'!$B9="HANGUP"</xm:f>
            <x14:dxf>
              <font>
                <b/>
                <i val="0"/>
              </font>
            </x14:dxf>
          </x14:cfRule>
          <x14:cfRule type="expression" priority="4638" id="{1D3C54AB-F25A-48D2-81D2-F6F0FDA43810}">
            <xm:f>'TC1'!$B9="Dial"</xm:f>
            <x14:dxf>
              <font>
                <b/>
                <i val="0"/>
                <color rgb="FFFF0000"/>
              </font>
            </x14:dxf>
          </x14:cfRule>
          <xm:sqref>C12:C15</xm:sqref>
        </x14:conditionalFormatting>
        <x14:conditionalFormatting xmlns:xm="http://schemas.microsoft.com/office/excel/2006/main">
          <x14:cfRule type="expression" priority="4639" id="{B2256EE3-FAE4-4569-AB2C-EF0C0256A318}">
            <xm:f>'TC1'!#REF!="HANGUP"</xm:f>
            <x14:dxf>
              <font>
                <b/>
                <i val="0"/>
              </font>
            </x14:dxf>
          </x14:cfRule>
          <x14:cfRule type="expression" priority="4640" id="{1D3C54AB-F25A-48D2-81D2-F6F0FDA43810}">
            <xm:f>'TC1'!#REF!="Dial"</xm:f>
            <x14:dxf>
              <font>
                <b/>
                <i val="0"/>
                <color rgb="FFFF0000"/>
              </font>
            </x14:dxf>
          </x14:cfRule>
          <xm:sqref>C9:C11</xm:sqref>
        </x14:conditionalFormatting>
        <x14:conditionalFormatting xmlns:xm="http://schemas.microsoft.com/office/excel/2006/main">
          <x14:cfRule type="containsText" priority="4643" operator="containsText" text="DB" id="{BB76FD91-A668-4380-BB56-1E98CA2161DA}">
            <xm:f>NOT(ISERROR(SEARCH("DB",'TC1'!#REF!)))</xm:f>
            <x14:dxf>
              <font>
                <color rgb="FF006100"/>
              </font>
              <fill>
                <patternFill>
                  <bgColor rgb="FFC6EFCE"/>
                </patternFill>
              </fill>
            </x14:dxf>
          </x14:cfRule>
          <x14:cfRule type="containsText" priority="4644" operator="containsText" text="WEB SERVICE" id="{C4163817-4384-4226-BD68-809D5C351BF6}">
            <xm:f>NOT(ISERROR(SEARCH("WEB SERVICE",'TC1'!#REF!)))</xm:f>
            <x14:dxf>
              <font>
                <color rgb="FF9C0006"/>
              </font>
              <fill>
                <patternFill>
                  <bgColor rgb="FFFFC7CE"/>
                </patternFill>
              </fill>
            </x14:dxf>
          </x14:cfRule>
          <xm:sqref>E9:E11</xm:sqref>
        </x14:conditionalFormatting>
        <x14:conditionalFormatting xmlns:xm="http://schemas.microsoft.com/office/excel/2006/main">
          <x14:cfRule type="containsText" priority="4645" operator="containsText" text="DB" id="{BB76FD91-A668-4380-BB56-1E98CA2161DA}">
            <xm:f>NOT(ISERROR(SEARCH("DB",'TC1'!E9)))</xm:f>
            <x14:dxf>
              <font>
                <color rgb="FF006100"/>
              </font>
              <fill>
                <patternFill>
                  <bgColor rgb="FFC6EFCE"/>
                </patternFill>
              </fill>
            </x14:dxf>
          </x14:cfRule>
          <x14:cfRule type="containsText" priority="4646" operator="containsText" text="WEB SERVICE" id="{C4163817-4384-4226-BD68-809D5C351BF6}">
            <xm:f>NOT(ISERROR(SEARCH("WEB SERVICE",'TC1'!E9)))</xm:f>
            <x14:dxf>
              <font>
                <color rgb="FF9C0006"/>
              </font>
              <fill>
                <patternFill>
                  <bgColor rgb="FFFFC7CE"/>
                </patternFill>
              </fill>
            </x14:dxf>
          </x14:cfRule>
          <xm:sqref>E12:E15</xm:sqref>
        </x14:conditionalFormatting>
        <x14:conditionalFormatting xmlns:xm="http://schemas.microsoft.com/office/excel/2006/main">
          <x14:cfRule type="expression" priority="7039" id="{C036866A-603B-4762-BBCB-161234DC42F1}">
            <xm:f>'TC1'!$B15="Speak"</xm:f>
            <x14:dxf>
              <font>
                <b/>
                <i val="0"/>
                <color rgb="FFFF0000"/>
              </font>
            </x14:dxf>
          </x14:cfRule>
          <xm:sqref>C16</xm:sqref>
        </x14:conditionalFormatting>
        <x14:conditionalFormatting xmlns:xm="http://schemas.microsoft.com/office/excel/2006/main">
          <x14:cfRule type="expression" priority="7042" id="{B2256EE3-FAE4-4569-AB2C-EF0C0256A318}">
            <xm:f>'TC1'!$B15="HANGUP"</xm:f>
            <x14:dxf>
              <font>
                <b/>
                <i val="0"/>
              </font>
            </x14:dxf>
          </x14:cfRule>
          <x14:cfRule type="expression" priority="7043" id="{1D3C54AB-F25A-48D2-81D2-F6F0FDA43810}">
            <xm:f>'TC1'!$B15="Dial"</xm:f>
            <x14:dxf>
              <font>
                <b/>
                <i val="0"/>
                <color rgb="FFFF0000"/>
              </font>
            </x14:dxf>
          </x14:cfRule>
          <xm:sqref>C16</xm:sqref>
        </x14:conditionalFormatting>
        <x14:conditionalFormatting xmlns:xm="http://schemas.microsoft.com/office/excel/2006/main">
          <x14:cfRule type="containsText" priority="7046" operator="containsText" text="DB" id="{BB76FD91-A668-4380-BB56-1E98CA2161DA}">
            <xm:f>NOT(ISERROR(SEARCH("DB",'TC1'!E15)))</xm:f>
            <x14:dxf>
              <font>
                <color rgb="FF006100"/>
              </font>
              <fill>
                <patternFill>
                  <bgColor rgb="FFC6EFCE"/>
                </patternFill>
              </fill>
            </x14:dxf>
          </x14:cfRule>
          <x14:cfRule type="containsText" priority="7047" operator="containsText" text="WEB SERVICE" id="{C4163817-4384-4226-BD68-809D5C351BF6}">
            <xm:f>NOT(ISERROR(SEARCH("WEB SERVICE",'TC1'!E15)))</xm:f>
            <x14:dxf>
              <font>
                <color rgb="FF9C0006"/>
              </font>
              <fill>
                <patternFill>
                  <bgColor rgb="FFFFC7CE"/>
                </patternFill>
              </fill>
            </x14:dxf>
          </x14:cfRule>
          <xm:sqref>E16</xm:sqref>
        </x14:conditionalFormatting>
        <x14:conditionalFormatting xmlns:xm="http://schemas.microsoft.com/office/excel/2006/main">
          <x14:cfRule type="containsText" priority="9454" operator="containsText" text="Hear" id="{D3944BF3-5D38-433A-A83E-1DDC899A44F6}">
            <xm:f>NOT(ISERROR(SEARCH("Hear",'TC26'!#REF!)))</xm:f>
            <x14:dxf>
              <font>
                <color theme="9" tint="-0.24994659260841701"/>
              </font>
              <fill>
                <patternFill>
                  <bgColor theme="9" tint="0.59996337778862885"/>
                </patternFill>
              </fill>
            </x14:dxf>
          </x14:cfRule>
          <xm:sqref>B39</xm:sqref>
        </x14:conditionalFormatting>
      </x14:conditionalFormattings>
    </ext>
  </extLst>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200-000000000000}">
  <sheetPr codeName="Sheet84"/>
  <dimension ref="A1:E61"/>
  <sheetViews>
    <sheetView zoomScaleNormal="100" workbookViewId="0">
      <selection activeCell="A2" sqref="A2"/>
    </sheetView>
  </sheetViews>
  <sheetFormatPr defaultRowHeight="14.5" x14ac:dyDescent="0.35"/>
  <cols>
    <col min="1" max="1" width="14.453125" style="42" bestFit="1" customWidth="1"/>
    <col min="2" max="2" width="42.6328125" style="42" customWidth="1"/>
    <col min="3" max="3" width="106.1796875" style="22" customWidth="1"/>
    <col min="4" max="4" width="21.81640625" style="33" bestFit="1" customWidth="1"/>
    <col min="5" max="5" width="20.6328125" style="42" customWidth="1"/>
  </cols>
  <sheetData>
    <row r="1" spans="1:5" ht="18.5" x14ac:dyDescent="0.35">
      <c r="A1" s="192" t="s">
        <v>4</v>
      </c>
      <c r="B1" s="192"/>
      <c r="C1" s="19"/>
    </row>
    <row r="2" spans="1:5" x14ac:dyDescent="0.35">
      <c r="A2" s="20" t="s">
        <v>5</v>
      </c>
      <c r="B2" s="21" t="str">
        <f ca="1">MID(CELL("filename",A1),FIND("]",CELL("filename",A1))+1,LEN(CELL("filename",A1))-FIND("]",CELL("filename",A1)))</f>
        <v>TC82</v>
      </c>
    </row>
    <row r="3" spans="1:5" x14ac:dyDescent="0.35">
      <c r="A3" s="23" t="s">
        <v>19</v>
      </c>
      <c r="B3" s="24">
        <f ca="1">VLOOKUP(B2,Table53[#All],2,FALSE)</f>
        <v>0</v>
      </c>
    </row>
    <row r="4" spans="1:5" ht="29" x14ac:dyDescent="0.35">
      <c r="A4" s="39" t="s">
        <v>20</v>
      </c>
      <c r="B4" s="38">
        <f ca="1">VLOOKUP(B2,Table53[#All],4,FALSE)</f>
        <v>0</v>
      </c>
    </row>
    <row r="5" spans="1:5" x14ac:dyDescent="0.35">
      <c r="A5" s="23" t="s">
        <v>6</v>
      </c>
      <c r="B5" s="77">
        <f ca="1">VLOOKUP(B2,Table53[#All],3,FALSE)</f>
        <v>0</v>
      </c>
    </row>
    <row r="7" spans="1:5" ht="15.5" x14ac:dyDescent="0.35">
      <c r="A7" s="100" t="s">
        <v>7</v>
      </c>
      <c r="B7" s="101" t="s">
        <v>8</v>
      </c>
      <c r="C7" s="102" t="s">
        <v>9</v>
      </c>
      <c r="D7" s="102" t="s">
        <v>14</v>
      </c>
      <c r="E7" s="103" t="s">
        <v>10</v>
      </c>
    </row>
    <row r="8" spans="1:5" s="97" customFormat="1" x14ac:dyDescent="0.35">
      <c r="A8" s="118">
        <v>1</v>
      </c>
      <c r="B8" s="114" t="s">
        <v>114</v>
      </c>
      <c r="C8" s="109" t="s">
        <v>125</v>
      </c>
      <c r="D8" s="128"/>
      <c r="E8" s="125" t="s">
        <v>11</v>
      </c>
    </row>
    <row r="9" spans="1:5" s="97" customFormat="1" x14ac:dyDescent="0.35">
      <c r="A9" s="118">
        <v>2</v>
      </c>
      <c r="B9" s="114" t="s">
        <v>12</v>
      </c>
      <c r="C9" s="109" t="e">
        <f>VLOOKUP(Table257519[[#This Row],[PEG]],Table1016[#All],2,FALSE)</f>
        <v>#N/A</v>
      </c>
      <c r="D9" s="128"/>
      <c r="E9" s="125" t="e">
        <f>VLOOKUP(Table257519[[#This Row],[PEG]],Table1016[#All],3,FALSE)</f>
        <v>#N/A</v>
      </c>
    </row>
    <row r="10" spans="1:5" s="97" customFormat="1" x14ac:dyDescent="0.35">
      <c r="A10" s="118">
        <v>3</v>
      </c>
      <c r="B10" s="114" t="s">
        <v>115</v>
      </c>
      <c r="C10" s="109" t="e">
        <f>VLOOKUP(Table257519[[#This Row],[PEG]],Table1016[#All],2,FALSE)</f>
        <v>#N/A</v>
      </c>
      <c r="D10" s="128"/>
      <c r="E10" s="125" t="e">
        <f>VLOOKUP(Table257519[[#This Row],[PEG]],Table1016[#All],3,FALSE)</f>
        <v>#N/A</v>
      </c>
    </row>
    <row r="11" spans="1:5" s="97" customFormat="1" x14ac:dyDescent="0.35">
      <c r="A11" s="118">
        <v>4</v>
      </c>
      <c r="B11" s="114" t="s">
        <v>115</v>
      </c>
      <c r="C11" s="109" t="e">
        <f>VLOOKUP(Table257519[[#This Row],[PEG]],Table1016[#All],2,FALSE)</f>
        <v>#N/A</v>
      </c>
      <c r="D11" s="128"/>
      <c r="E11" s="125" t="e">
        <f>VLOOKUP(Table257519[[#This Row],[PEG]],Table1016[#All],3,FALSE)</f>
        <v>#N/A</v>
      </c>
    </row>
    <row r="12" spans="1:5" s="97" customFormat="1" x14ac:dyDescent="0.35">
      <c r="A12" s="118">
        <v>5</v>
      </c>
      <c r="B12" s="114" t="s">
        <v>114</v>
      </c>
      <c r="C12" s="109" t="e">
        <f>VLOOKUP(Table257519[[#This Row],[PEG]],Table1016[#All],2,FALSE)</f>
        <v>#N/A</v>
      </c>
      <c r="D12" s="128"/>
      <c r="E12" s="125" t="e">
        <f>VLOOKUP(Table257519[[#This Row],[PEG]],Table1016[#All],3,FALSE)</f>
        <v>#N/A</v>
      </c>
    </row>
    <row r="13" spans="1:5" s="97" customFormat="1" x14ac:dyDescent="0.35">
      <c r="A13" s="118">
        <v>6</v>
      </c>
      <c r="B13" s="114" t="s">
        <v>115</v>
      </c>
      <c r="C13" s="109" t="e">
        <f>VLOOKUP(Table257519[[#This Row],[PEG]],Table1016[#All],2,FALSE)</f>
        <v>#N/A</v>
      </c>
      <c r="D13" s="128"/>
      <c r="E13" s="125" t="e">
        <f>VLOOKUP(Table257519[[#This Row],[PEG]],Table1016[#All],3,FALSE)</f>
        <v>#N/A</v>
      </c>
    </row>
    <row r="14" spans="1:5" s="97" customFormat="1" x14ac:dyDescent="0.35">
      <c r="A14" s="118">
        <v>7</v>
      </c>
      <c r="B14" s="114" t="s">
        <v>114</v>
      </c>
      <c r="C14" s="109" t="e">
        <f>VLOOKUP(Table257519[[#This Row],[PEG]],Table1016[#All],2,FALSE)</f>
        <v>#N/A</v>
      </c>
      <c r="D14" s="128"/>
      <c r="E14" s="125" t="e">
        <f>VLOOKUP(Table257519[[#This Row],[PEG]],Table1016[#All],3,FALSE)</f>
        <v>#N/A</v>
      </c>
    </row>
    <row r="15" spans="1:5" x14ac:dyDescent="0.35">
      <c r="A15" s="118">
        <v>8</v>
      </c>
      <c r="B15" s="114" t="s">
        <v>115</v>
      </c>
      <c r="C15" s="109" t="e">
        <f>VLOOKUP(Table257519[[#This Row],[PEG]],Table1016[#All],2,FALSE)</f>
        <v>#N/A</v>
      </c>
      <c r="D15" s="116"/>
      <c r="E15" s="125" t="e">
        <f>VLOOKUP(Table257519[[#This Row],[PEG]],Table1016[#All],3,FALSE)</f>
        <v>#N/A</v>
      </c>
    </row>
    <row r="16" spans="1:5" x14ac:dyDescent="0.35">
      <c r="A16" s="118">
        <v>9</v>
      </c>
      <c r="B16" s="114" t="s">
        <v>12</v>
      </c>
      <c r="C16" s="109" t="e">
        <f>VLOOKUP(Table257519[[#This Row],[PEG]],Table1016[#All],2,FALSE)</f>
        <v>#N/A</v>
      </c>
      <c r="D16" s="116"/>
      <c r="E16" s="125" t="e">
        <f>VLOOKUP(Table257519[[#This Row],[PEG]],Table1016[#All],3,FALSE)</f>
        <v>#N/A</v>
      </c>
    </row>
    <row r="17" spans="1:5" x14ac:dyDescent="0.35">
      <c r="A17" s="118">
        <v>10</v>
      </c>
      <c r="B17" s="114" t="s">
        <v>12</v>
      </c>
      <c r="C17" s="109" t="e">
        <f>VLOOKUP(Table257519[[#This Row],[PEG]],Table1016[#All],2,FALSE)</f>
        <v>#N/A</v>
      </c>
      <c r="D17" s="117"/>
      <c r="E17" s="125" t="e">
        <f>VLOOKUP(Table257519[[#This Row],[PEG]],Table1016[#All],3,FALSE)</f>
        <v>#N/A</v>
      </c>
    </row>
    <row r="18" spans="1:5" x14ac:dyDescent="0.35">
      <c r="A18" s="118">
        <v>11</v>
      </c>
      <c r="B18" s="114" t="s">
        <v>115</v>
      </c>
      <c r="C18" s="109" t="e">
        <f>VLOOKUP(Table257519[[#This Row],[PEG]],Table1016[#All],2,FALSE)</f>
        <v>#N/A</v>
      </c>
      <c r="D18" s="117"/>
      <c r="E18" s="125" t="e">
        <f>VLOOKUP(Table257519[[#This Row],[PEG]],Table1016[#All],3,FALSE)</f>
        <v>#N/A</v>
      </c>
    </row>
    <row r="19" spans="1:5" x14ac:dyDescent="0.35">
      <c r="A19" s="118">
        <v>12</v>
      </c>
      <c r="B19" s="114" t="s">
        <v>115</v>
      </c>
      <c r="C19" s="109" t="e">
        <f>VLOOKUP(Table257519[[#This Row],[PEG]],Table1016[#All],2,FALSE)</f>
        <v>#N/A</v>
      </c>
      <c r="D19" s="117"/>
      <c r="E19" s="125" t="e">
        <f>VLOOKUP(Table257519[[#This Row],[PEG]],Table1016[#All],3,FALSE)</f>
        <v>#N/A</v>
      </c>
    </row>
    <row r="20" spans="1:5" x14ac:dyDescent="0.35">
      <c r="A20" s="118">
        <v>13</v>
      </c>
      <c r="B20" s="114" t="s">
        <v>114</v>
      </c>
      <c r="C20" s="109" t="e">
        <f>VLOOKUP(Table257519[[#This Row],[PEG]],Table1016[#All],2,FALSE)</f>
        <v>#N/A</v>
      </c>
      <c r="D20" s="117"/>
      <c r="E20" s="125" t="e">
        <f>VLOOKUP(Table257519[[#This Row],[PEG]],Table1016[#All],3,FALSE)</f>
        <v>#N/A</v>
      </c>
    </row>
    <row r="21" spans="1:5" x14ac:dyDescent="0.35">
      <c r="A21" s="118">
        <v>14</v>
      </c>
      <c r="B21" s="114" t="s">
        <v>12</v>
      </c>
      <c r="C21" s="109" t="e">
        <f>VLOOKUP(Table257519[[#This Row],[PEG]],Table1016[#All],2,FALSE)</f>
        <v>#N/A</v>
      </c>
      <c r="D21" s="117"/>
      <c r="E21" s="125" t="e">
        <f>VLOOKUP(Table257519[[#This Row],[PEG]],Table1016[#All],3,FALSE)</f>
        <v>#N/A</v>
      </c>
    </row>
    <row r="22" spans="1:5" x14ac:dyDescent="0.35">
      <c r="A22" s="118">
        <v>15</v>
      </c>
      <c r="B22" s="114" t="s">
        <v>12</v>
      </c>
      <c r="C22" s="109" t="e">
        <f>VLOOKUP(Table257519[[#This Row],[PEG]],Table1016[#All],2,FALSE)</f>
        <v>#N/A</v>
      </c>
      <c r="D22" s="117"/>
      <c r="E22" s="125" t="e">
        <f>VLOOKUP(Table257519[[#This Row],[PEG]],Table1016[#All],3,FALSE)</f>
        <v>#N/A</v>
      </c>
    </row>
    <row r="23" spans="1:5" x14ac:dyDescent="0.35">
      <c r="A23" s="118">
        <v>16</v>
      </c>
      <c r="B23" s="114" t="s">
        <v>115</v>
      </c>
      <c r="C23" s="109" t="e">
        <f>VLOOKUP(Table257519[[#This Row],[PEG]],Table1016[#All],2,FALSE)</f>
        <v>#N/A</v>
      </c>
      <c r="D23" s="117"/>
      <c r="E23" s="125" t="e">
        <f>VLOOKUP(Table257519[[#This Row],[PEG]],Table1016[#All],3,FALSE)</f>
        <v>#N/A</v>
      </c>
    </row>
    <row r="24" spans="1:5" x14ac:dyDescent="0.35">
      <c r="A24" s="118">
        <v>17</v>
      </c>
      <c r="B24" s="114" t="s">
        <v>114</v>
      </c>
      <c r="C24" s="109" t="e">
        <f>VLOOKUP(Table257519[[#This Row],[PEG]],Table1016[#All],2,FALSE)</f>
        <v>#N/A</v>
      </c>
      <c r="D24" s="117"/>
      <c r="E24" s="125" t="e">
        <f>VLOOKUP(Table257519[[#This Row],[PEG]],Table1016[#All],3,FALSE)</f>
        <v>#N/A</v>
      </c>
    </row>
    <row r="25" spans="1:5" s="97" customFormat="1" x14ac:dyDescent="0.35">
      <c r="A25" s="118">
        <v>18</v>
      </c>
      <c r="B25" s="114" t="s">
        <v>12</v>
      </c>
      <c r="C25" s="109" t="e">
        <f>VLOOKUP(Table257519[[#This Row],[PEG]],Table1016[#All],2,FALSE)</f>
        <v>#N/A</v>
      </c>
      <c r="D25" s="117"/>
      <c r="E25" s="125" t="e">
        <f>VLOOKUP(Table257519[[#This Row],[PEG]],Table1016[#All],3,FALSE)</f>
        <v>#N/A</v>
      </c>
    </row>
    <row r="26" spans="1:5" x14ac:dyDescent="0.35">
      <c r="A26" s="118">
        <v>19</v>
      </c>
      <c r="B26" s="114" t="s">
        <v>12</v>
      </c>
      <c r="C26" s="109" t="e">
        <f>VLOOKUP(Table257519[[#This Row],[PEG]],Table1016[#All],2,FALSE)</f>
        <v>#N/A</v>
      </c>
      <c r="D26" s="117"/>
      <c r="E26" s="125" t="e">
        <f>VLOOKUP(Table257519[[#This Row],[PEG]],Table1016[#All],3,FALSE)</f>
        <v>#N/A</v>
      </c>
    </row>
    <row r="27" spans="1:5" x14ac:dyDescent="0.35">
      <c r="A27" s="118">
        <v>20</v>
      </c>
      <c r="B27" s="114" t="s">
        <v>115</v>
      </c>
      <c r="C27" s="109" t="e">
        <f>VLOOKUP(Table257519[[#This Row],[PEG]],Table1016[#All],2,FALSE)</f>
        <v>#N/A</v>
      </c>
      <c r="D27" s="117"/>
      <c r="E27" s="125" t="e">
        <f>VLOOKUP(Table257519[[#This Row],[PEG]],Table1016[#All],3,FALSE)</f>
        <v>#N/A</v>
      </c>
    </row>
    <row r="28" spans="1:5" x14ac:dyDescent="0.35">
      <c r="A28" s="118">
        <v>21</v>
      </c>
      <c r="B28" s="114" t="s">
        <v>114</v>
      </c>
      <c r="C28" s="109" t="e">
        <f>VLOOKUP(Table257519[[#This Row],[PEG]],Table1016[#All],2,FALSE)</f>
        <v>#N/A</v>
      </c>
      <c r="D28" s="117"/>
      <c r="E28" s="125" t="e">
        <f>VLOOKUP(Table257519[[#This Row],[PEG]],Table1016[#All],3,FALSE)</f>
        <v>#N/A</v>
      </c>
    </row>
    <row r="29" spans="1:5" x14ac:dyDescent="0.35">
      <c r="A29" s="118">
        <v>22</v>
      </c>
      <c r="B29" s="114" t="s">
        <v>12</v>
      </c>
      <c r="C29" s="109" t="e">
        <f>VLOOKUP(Table257519[[#This Row],[PEG]],Table1016[#All],2,FALSE)</f>
        <v>#N/A</v>
      </c>
      <c r="D29" s="117"/>
      <c r="E29" s="125" t="e">
        <f>VLOOKUP(Table257519[[#This Row],[PEG]],Table1016[#All],3,FALSE)</f>
        <v>#N/A</v>
      </c>
    </row>
    <row r="30" spans="1:5" x14ac:dyDescent="0.35">
      <c r="A30" s="118">
        <v>23</v>
      </c>
      <c r="B30" s="114" t="s">
        <v>12</v>
      </c>
      <c r="C30" s="109" t="e">
        <f>VLOOKUP(Table257519[[#This Row],[PEG]],Table1016[#All],2,FALSE)</f>
        <v>#N/A</v>
      </c>
      <c r="D30" s="117"/>
      <c r="E30" s="125" t="e">
        <f>VLOOKUP(Table257519[[#This Row],[PEG]],Table1016[#All],3,FALSE)</f>
        <v>#N/A</v>
      </c>
    </row>
    <row r="31" spans="1:5" x14ac:dyDescent="0.35">
      <c r="A31" s="118">
        <v>24</v>
      </c>
      <c r="B31" s="114" t="s">
        <v>115</v>
      </c>
      <c r="C31" s="109" t="e">
        <f>VLOOKUP(Table257519[[#This Row],[PEG]],Table1016[#All],2,FALSE)</f>
        <v>#N/A</v>
      </c>
      <c r="D31" s="117"/>
      <c r="E31" s="125" t="e">
        <f>VLOOKUP(Table257519[[#This Row],[PEG]],Table1016[#All],3,FALSE)</f>
        <v>#N/A</v>
      </c>
    </row>
    <row r="32" spans="1:5" x14ac:dyDescent="0.35">
      <c r="A32" s="118">
        <v>25</v>
      </c>
      <c r="B32" s="114" t="s">
        <v>115</v>
      </c>
      <c r="C32" s="109" t="e">
        <f>VLOOKUP(Table257519[[#This Row],[PEG]],Table1016[#All],2,FALSE)</f>
        <v>#N/A</v>
      </c>
      <c r="D32" s="117"/>
      <c r="E32" s="125" t="e">
        <f>VLOOKUP(Table257519[[#This Row],[PEG]],Table1016[#All],3,FALSE)</f>
        <v>#N/A</v>
      </c>
    </row>
    <row r="33" spans="1:5" x14ac:dyDescent="0.35">
      <c r="A33" s="118">
        <v>26</v>
      </c>
      <c r="B33" s="114" t="s">
        <v>124</v>
      </c>
      <c r="C33" s="109" t="e">
        <f>VLOOKUP(Table257519[[#This Row],[PEG]],Table1016[#All],2,FALSE)</f>
        <v>#N/A</v>
      </c>
      <c r="D33" s="117"/>
      <c r="E33" s="125" t="e">
        <f>VLOOKUP(Table257519[[#This Row],[PEG]],Table1016[#All],3,FALSE)</f>
        <v>#N/A</v>
      </c>
    </row>
    <row r="34" spans="1:5" x14ac:dyDescent="0.35">
      <c r="A34" s="118">
        <v>27</v>
      </c>
      <c r="B34" s="114" t="s">
        <v>115</v>
      </c>
      <c r="C34" s="109" t="e">
        <f>VLOOKUP(Table257519[[#This Row],[PEG]],Table1016[#All],2,FALSE)</f>
        <v>#N/A</v>
      </c>
      <c r="D34" s="117"/>
      <c r="E34" s="125" t="e">
        <f>VLOOKUP(Table257519[[#This Row],[PEG]],Table1016[#All],3,FALSE)</f>
        <v>#N/A</v>
      </c>
    </row>
    <row r="35" spans="1:5" x14ac:dyDescent="0.35">
      <c r="A35" s="118">
        <v>28</v>
      </c>
      <c r="B35" s="114" t="s">
        <v>124</v>
      </c>
      <c r="C35" s="109" t="e">
        <f>VLOOKUP(Table257519[[#This Row],[PEG]],Table1016[#All],2,FALSE)</f>
        <v>#N/A</v>
      </c>
      <c r="D35" s="117"/>
      <c r="E35" s="125" t="e">
        <f>VLOOKUP(Table257519[[#This Row],[PEG]],Table1016[#All],3,FALSE)</f>
        <v>#N/A</v>
      </c>
    </row>
    <row r="36" spans="1:5" x14ac:dyDescent="0.35">
      <c r="A36" s="118">
        <v>29</v>
      </c>
      <c r="B36" s="114" t="s">
        <v>115</v>
      </c>
      <c r="C36" s="109" t="e">
        <f>VLOOKUP(Table257519[[#This Row],[PEG]],Table1016[#All],2,FALSE)</f>
        <v>#N/A</v>
      </c>
      <c r="D36" s="117"/>
      <c r="E36" s="125" t="e">
        <f>VLOOKUP(Table257519[[#This Row],[PEG]],Table1016[#All],3,FALSE)</f>
        <v>#N/A</v>
      </c>
    </row>
    <row r="37" spans="1:5" x14ac:dyDescent="0.35">
      <c r="A37" s="118">
        <v>30</v>
      </c>
      <c r="B37" s="114" t="s">
        <v>12</v>
      </c>
      <c r="C37" s="109" t="e">
        <f>VLOOKUP(Table257519[[#This Row],[PEG]],Table1016[#All],2,FALSE)</f>
        <v>#N/A</v>
      </c>
      <c r="D37" s="117"/>
      <c r="E37" s="125" t="e">
        <f>VLOOKUP(Table257519[[#This Row],[PEG]],Table1016[#All],3,FALSE)</f>
        <v>#N/A</v>
      </c>
    </row>
    <row r="38" spans="1:5" x14ac:dyDescent="0.35">
      <c r="A38" s="118">
        <v>31</v>
      </c>
      <c r="B38" s="114" t="s">
        <v>12</v>
      </c>
      <c r="C38" s="109" t="e">
        <f>VLOOKUP(Table257519[[#This Row],[PEG]],Table1016[#All],2,FALSE)</f>
        <v>#N/A</v>
      </c>
      <c r="D38" s="117"/>
      <c r="E38" s="125" t="e">
        <f>VLOOKUP(Table257519[[#This Row],[PEG]],Table1016[#All],3,FALSE)</f>
        <v>#N/A</v>
      </c>
    </row>
    <row r="39" spans="1:5" x14ac:dyDescent="0.35">
      <c r="A39" s="118">
        <v>32</v>
      </c>
      <c r="B39" s="114" t="s">
        <v>12</v>
      </c>
      <c r="C39" s="109" t="e">
        <f>VLOOKUP(Table257519[[#This Row],[PEG]],Table1016[#All],2,FALSE)</f>
        <v>#N/A</v>
      </c>
      <c r="D39" s="117"/>
      <c r="E39" s="125" t="e">
        <f>VLOOKUP(Table257519[[#This Row],[PEG]],Table1016[#All],3,FALSE)</f>
        <v>#N/A</v>
      </c>
    </row>
    <row r="40" spans="1:5" x14ac:dyDescent="0.35">
      <c r="A40" s="118">
        <v>33</v>
      </c>
      <c r="B40" s="114" t="s">
        <v>12</v>
      </c>
      <c r="C40" s="109" t="e">
        <f>VLOOKUP(Table257519[[#This Row],[PEG]],Table1016[#All],2,FALSE)</f>
        <v>#N/A</v>
      </c>
      <c r="D40" s="117"/>
      <c r="E40" s="125" t="e">
        <f>VLOOKUP(Table257519[[#This Row],[PEG]],Table1016[#All],3,FALSE)</f>
        <v>#N/A</v>
      </c>
    </row>
    <row r="41" spans="1:5" x14ac:dyDescent="0.35">
      <c r="A41" s="118">
        <v>34</v>
      </c>
      <c r="B41" s="114" t="s">
        <v>115</v>
      </c>
      <c r="C41" s="109" t="e">
        <f>VLOOKUP(Table257519[[#This Row],[PEG]],Table1016[#All],2,FALSE)</f>
        <v>#N/A</v>
      </c>
      <c r="D41" s="117"/>
      <c r="E41" s="125" t="e">
        <f>VLOOKUP(Table257519[[#This Row],[PEG]],Table1016[#All],3,FALSE)</f>
        <v>#N/A</v>
      </c>
    </row>
    <row r="42" spans="1:5" x14ac:dyDescent="0.35">
      <c r="A42" s="118">
        <v>35</v>
      </c>
      <c r="B42" s="114" t="s">
        <v>12</v>
      </c>
      <c r="C42" s="109" t="e">
        <f>VLOOKUP(Table257519[[#This Row],[PEG]],Table1016[#All],2,FALSE)</f>
        <v>#N/A</v>
      </c>
      <c r="D42" s="115"/>
      <c r="E42" s="125" t="e">
        <f>VLOOKUP(Table257519[[#This Row],[PEG]],Table1016[#All],3,FALSE)</f>
        <v>#N/A</v>
      </c>
    </row>
    <row r="43" spans="1:5" x14ac:dyDescent="0.35">
      <c r="A43" s="118">
        <v>36</v>
      </c>
      <c r="B43" s="114" t="s">
        <v>115</v>
      </c>
      <c r="C43" s="109" t="e">
        <f>VLOOKUP(Table257519[[#This Row],[PEG]],Table1016[#All],2,FALSE)</f>
        <v>#N/A</v>
      </c>
      <c r="D43" s="115"/>
      <c r="E43" s="125" t="e">
        <f>VLOOKUP(Table257519[[#This Row],[PEG]],Table1016[#All],3,FALSE)</f>
        <v>#N/A</v>
      </c>
    </row>
    <row r="44" spans="1:5" x14ac:dyDescent="0.35">
      <c r="A44" s="118">
        <v>37</v>
      </c>
      <c r="B44" s="114" t="s">
        <v>13</v>
      </c>
      <c r="C44" s="18" t="s">
        <v>13</v>
      </c>
      <c r="D44" s="115"/>
      <c r="E44" s="32"/>
    </row>
    <row r="45" spans="1:5" x14ac:dyDescent="0.35">
      <c r="A45" s="97"/>
      <c r="B45" s="97"/>
      <c r="C45" s="26"/>
      <c r="D45" s="111" t="s">
        <v>0</v>
      </c>
      <c r="E45" s="97"/>
    </row>
    <row r="46" spans="1:5" x14ac:dyDescent="0.35">
      <c r="C46" s="26"/>
    </row>
    <row r="47" spans="1:5" x14ac:dyDescent="0.35">
      <c r="C47" s="26"/>
    </row>
    <row r="48" spans="1:5" x14ac:dyDescent="0.35">
      <c r="C48" s="26"/>
    </row>
    <row r="49" spans="3:3" x14ac:dyDescent="0.35">
      <c r="C49" s="26"/>
    </row>
    <row r="50" spans="3:3" x14ac:dyDescent="0.35">
      <c r="C50" s="26"/>
    </row>
    <row r="51" spans="3:3" x14ac:dyDescent="0.35">
      <c r="C51" s="26"/>
    </row>
    <row r="52" spans="3:3" x14ac:dyDescent="0.35">
      <c r="C52" s="26"/>
    </row>
    <row r="53" spans="3:3" x14ac:dyDescent="0.35">
      <c r="C53" s="26"/>
    </row>
    <row r="54" spans="3:3" x14ac:dyDescent="0.35">
      <c r="C54" s="26"/>
    </row>
    <row r="55" spans="3:3" x14ac:dyDescent="0.35">
      <c r="C55" s="26"/>
    </row>
    <row r="56" spans="3:3" x14ac:dyDescent="0.35">
      <c r="C56" s="26"/>
    </row>
    <row r="57" spans="3:3" x14ac:dyDescent="0.35">
      <c r="C57" s="26"/>
    </row>
    <row r="58" spans="3:3" x14ac:dyDescent="0.35">
      <c r="C58" s="26"/>
    </row>
    <row r="59" spans="3:3" x14ac:dyDescent="0.35">
      <c r="C59" s="27"/>
    </row>
    <row r="60" spans="3:3" x14ac:dyDescent="0.35">
      <c r="C60" s="27"/>
    </row>
    <row r="61" spans="3:3" x14ac:dyDescent="0.35">
      <c r="C61" s="27"/>
    </row>
  </sheetData>
  <mergeCells count="1">
    <mergeCell ref="A1:B1"/>
  </mergeCells>
  <conditionalFormatting sqref="C46:C10000">
    <cfRule type="expression" dxfId="3549" priority="46">
      <formula>$B46="Dial"</formula>
    </cfRule>
    <cfRule type="expression" dxfId="3548" priority="48">
      <formula>$B46="HANGUP"</formula>
    </cfRule>
  </conditionalFormatting>
  <conditionalFormatting sqref="B30">
    <cfRule type="containsText" dxfId="3547" priority="4" operator="containsText" text="Hear">
      <formula>NOT(ISERROR(SEARCH("Hear",B30)))</formula>
    </cfRule>
  </conditionalFormatting>
  <conditionalFormatting sqref="B43:B44">
    <cfRule type="containsText" dxfId="3546" priority="14" operator="containsText" text="Hear">
      <formula>NOT(ISERROR(SEARCH("Hear",B43)))</formula>
    </cfRule>
  </conditionalFormatting>
  <conditionalFormatting sqref="E44">
    <cfRule type="containsText" dxfId="3545" priority="12" operator="containsText" text="WEB SERVICE">
      <formula>NOT(ISERROR(SEARCH("WEB SERVICE",E44)))</formula>
    </cfRule>
    <cfRule type="containsText" dxfId="3544" priority="13" operator="containsText" text="DB">
      <formula>NOT(ISERROR(SEARCH("DB",E44)))</formula>
    </cfRule>
  </conditionalFormatting>
  <conditionalFormatting sqref="C44:C45">
    <cfRule type="expression" dxfId="3543" priority="15">
      <formula>$B44="Dial"</formula>
    </cfRule>
    <cfRule type="expression" dxfId="3542" priority="17">
      <formula>$B44="HANGUP"</formula>
    </cfRule>
  </conditionalFormatting>
  <conditionalFormatting sqref="C44">
    <cfRule type="expression" dxfId="3541" priority="16">
      <formula>$B44="Speak"</formula>
    </cfRule>
  </conditionalFormatting>
  <conditionalFormatting sqref="B8:B18">
    <cfRule type="containsText" dxfId="3540" priority="1" operator="containsText" text="Hear">
      <formula>NOT(ISERROR(SEARCH("Hear",B8)))</formula>
    </cfRule>
  </conditionalFormatting>
  <conditionalFormatting sqref="B36:B38 B40:B41">
    <cfRule type="containsText" dxfId="3539" priority="3" operator="containsText" text="Hear">
      <formula>NOT(ISERROR(SEARCH("Hear",B36)))</formula>
    </cfRule>
  </conditionalFormatting>
  <conditionalFormatting sqref="B19:B29 B31:B35 B42">
    <cfRule type="containsText" dxfId="3538" priority="5" operator="containsText" text="Hear">
      <formula>NOT(ISERROR(SEARCH("Hear",B19)))</formula>
    </cfRule>
  </conditionalFormatting>
  <hyperlinks>
    <hyperlink ref="A1" location="'Test Case Overview'!A1" display="Return to Test Case Overview" xr:uid="{00000000-0004-0000-5200-000000000000}"/>
  </hyperlinks>
  <pageMargins left="0.7" right="0.7" top="0.75" bottom="0.75" header="0.3" footer="0.3"/>
  <pageSetup orientation="portrait" verticalDpi="0" r:id="rId1"/>
  <tableParts count="1">
    <tablePart r:id="rId2"/>
  </tableParts>
  <extLst>
    <ext xmlns:x14="http://schemas.microsoft.com/office/spreadsheetml/2009/9/main" uri="{78C0D931-6437-407d-A8EE-F0AAD7539E65}">
      <x14:conditionalFormattings>
        <x14:conditionalFormatting xmlns:xm="http://schemas.microsoft.com/office/excel/2006/main">
          <x14:cfRule type="expression" priority="24" id="{F04138AD-C2B1-4A63-982F-46AAB1EE5E4E}">
            <xm:f>'TC1'!$B8="Speak"</xm:f>
            <x14:dxf>
              <font>
                <b/>
                <i val="0"/>
                <color rgb="FFFF0000"/>
              </font>
            </x14:dxf>
          </x14:cfRule>
          <xm:sqref>C8</xm:sqref>
        </x14:conditionalFormatting>
        <x14:conditionalFormatting xmlns:xm="http://schemas.microsoft.com/office/excel/2006/main">
          <x14:cfRule type="expression" priority="8" id="{57BB2AC8-C4B4-4E54-9900-965BFC695FA8}">
            <xm:f>'TC1'!$B8="HANGUP"</xm:f>
            <x14:dxf>
              <font>
                <b/>
                <i val="0"/>
              </font>
            </x14:dxf>
          </x14:cfRule>
          <x14:cfRule type="expression" priority="9" id="{E22AF58C-8848-477A-A5F6-948E5B8D1D8C}">
            <xm:f>'TC1'!$B8="Dial"</xm:f>
            <x14:dxf>
              <font>
                <b/>
                <i val="0"/>
                <color rgb="FFFF0000"/>
              </font>
            </x14:dxf>
          </x14:cfRule>
          <xm:sqref>C8</xm:sqref>
        </x14:conditionalFormatting>
        <x14:conditionalFormatting xmlns:xm="http://schemas.microsoft.com/office/excel/2006/main">
          <x14:cfRule type="containsText" priority="2" operator="containsText" text="Hear" id="{660BAB97-FE02-4737-A7C8-E5409E64204E}">
            <xm:f>NOT(ISERROR(SEARCH("Hear",'TC3'!B34)))</xm:f>
            <x14:dxf>
              <font>
                <color theme="9" tint="-0.24994659260841701"/>
              </font>
              <fill>
                <patternFill>
                  <bgColor theme="9" tint="0.59996337778862885"/>
                </patternFill>
              </fill>
            </x14:dxf>
          </x14:cfRule>
          <xm:sqref>B41</xm:sqref>
        </x14:conditionalFormatting>
        <x14:conditionalFormatting xmlns:xm="http://schemas.microsoft.com/office/excel/2006/main">
          <x14:cfRule type="expression" priority="1902" id="{F04138AD-C2B1-4A63-982F-46AAB1EE5E4E}">
            <xm:f>'TC1'!$B16="Speak"</xm:f>
            <x14:dxf>
              <font>
                <b/>
                <i val="0"/>
                <color rgb="FFFF0000"/>
              </font>
            </x14:dxf>
          </x14:cfRule>
          <xm:sqref>C34:C43</xm:sqref>
        </x14:conditionalFormatting>
        <x14:conditionalFormatting xmlns:xm="http://schemas.microsoft.com/office/excel/2006/main">
          <x14:cfRule type="expression" priority="1903" id="{F04138AD-C2B1-4A63-982F-46AAB1EE5E4E}">
            <xm:f>'TC1'!#REF!="Speak"</xm:f>
            <x14:dxf>
              <font>
                <b/>
                <i val="0"/>
                <color rgb="FFFF0000"/>
              </font>
            </x14:dxf>
          </x14:cfRule>
          <xm:sqref>C17:C33</xm:sqref>
        </x14:conditionalFormatting>
        <x14:conditionalFormatting xmlns:xm="http://schemas.microsoft.com/office/excel/2006/main">
          <x14:cfRule type="expression" priority="1907" id="{57BB2AC8-C4B4-4E54-9900-965BFC695FA8}">
            <xm:f>'TC1'!$B16="HANGUP"</xm:f>
            <x14:dxf>
              <font>
                <b/>
                <i val="0"/>
              </font>
            </x14:dxf>
          </x14:cfRule>
          <x14:cfRule type="expression" priority="1908" id="{E22AF58C-8848-477A-A5F6-948E5B8D1D8C}">
            <xm:f>'TC1'!$B16="Dial"</xm:f>
            <x14:dxf>
              <font>
                <b/>
                <i val="0"/>
                <color rgb="FFFF0000"/>
              </font>
            </x14:dxf>
          </x14:cfRule>
          <xm:sqref>C34:C43</xm:sqref>
        </x14:conditionalFormatting>
        <x14:conditionalFormatting xmlns:xm="http://schemas.microsoft.com/office/excel/2006/main">
          <x14:cfRule type="expression" priority="1909" id="{57BB2AC8-C4B4-4E54-9900-965BFC695FA8}">
            <xm:f>'TC1'!#REF!="HANGUP"</xm:f>
            <x14:dxf>
              <font>
                <b/>
                <i val="0"/>
              </font>
            </x14:dxf>
          </x14:cfRule>
          <x14:cfRule type="expression" priority="1910" id="{E22AF58C-8848-477A-A5F6-948E5B8D1D8C}">
            <xm:f>'TC1'!#REF!="Dial"</xm:f>
            <x14:dxf>
              <font>
                <b/>
                <i val="0"/>
                <color rgb="FFFF0000"/>
              </font>
            </x14:dxf>
          </x14:cfRule>
          <xm:sqref>C17:C33</xm:sqref>
        </x14:conditionalFormatting>
        <x14:conditionalFormatting xmlns:xm="http://schemas.microsoft.com/office/excel/2006/main">
          <x14:cfRule type="containsText" priority="1915" operator="containsText" text="DB" id="{7F43747C-EFF5-457B-A1AE-97EE10587388}">
            <xm:f>NOT(ISERROR(SEARCH("DB",'TC1'!E16)))</xm:f>
            <x14:dxf>
              <font>
                <color rgb="FF006100"/>
              </font>
              <fill>
                <patternFill>
                  <bgColor rgb="FFC6EFCE"/>
                </patternFill>
              </fill>
            </x14:dxf>
          </x14:cfRule>
          <x14:cfRule type="containsText" priority="1916" operator="containsText" text="WEB SERVICE" id="{6A128CA0-2DF3-4C08-B0FC-1497CEFF38F7}">
            <xm:f>NOT(ISERROR(SEARCH("WEB SERVICE",'TC1'!E16)))</xm:f>
            <x14:dxf>
              <font>
                <color rgb="FF9C0006"/>
              </font>
              <fill>
                <patternFill>
                  <bgColor rgb="FFFFC7CE"/>
                </patternFill>
              </fill>
            </x14:dxf>
          </x14:cfRule>
          <xm:sqref>E34:E43</xm:sqref>
        </x14:conditionalFormatting>
        <x14:conditionalFormatting xmlns:xm="http://schemas.microsoft.com/office/excel/2006/main">
          <x14:cfRule type="containsText" priority="1917" operator="containsText" text="DB" id="{7F43747C-EFF5-457B-A1AE-97EE10587388}">
            <xm:f>NOT(ISERROR(SEARCH("DB",'TC1'!#REF!)))</xm:f>
            <x14:dxf>
              <font>
                <color rgb="FF006100"/>
              </font>
              <fill>
                <patternFill>
                  <bgColor rgb="FFC6EFCE"/>
                </patternFill>
              </fill>
            </x14:dxf>
          </x14:cfRule>
          <x14:cfRule type="containsText" priority="1918" operator="containsText" text="WEB SERVICE" id="{6A128CA0-2DF3-4C08-B0FC-1497CEFF38F7}">
            <xm:f>NOT(ISERROR(SEARCH("WEB SERVICE",'TC1'!#REF!)))</xm:f>
            <x14:dxf>
              <font>
                <color rgb="FF9C0006"/>
              </font>
              <fill>
                <patternFill>
                  <bgColor rgb="FFFFC7CE"/>
                </patternFill>
              </fill>
            </x14:dxf>
          </x14:cfRule>
          <xm:sqref>E17:E33</xm:sqref>
        </x14:conditionalFormatting>
        <x14:conditionalFormatting xmlns:xm="http://schemas.microsoft.com/office/excel/2006/main">
          <x14:cfRule type="expression" priority="4650" id="{F04138AD-C2B1-4A63-982F-46AAB1EE5E4E}">
            <xm:f>'TC1'!$B9="Speak"</xm:f>
            <x14:dxf>
              <font>
                <b/>
                <i val="0"/>
                <color rgb="FFFF0000"/>
              </font>
            </x14:dxf>
          </x14:cfRule>
          <xm:sqref>C12:C15</xm:sqref>
        </x14:conditionalFormatting>
        <x14:conditionalFormatting xmlns:xm="http://schemas.microsoft.com/office/excel/2006/main">
          <x14:cfRule type="expression" priority="4651" id="{F04138AD-C2B1-4A63-982F-46AAB1EE5E4E}">
            <xm:f>'TC1'!#REF!="Speak"</xm:f>
            <x14:dxf>
              <font>
                <b/>
                <i val="0"/>
                <color rgb="FFFF0000"/>
              </font>
            </x14:dxf>
          </x14:cfRule>
          <xm:sqref>C9:C11</xm:sqref>
        </x14:conditionalFormatting>
        <x14:conditionalFormatting xmlns:xm="http://schemas.microsoft.com/office/excel/2006/main">
          <x14:cfRule type="expression" priority="4655" id="{57BB2AC8-C4B4-4E54-9900-965BFC695FA8}">
            <xm:f>'TC1'!$B9="HANGUP"</xm:f>
            <x14:dxf>
              <font>
                <b/>
                <i val="0"/>
              </font>
            </x14:dxf>
          </x14:cfRule>
          <x14:cfRule type="expression" priority="4656" id="{E22AF58C-8848-477A-A5F6-948E5B8D1D8C}">
            <xm:f>'TC1'!$B9="Dial"</xm:f>
            <x14:dxf>
              <font>
                <b/>
                <i val="0"/>
                <color rgb="FFFF0000"/>
              </font>
            </x14:dxf>
          </x14:cfRule>
          <xm:sqref>C12:C15</xm:sqref>
        </x14:conditionalFormatting>
        <x14:conditionalFormatting xmlns:xm="http://schemas.microsoft.com/office/excel/2006/main">
          <x14:cfRule type="expression" priority="4657" id="{57BB2AC8-C4B4-4E54-9900-965BFC695FA8}">
            <xm:f>'TC1'!#REF!="HANGUP"</xm:f>
            <x14:dxf>
              <font>
                <b/>
                <i val="0"/>
              </font>
            </x14:dxf>
          </x14:cfRule>
          <x14:cfRule type="expression" priority="4658" id="{E22AF58C-8848-477A-A5F6-948E5B8D1D8C}">
            <xm:f>'TC1'!#REF!="Dial"</xm:f>
            <x14:dxf>
              <font>
                <b/>
                <i val="0"/>
                <color rgb="FFFF0000"/>
              </font>
            </x14:dxf>
          </x14:cfRule>
          <xm:sqref>C9:C11</xm:sqref>
        </x14:conditionalFormatting>
        <x14:conditionalFormatting xmlns:xm="http://schemas.microsoft.com/office/excel/2006/main">
          <x14:cfRule type="containsText" priority="4661" operator="containsText" text="DB" id="{7F43747C-EFF5-457B-A1AE-97EE10587388}">
            <xm:f>NOT(ISERROR(SEARCH("DB",'TC1'!#REF!)))</xm:f>
            <x14:dxf>
              <font>
                <color rgb="FF006100"/>
              </font>
              <fill>
                <patternFill>
                  <bgColor rgb="FFC6EFCE"/>
                </patternFill>
              </fill>
            </x14:dxf>
          </x14:cfRule>
          <x14:cfRule type="containsText" priority="4662" operator="containsText" text="WEB SERVICE" id="{6A128CA0-2DF3-4C08-B0FC-1497CEFF38F7}">
            <xm:f>NOT(ISERROR(SEARCH("WEB SERVICE",'TC1'!#REF!)))</xm:f>
            <x14:dxf>
              <font>
                <color rgb="FF9C0006"/>
              </font>
              <fill>
                <patternFill>
                  <bgColor rgb="FFFFC7CE"/>
                </patternFill>
              </fill>
            </x14:dxf>
          </x14:cfRule>
          <xm:sqref>E9:E11</xm:sqref>
        </x14:conditionalFormatting>
        <x14:conditionalFormatting xmlns:xm="http://schemas.microsoft.com/office/excel/2006/main">
          <x14:cfRule type="containsText" priority="4663" operator="containsText" text="DB" id="{7F43747C-EFF5-457B-A1AE-97EE10587388}">
            <xm:f>NOT(ISERROR(SEARCH("DB",'TC1'!E9)))</xm:f>
            <x14:dxf>
              <font>
                <color rgb="FF006100"/>
              </font>
              <fill>
                <patternFill>
                  <bgColor rgb="FFC6EFCE"/>
                </patternFill>
              </fill>
            </x14:dxf>
          </x14:cfRule>
          <x14:cfRule type="containsText" priority="4664" operator="containsText" text="WEB SERVICE" id="{6A128CA0-2DF3-4C08-B0FC-1497CEFF38F7}">
            <xm:f>NOT(ISERROR(SEARCH("WEB SERVICE",'TC1'!E9)))</xm:f>
            <x14:dxf>
              <font>
                <color rgb="FF9C0006"/>
              </font>
              <fill>
                <patternFill>
                  <bgColor rgb="FFFFC7CE"/>
                </patternFill>
              </fill>
            </x14:dxf>
          </x14:cfRule>
          <xm:sqref>E12:E15</xm:sqref>
        </x14:conditionalFormatting>
        <x14:conditionalFormatting xmlns:xm="http://schemas.microsoft.com/office/excel/2006/main">
          <x14:cfRule type="expression" priority="7054" id="{F04138AD-C2B1-4A63-982F-46AAB1EE5E4E}">
            <xm:f>'TC1'!$B15="Speak"</xm:f>
            <x14:dxf>
              <font>
                <b/>
                <i val="0"/>
                <color rgb="FFFF0000"/>
              </font>
            </x14:dxf>
          </x14:cfRule>
          <xm:sqref>C16</xm:sqref>
        </x14:conditionalFormatting>
        <x14:conditionalFormatting xmlns:xm="http://schemas.microsoft.com/office/excel/2006/main">
          <x14:cfRule type="expression" priority="7057" id="{57BB2AC8-C4B4-4E54-9900-965BFC695FA8}">
            <xm:f>'TC1'!$B15="HANGUP"</xm:f>
            <x14:dxf>
              <font>
                <b/>
                <i val="0"/>
              </font>
            </x14:dxf>
          </x14:cfRule>
          <x14:cfRule type="expression" priority="7058" id="{E22AF58C-8848-477A-A5F6-948E5B8D1D8C}">
            <xm:f>'TC1'!$B15="Dial"</xm:f>
            <x14:dxf>
              <font>
                <b/>
                <i val="0"/>
                <color rgb="FFFF0000"/>
              </font>
            </x14:dxf>
          </x14:cfRule>
          <xm:sqref>C16</xm:sqref>
        </x14:conditionalFormatting>
        <x14:conditionalFormatting xmlns:xm="http://schemas.microsoft.com/office/excel/2006/main">
          <x14:cfRule type="containsText" priority="7061" operator="containsText" text="DB" id="{7F43747C-EFF5-457B-A1AE-97EE10587388}">
            <xm:f>NOT(ISERROR(SEARCH("DB",'TC1'!E15)))</xm:f>
            <x14:dxf>
              <font>
                <color rgb="FF006100"/>
              </font>
              <fill>
                <patternFill>
                  <bgColor rgb="FFC6EFCE"/>
                </patternFill>
              </fill>
            </x14:dxf>
          </x14:cfRule>
          <x14:cfRule type="containsText" priority="7062" operator="containsText" text="WEB SERVICE" id="{6A128CA0-2DF3-4C08-B0FC-1497CEFF38F7}">
            <xm:f>NOT(ISERROR(SEARCH("WEB SERVICE",'TC1'!E15)))</xm:f>
            <x14:dxf>
              <font>
                <color rgb="FF9C0006"/>
              </font>
              <fill>
                <patternFill>
                  <bgColor rgb="FFFFC7CE"/>
                </patternFill>
              </fill>
            </x14:dxf>
          </x14:cfRule>
          <xm:sqref>E16</xm:sqref>
        </x14:conditionalFormatting>
        <x14:conditionalFormatting xmlns:xm="http://schemas.microsoft.com/office/excel/2006/main">
          <x14:cfRule type="containsText" priority="9474" operator="containsText" text="Hear" id="{97F3B303-FDD0-4900-886C-392639F83368}">
            <xm:f>NOT(ISERROR(SEARCH("Hear",'TC26'!#REF!)))</xm:f>
            <x14:dxf>
              <font>
                <color theme="9" tint="-0.24994659260841701"/>
              </font>
              <fill>
                <patternFill>
                  <bgColor theme="9" tint="0.59996337778862885"/>
                </patternFill>
              </fill>
            </x14:dxf>
          </x14:cfRule>
          <xm:sqref>B39</xm:sqref>
        </x14:conditionalFormatting>
      </x14:conditionalFormattings>
    </ext>
  </extLst>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300-000000000000}">
  <sheetPr codeName="Sheet85"/>
  <dimension ref="A1:E58"/>
  <sheetViews>
    <sheetView zoomScaleNormal="100" workbookViewId="0">
      <selection activeCell="A2" sqref="A2"/>
    </sheetView>
  </sheetViews>
  <sheetFormatPr defaultRowHeight="14.5" x14ac:dyDescent="0.35"/>
  <cols>
    <col min="1" max="1" width="14.453125" style="42" bestFit="1" customWidth="1"/>
    <col min="2" max="2" width="42.6328125" style="42" customWidth="1"/>
    <col min="3" max="3" width="106.1796875" style="22" customWidth="1"/>
    <col min="4" max="4" width="21.81640625" style="33" bestFit="1" customWidth="1"/>
    <col min="5" max="5" width="20.6328125" style="42" customWidth="1"/>
  </cols>
  <sheetData>
    <row r="1" spans="1:5" ht="18.5" x14ac:dyDescent="0.35">
      <c r="A1" s="192" t="s">
        <v>4</v>
      </c>
      <c r="B1" s="192"/>
      <c r="C1" s="19"/>
    </row>
    <row r="2" spans="1:5" x14ac:dyDescent="0.35">
      <c r="A2" s="20" t="s">
        <v>5</v>
      </c>
      <c r="B2" s="21" t="str">
        <f ca="1">MID(CELL("filename",A1),FIND("]",CELL("filename",A1))+1,LEN(CELL("filename",A1))-FIND("]",CELL("filename",A1)))</f>
        <v>TC83</v>
      </c>
    </row>
    <row r="3" spans="1:5" x14ac:dyDescent="0.35">
      <c r="A3" s="23" t="s">
        <v>19</v>
      </c>
      <c r="B3" s="24">
        <f ca="1">VLOOKUP(B2,Table53[#All],2,FALSE)</f>
        <v>0</v>
      </c>
    </row>
    <row r="4" spans="1:5" ht="29" x14ac:dyDescent="0.35">
      <c r="A4" s="39" t="s">
        <v>20</v>
      </c>
      <c r="B4" s="38">
        <f ca="1">VLOOKUP(B2,Table53[#All],4,FALSE)</f>
        <v>0</v>
      </c>
    </row>
    <row r="5" spans="1:5" x14ac:dyDescent="0.35">
      <c r="A5" s="23" t="s">
        <v>6</v>
      </c>
      <c r="B5" s="77">
        <f ca="1">VLOOKUP(B2,Table53[#All],3,FALSE)</f>
        <v>0</v>
      </c>
    </row>
    <row r="7" spans="1:5" ht="15.5" x14ac:dyDescent="0.35">
      <c r="A7" s="100" t="s">
        <v>7</v>
      </c>
      <c r="B7" s="101" t="s">
        <v>8</v>
      </c>
      <c r="C7" s="102" t="s">
        <v>9</v>
      </c>
      <c r="D7" s="102" t="s">
        <v>14</v>
      </c>
      <c r="E7" s="103" t="s">
        <v>10</v>
      </c>
    </row>
    <row r="8" spans="1:5" s="97" customFormat="1" x14ac:dyDescent="0.35">
      <c r="A8" s="118">
        <v>1</v>
      </c>
      <c r="B8" s="114" t="s">
        <v>114</v>
      </c>
      <c r="C8" s="109" t="s">
        <v>125</v>
      </c>
      <c r="D8" s="128"/>
      <c r="E8" s="125" t="s">
        <v>11</v>
      </c>
    </row>
    <row r="9" spans="1:5" s="97" customFormat="1" x14ac:dyDescent="0.35">
      <c r="A9" s="118">
        <v>2</v>
      </c>
      <c r="B9" s="114" t="s">
        <v>12</v>
      </c>
      <c r="C9" s="109" t="e">
        <f>VLOOKUP(Table25751950[[#This Row],[PEG]],Table1016[#All],2,FALSE)</f>
        <v>#N/A</v>
      </c>
      <c r="D9" s="128"/>
      <c r="E9" s="125" t="e">
        <f>VLOOKUP(Table25751950[[#This Row],[PEG]],Table1016[#All],3,FALSE)</f>
        <v>#N/A</v>
      </c>
    </row>
    <row r="10" spans="1:5" s="97" customFormat="1" x14ac:dyDescent="0.35">
      <c r="A10" s="118">
        <v>3</v>
      </c>
      <c r="B10" s="114" t="s">
        <v>115</v>
      </c>
      <c r="C10" s="109" t="e">
        <f>VLOOKUP(Table25751950[[#This Row],[PEG]],Table1016[#All],2,FALSE)</f>
        <v>#N/A</v>
      </c>
      <c r="D10" s="128"/>
      <c r="E10" s="125" t="e">
        <f>VLOOKUP(Table25751950[[#This Row],[PEG]],Table1016[#All],3,FALSE)</f>
        <v>#N/A</v>
      </c>
    </row>
    <row r="11" spans="1:5" s="97" customFormat="1" x14ac:dyDescent="0.35">
      <c r="A11" s="118">
        <v>4</v>
      </c>
      <c r="B11" s="114" t="s">
        <v>115</v>
      </c>
      <c r="C11" s="109" t="e">
        <f>VLOOKUP(Table25751950[[#This Row],[PEG]],Table1016[#All],2,FALSE)</f>
        <v>#N/A</v>
      </c>
      <c r="D11" s="128"/>
      <c r="E11" s="125" t="e">
        <f>VLOOKUP(Table25751950[[#This Row],[PEG]],Table1016[#All],3,FALSE)</f>
        <v>#N/A</v>
      </c>
    </row>
    <row r="12" spans="1:5" s="97" customFormat="1" x14ac:dyDescent="0.35">
      <c r="A12" s="118">
        <v>5</v>
      </c>
      <c r="B12" s="114" t="s">
        <v>114</v>
      </c>
      <c r="C12" s="109" t="e">
        <f>VLOOKUP(Table25751950[[#This Row],[PEG]],Table1016[#All],2,FALSE)</f>
        <v>#N/A</v>
      </c>
      <c r="D12" s="128"/>
      <c r="E12" s="125" t="e">
        <f>VLOOKUP(Table25751950[[#This Row],[PEG]],Table1016[#All],3,FALSE)</f>
        <v>#N/A</v>
      </c>
    </row>
    <row r="13" spans="1:5" s="97" customFormat="1" x14ac:dyDescent="0.35">
      <c r="A13" s="118">
        <v>6</v>
      </c>
      <c r="B13" s="114" t="s">
        <v>115</v>
      </c>
      <c r="C13" s="109" t="e">
        <f>VLOOKUP(Table25751950[[#This Row],[PEG]],Table1016[#All],2,FALSE)</f>
        <v>#N/A</v>
      </c>
      <c r="D13" s="128"/>
      <c r="E13" s="125" t="e">
        <f>VLOOKUP(Table25751950[[#This Row],[PEG]],Table1016[#All],3,FALSE)</f>
        <v>#N/A</v>
      </c>
    </row>
    <row r="14" spans="1:5" s="97" customFormat="1" x14ac:dyDescent="0.35">
      <c r="A14" s="118">
        <v>7</v>
      </c>
      <c r="B14" s="114" t="s">
        <v>114</v>
      </c>
      <c r="C14" s="109" t="e">
        <f>VLOOKUP(Table25751950[[#This Row],[PEG]],Table1016[#All],2,FALSE)</f>
        <v>#N/A</v>
      </c>
      <c r="D14" s="128"/>
      <c r="E14" s="125" t="e">
        <f>VLOOKUP(Table25751950[[#This Row],[PEG]],Table1016[#All],3,FALSE)</f>
        <v>#N/A</v>
      </c>
    </row>
    <row r="15" spans="1:5" x14ac:dyDescent="0.35">
      <c r="A15" s="118">
        <v>8</v>
      </c>
      <c r="B15" s="114" t="s">
        <v>115</v>
      </c>
      <c r="C15" s="109" t="e">
        <f>VLOOKUP(Table25751950[[#This Row],[PEG]],Table1016[#All],2,FALSE)</f>
        <v>#N/A</v>
      </c>
      <c r="D15" s="116"/>
      <c r="E15" s="125" t="e">
        <f>VLOOKUP(Table25751950[[#This Row],[PEG]],Table1016[#All],3,FALSE)</f>
        <v>#N/A</v>
      </c>
    </row>
    <row r="16" spans="1:5" x14ac:dyDescent="0.35">
      <c r="A16" s="118">
        <v>9</v>
      </c>
      <c r="B16" s="114" t="s">
        <v>12</v>
      </c>
      <c r="C16" s="109" t="e">
        <f>VLOOKUP(Table25751950[[#This Row],[PEG]],Table1016[#All],2,FALSE)</f>
        <v>#N/A</v>
      </c>
      <c r="D16" s="116"/>
      <c r="E16" s="125" t="e">
        <f>VLOOKUP(Table25751950[[#This Row],[PEG]],Table1016[#All],3,FALSE)</f>
        <v>#N/A</v>
      </c>
    </row>
    <row r="17" spans="1:5" x14ac:dyDescent="0.35">
      <c r="A17" s="118">
        <v>10</v>
      </c>
      <c r="B17" s="114" t="s">
        <v>12</v>
      </c>
      <c r="C17" s="109" t="e">
        <f>VLOOKUP(Table25751950[[#This Row],[PEG]],Table1016[#All],2,FALSE)</f>
        <v>#N/A</v>
      </c>
      <c r="D17" s="117"/>
      <c r="E17" s="125" t="e">
        <f>VLOOKUP(Table25751950[[#This Row],[PEG]],Table1016[#All],3,FALSE)</f>
        <v>#N/A</v>
      </c>
    </row>
    <row r="18" spans="1:5" x14ac:dyDescent="0.35">
      <c r="A18" s="118">
        <v>11</v>
      </c>
      <c r="B18" s="114" t="s">
        <v>115</v>
      </c>
      <c r="C18" s="109" t="e">
        <f>VLOOKUP(Table25751950[[#This Row],[PEG]],Table1016[#All],2,FALSE)</f>
        <v>#N/A</v>
      </c>
      <c r="D18" s="117"/>
      <c r="E18" s="125" t="e">
        <f>VLOOKUP(Table25751950[[#This Row],[PEG]],Table1016[#All],3,FALSE)</f>
        <v>#N/A</v>
      </c>
    </row>
    <row r="19" spans="1:5" x14ac:dyDescent="0.35">
      <c r="A19" s="118">
        <v>12</v>
      </c>
      <c r="B19" s="114" t="s">
        <v>115</v>
      </c>
      <c r="C19" s="109" t="e">
        <f>VLOOKUP(Table25751950[[#This Row],[PEG]],Table1016[#All],2,FALSE)</f>
        <v>#N/A</v>
      </c>
      <c r="D19" s="117"/>
      <c r="E19" s="125" t="e">
        <f>VLOOKUP(Table25751950[[#This Row],[PEG]],Table1016[#All],3,FALSE)</f>
        <v>#N/A</v>
      </c>
    </row>
    <row r="20" spans="1:5" x14ac:dyDescent="0.35">
      <c r="A20" s="118">
        <v>13</v>
      </c>
      <c r="B20" s="114" t="s">
        <v>114</v>
      </c>
      <c r="C20" s="109" t="e">
        <f>VLOOKUP(Table25751950[[#This Row],[PEG]],Table1016[#All],2,FALSE)</f>
        <v>#N/A</v>
      </c>
      <c r="D20" s="117"/>
      <c r="E20" s="125" t="e">
        <f>VLOOKUP(Table25751950[[#This Row],[PEG]],Table1016[#All],3,FALSE)</f>
        <v>#N/A</v>
      </c>
    </row>
    <row r="21" spans="1:5" x14ac:dyDescent="0.35">
      <c r="A21" s="118">
        <v>14</v>
      </c>
      <c r="B21" s="114" t="s">
        <v>12</v>
      </c>
      <c r="C21" s="109" t="e">
        <f>VLOOKUP(Table25751950[[#This Row],[PEG]],Table1016[#All],2,FALSE)</f>
        <v>#N/A</v>
      </c>
      <c r="D21" s="117"/>
      <c r="E21" s="125" t="e">
        <f>VLOOKUP(Table25751950[[#This Row],[PEG]],Table1016[#All],3,FALSE)</f>
        <v>#N/A</v>
      </c>
    </row>
    <row r="22" spans="1:5" x14ac:dyDescent="0.35">
      <c r="A22" s="118">
        <v>15</v>
      </c>
      <c r="B22" s="114" t="s">
        <v>12</v>
      </c>
      <c r="C22" s="109" t="e">
        <f>VLOOKUP(Table25751950[[#This Row],[PEG]],Table1016[#All],2,FALSE)</f>
        <v>#N/A</v>
      </c>
      <c r="D22" s="117"/>
      <c r="E22" s="125" t="e">
        <f>VLOOKUP(Table25751950[[#This Row],[PEG]],Table1016[#All],3,FALSE)</f>
        <v>#N/A</v>
      </c>
    </row>
    <row r="23" spans="1:5" x14ac:dyDescent="0.35">
      <c r="A23" s="118">
        <v>16</v>
      </c>
      <c r="B23" s="114" t="s">
        <v>115</v>
      </c>
      <c r="C23" s="109" t="e">
        <f>VLOOKUP(Table25751950[[#This Row],[PEG]],Table1016[#All],2,FALSE)</f>
        <v>#N/A</v>
      </c>
      <c r="D23" s="117"/>
      <c r="E23" s="125" t="e">
        <f>VLOOKUP(Table25751950[[#This Row],[PEG]],Table1016[#All],3,FALSE)</f>
        <v>#N/A</v>
      </c>
    </row>
    <row r="24" spans="1:5" x14ac:dyDescent="0.35">
      <c r="A24" s="118">
        <v>17</v>
      </c>
      <c r="B24" s="114" t="s">
        <v>114</v>
      </c>
      <c r="C24" s="109" t="e">
        <f>VLOOKUP(Table25751950[[#This Row],[PEG]],Table1016[#All],2,FALSE)</f>
        <v>#N/A</v>
      </c>
      <c r="D24" s="117"/>
      <c r="E24" s="125" t="e">
        <f>VLOOKUP(Table25751950[[#This Row],[PEG]],Table1016[#All],3,FALSE)</f>
        <v>#N/A</v>
      </c>
    </row>
    <row r="25" spans="1:5" s="97" customFormat="1" x14ac:dyDescent="0.35">
      <c r="A25" s="118">
        <v>18</v>
      </c>
      <c r="B25" s="114" t="s">
        <v>12</v>
      </c>
      <c r="C25" s="109" t="e">
        <f>VLOOKUP(Table25751950[[#This Row],[PEG]],Table1016[#All],2,FALSE)</f>
        <v>#N/A</v>
      </c>
      <c r="D25" s="117"/>
      <c r="E25" s="125" t="e">
        <f>VLOOKUP(Table25751950[[#This Row],[PEG]],Table1016[#All],3,FALSE)</f>
        <v>#N/A</v>
      </c>
    </row>
    <row r="26" spans="1:5" x14ac:dyDescent="0.35">
      <c r="A26" s="118">
        <v>19</v>
      </c>
      <c r="B26" s="114" t="s">
        <v>12</v>
      </c>
      <c r="C26" s="109" t="e">
        <f>VLOOKUP(Table25751950[[#This Row],[PEG]],Table1016[#All],2,FALSE)</f>
        <v>#N/A</v>
      </c>
      <c r="D26" s="117"/>
      <c r="E26" s="125" t="e">
        <f>VLOOKUP(Table25751950[[#This Row],[PEG]],Table1016[#All],3,FALSE)</f>
        <v>#N/A</v>
      </c>
    </row>
    <row r="27" spans="1:5" x14ac:dyDescent="0.35">
      <c r="A27" s="118">
        <v>20</v>
      </c>
      <c r="B27" s="114" t="s">
        <v>115</v>
      </c>
      <c r="C27" s="109" t="e">
        <f>VLOOKUP(Table25751950[[#This Row],[PEG]],Table1016[#All],2,FALSE)</f>
        <v>#N/A</v>
      </c>
      <c r="D27" s="117"/>
      <c r="E27" s="125" t="e">
        <f>VLOOKUP(Table25751950[[#This Row],[PEG]],Table1016[#All],3,FALSE)</f>
        <v>#N/A</v>
      </c>
    </row>
    <row r="28" spans="1:5" x14ac:dyDescent="0.35">
      <c r="A28" s="118">
        <v>21</v>
      </c>
      <c r="B28" s="114" t="s">
        <v>114</v>
      </c>
      <c r="C28" s="109" t="e">
        <f>VLOOKUP(Table25751950[[#This Row],[PEG]],Table1016[#All],2,FALSE)</f>
        <v>#N/A</v>
      </c>
      <c r="D28" s="117"/>
      <c r="E28" s="125" t="e">
        <f>VLOOKUP(Table25751950[[#This Row],[PEG]],Table1016[#All],3,FALSE)</f>
        <v>#N/A</v>
      </c>
    </row>
    <row r="29" spans="1:5" x14ac:dyDescent="0.35">
      <c r="A29" s="118">
        <v>22</v>
      </c>
      <c r="B29" s="114" t="s">
        <v>12</v>
      </c>
      <c r="C29" s="109" t="e">
        <f>VLOOKUP(Table25751950[[#This Row],[PEG]],Table1016[#All],2,FALSE)</f>
        <v>#N/A</v>
      </c>
      <c r="D29" s="117"/>
      <c r="E29" s="125" t="e">
        <f>VLOOKUP(Table25751950[[#This Row],[PEG]],Table1016[#All],3,FALSE)</f>
        <v>#N/A</v>
      </c>
    </row>
    <row r="30" spans="1:5" x14ac:dyDescent="0.35">
      <c r="A30" s="118">
        <v>23</v>
      </c>
      <c r="B30" s="114" t="s">
        <v>12</v>
      </c>
      <c r="C30" s="109" t="e">
        <f>VLOOKUP(Table25751950[[#This Row],[PEG]],Table1016[#All],2,FALSE)</f>
        <v>#N/A</v>
      </c>
      <c r="D30" s="117"/>
      <c r="E30" s="125" t="e">
        <f>VLOOKUP(Table25751950[[#This Row],[PEG]],Table1016[#All],3,FALSE)</f>
        <v>#N/A</v>
      </c>
    </row>
    <row r="31" spans="1:5" x14ac:dyDescent="0.35">
      <c r="A31" s="118">
        <v>24</v>
      </c>
      <c r="B31" s="114" t="s">
        <v>115</v>
      </c>
      <c r="C31" s="109" t="e">
        <f>VLOOKUP(Table25751950[[#This Row],[PEG]],Table1016[#All],2,FALSE)</f>
        <v>#N/A</v>
      </c>
      <c r="D31" s="117"/>
      <c r="E31" s="125" t="e">
        <f>VLOOKUP(Table25751950[[#This Row],[PEG]],Table1016[#All],3,FALSE)</f>
        <v>#N/A</v>
      </c>
    </row>
    <row r="32" spans="1:5" x14ac:dyDescent="0.35">
      <c r="A32" s="118">
        <v>25</v>
      </c>
      <c r="B32" s="114" t="s">
        <v>115</v>
      </c>
      <c r="C32" s="109" t="e">
        <f>VLOOKUP(Table25751950[[#This Row],[PEG]],Table1016[#All],2,FALSE)</f>
        <v>#N/A</v>
      </c>
      <c r="D32" s="117"/>
      <c r="E32" s="125" t="e">
        <f>VLOOKUP(Table25751950[[#This Row],[PEG]],Table1016[#All],3,FALSE)</f>
        <v>#N/A</v>
      </c>
    </row>
    <row r="33" spans="1:5" x14ac:dyDescent="0.35">
      <c r="A33" s="118">
        <v>26</v>
      </c>
      <c r="B33" s="114" t="s">
        <v>124</v>
      </c>
      <c r="C33" s="109" t="e">
        <f>VLOOKUP(Table25751950[[#This Row],[PEG]],Table1016[#All],2,FALSE)</f>
        <v>#N/A</v>
      </c>
      <c r="D33" s="117"/>
      <c r="E33" s="125" t="e">
        <f>VLOOKUP(Table25751950[[#This Row],[PEG]],Table1016[#All],3,FALSE)</f>
        <v>#N/A</v>
      </c>
    </row>
    <row r="34" spans="1:5" x14ac:dyDescent="0.35">
      <c r="A34" s="118">
        <v>27</v>
      </c>
      <c r="B34" s="114" t="s">
        <v>115</v>
      </c>
      <c r="C34" s="109" t="e">
        <f>VLOOKUP(Table25751950[[#This Row],[PEG]],Table1016[#All],2,FALSE)</f>
        <v>#N/A</v>
      </c>
      <c r="D34" s="117"/>
      <c r="E34" s="125" t="e">
        <f>VLOOKUP(Table25751950[[#This Row],[PEG]],Table1016[#All],3,FALSE)</f>
        <v>#N/A</v>
      </c>
    </row>
    <row r="35" spans="1:5" x14ac:dyDescent="0.35">
      <c r="A35" s="118">
        <v>28</v>
      </c>
      <c r="B35" s="114" t="s">
        <v>124</v>
      </c>
      <c r="C35" s="109" t="e">
        <f>VLOOKUP(Table25751950[[#This Row],[PEG]],Table1016[#All],2,FALSE)</f>
        <v>#N/A</v>
      </c>
      <c r="D35" s="117"/>
      <c r="E35" s="125" t="e">
        <f>VLOOKUP(Table25751950[[#This Row],[PEG]],Table1016[#All],3,FALSE)</f>
        <v>#N/A</v>
      </c>
    </row>
    <row r="36" spans="1:5" x14ac:dyDescent="0.35">
      <c r="A36" s="118">
        <v>29</v>
      </c>
      <c r="B36" s="114" t="s">
        <v>115</v>
      </c>
      <c r="C36" s="109" t="e">
        <f>VLOOKUP(Table25751950[[#This Row],[PEG]],Table1016[#All],2,FALSE)</f>
        <v>#N/A</v>
      </c>
      <c r="D36" s="117"/>
      <c r="E36" s="125" t="e">
        <f>VLOOKUP(Table25751950[[#This Row],[PEG]],Table1016[#All],3,FALSE)</f>
        <v>#N/A</v>
      </c>
    </row>
    <row r="37" spans="1:5" x14ac:dyDescent="0.35">
      <c r="A37" s="118">
        <v>30</v>
      </c>
      <c r="B37" s="114" t="s">
        <v>12</v>
      </c>
      <c r="C37" s="109" t="e">
        <f>VLOOKUP(Table25751950[[#This Row],[PEG]],Table1016[#All],2,FALSE)</f>
        <v>#N/A</v>
      </c>
      <c r="D37" s="117"/>
      <c r="E37" s="125" t="e">
        <f>VLOOKUP(Table25751950[[#This Row],[PEG]],Table1016[#All],3,FALSE)</f>
        <v>#N/A</v>
      </c>
    </row>
    <row r="38" spans="1:5" x14ac:dyDescent="0.35">
      <c r="A38" s="118">
        <v>31</v>
      </c>
      <c r="B38" s="114" t="s">
        <v>12</v>
      </c>
      <c r="C38" s="109" t="e">
        <f>VLOOKUP(Table25751950[[#This Row],[PEG]],Table1016[#All],2,FALSE)</f>
        <v>#N/A</v>
      </c>
      <c r="D38" s="117"/>
      <c r="E38" s="125" t="e">
        <f>VLOOKUP(Table25751950[[#This Row],[PEG]],Table1016[#All],3,FALSE)</f>
        <v>#N/A</v>
      </c>
    </row>
    <row r="39" spans="1:5" x14ac:dyDescent="0.35">
      <c r="A39" s="118">
        <v>32</v>
      </c>
      <c r="B39" s="114" t="s">
        <v>12</v>
      </c>
      <c r="C39" s="109" t="e">
        <f>VLOOKUP(Table25751950[[#This Row],[PEG]],Table1016[#All],2,FALSE)</f>
        <v>#N/A</v>
      </c>
      <c r="D39" s="117"/>
      <c r="E39" s="125" t="e">
        <f>VLOOKUP(Table25751950[[#This Row],[PEG]],Table1016[#All],3,FALSE)</f>
        <v>#N/A</v>
      </c>
    </row>
    <row r="40" spans="1:5" x14ac:dyDescent="0.35">
      <c r="A40" s="118">
        <v>33</v>
      </c>
      <c r="B40" s="114" t="s">
        <v>12</v>
      </c>
      <c r="C40" s="109" t="e">
        <f>VLOOKUP(Table25751950[[#This Row],[PEG]],Table1016[#All],2,FALSE)</f>
        <v>#N/A</v>
      </c>
      <c r="D40" s="117"/>
      <c r="E40" s="125" t="e">
        <f>VLOOKUP(Table25751950[[#This Row],[PEG]],Table1016[#All],3,FALSE)</f>
        <v>#N/A</v>
      </c>
    </row>
    <row r="41" spans="1:5" x14ac:dyDescent="0.35">
      <c r="A41" s="118">
        <v>34</v>
      </c>
      <c r="B41" s="114" t="s">
        <v>115</v>
      </c>
      <c r="C41" s="109" t="e">
        <f>VLOOKUP(Table25751950[[#This Row],[PEG]],Table1016[#All],2,FALSE)</f>
        <v>#N/A</v>
      </c>
      <c r="D41" s="117"/>
      <c r="E41" s="125" t="e">
        <f>VLOOKUP(Table25751950[[#This Row],[PEG]],Table1016[#All],3,FALSE)</f>
        <v>#N/A</v>
      </c>
    </row>
    <row r="42" spans="1:5" x14ac:dyDescent="0.35">
      <c r="A42" s="118">
        <v>35</v>
      </c>
      <c r="B42" s="114" t="s">
        <v>12</v>
      </c>
      <c r="C42" s="109" t="e">
        <f>VLOOKUP(Table25751950[[#This Row],[PEG]],Table1016[#All],2,FALSE)</f>
        <v>#N/A</v>
      </c>
      <c r="D42" s="115"/>
      <c r="E42" s="125" t="e">
        <f>VLOOKUP(Table25751950[[#This Row],[PEG]],Table1016[#All],3,FALSE)</f>
        <v>#N/A</v>
      </c>
    </row>
    <row r="43" spans="1:5" x14ac:dyDescent="0.35">
      <c r="A43" s="118">
        <v>36</v>
      </c>
      <c r="B43" s="114" t="s">
        <v>115</v>
      </c>
      <c r="C43" s="109" t="e">
        <f>VLOOKUP(Table25751950[[#This Row],[PEG]],Table1016[#All],2,FALSE)</f>
        <v>#N/A</v>
      </c>
      <c r="D43" s="115"/>
      <c r="E43" s="125" t="e">
        <f>VLOOKUP(Table25751950[[#This Row],[PEG]],Table1016[#All],3,FALSE)</f>
        <v>#N/A</v>
      </c>
    </row>
    <row r="44" spans="1:5" x14ac:dyDescent="0.35">
      <c r="A44" s="118">
        <v>37</v>
      </c>
      <c r="B44" s="114" t="s">
        <v>13</v>
      </c>
      <c r="C44" s="18" t="s">
        <v>13</v>
      </c>
      <c r="D44" s="115"/>
      <c r="E44" s="32"/>
    </row>
    <row r="45" spans="1:5" x14ac:dyDescent="0.35">
      <c r="C45" s="26"/>
    </row>
    <row r="46" spans="1:5" x14ac:dyDescent="0.35">
      <c r="C46" s="26"/>
    </row>
    <row r="47" spans="1:5" x14ac:dyDescent="0.35">
      <c r="C47" s="26"/>
    </row>
    <row r="48" spans="1:5" x14ac:dyDescent="0.35">
      <c r="C48" s="26"/>
    </row>
    <row r="49" spans="3:3" x14ac:dyDescent="0.35">
      <c r="C49" s="26"/>
    </row>
    <row r="50" spans="3:3" x14ac:dyDescent="0.35">
      <c r="C50" s="26"/>
    </row>
    <row r="51" spans="3:3" x14ac:dyDescent="0.35">
      <c r="C51" s="26"/>
    </row>
    <row r="52" spans="3:3" x14ac:dyDescent="0.35">
      <c r="C52" s="26"/>
    </row>
    <row r="53" spans="3:3" x14ac:dyDescent="0.35">
      <c r="C53" s="26"/>
    </row>
    <row r="54" spans="3:3" x14ac:dyDescent="0.35">
      <c r="C54" s="26"/>
    </row>
    <row r="55" spans="3:3" x14ac:dyDescent="0.35">
      <c r="C55" s="26"/>
    </row>
    <row r="56" spans="3:3" x14ac:dyDescent="0.35">
      <c r="C56" s="27"/>
    </row>
    <row r="57" spans="3:3" x14ac:dyDescent="0.35">
      <c r="C57" s="27"/>
    </row>
    <row r="58" spans="3:3" x14ac:dyDescent="0.35">
      <c r="C58" s="27"/>
    </row>
  </sheetData>
  <mergeCells count="1">
    <mergeCell ref="A1:B1"/>
  </mergeCells>
  <conditionalFormatting sqref="C45:C9997">
    <cfRule type="expression" dxfId="3507" priority="46">
      <formula>$B45="Dial"</formula>
    </cfRule>
    <cfRule type="expression" dxfId="3506" priority="48">
      <formula>$B45="HANGUP"</formula>
    </cfRule>
  </conditionalFormatting>
  <conditionalFormatting sqref="B30">
    <cfRule type="containsText" dxfId="3505" priority="4" operator="containsText" text="Hear">
      <formula>NOT(ISERROR(SEARCH("Hear",B30)))</formula>
    </cfRule>
  </conditionalFormatting>
  <conditionalFormatting sqref="B43:B44">
    <cfRule type="containsText" dxfId="3504" priority="14" operator="containsText" text="Hear">
      <formula>NOT(ISERROR(SEARCH("Hear",B43)))</formula>
    </cfRule>
  </conditionalFormatting>
  <conditionalFormatting sqref="E44">
    <cfRule type="containsText" dxfId="3503" priority="12" operator="containsText" text="WEB SERVICE">
      <formula>NOT(ISERROR(SEARCH("WEB SERVICE",E44)))</formula>
    </cfRule>
    <cfRule type="containsText" dxfId="3502" priority="13" operator="containsText" text="DB">
      <formula>NOT(ISERROR(SEARCH("DB",E44)))</formula>
    </cfRule>
  </conditionalFormatting>
  <conditionalFormatting sqref="C44">
    <cfRule type="expression" dxfId="3501" priority="15">
      <formula>$B44="Dial"</formula>
    </cfRule>
    <cfRule type="expression" dxfId="3500" priority="17">
      <formula>$B44="HANGUP"</formula>
    </cfRule>
  </conditionalFormatting>
  <conditionalFormatting sqref="C44">
    <cfRule type="expression" dxfId="3499" priority="16">
      <formula>$B44="Speak"</formula>
    </cfRule>
  </conditionalFormatting>
  <conditionalFormatting sqref="B8:B18">
    <cfRule type="containsText" dxfId="3498" priority="1" operator="containsText" text="Hear">
      <formula>NOT(ISERROR(SEARCH("Hear",B8)))</formula>
    </cfRule>
  </conditionalFormatting>
  <conditionalFormatting sqref="B36:B38 B40:B41">
    <cfRule type="containsText" dxfId="3497" priority="3" operator="containsText" text="Hear">
      <formula>NOT(ISERROR(SEARCH("Hear",B36)))</formula>
    </cfRule>
  </conditionalFormatting>
  <conditionalFormatting sqref="B19:B29 B31:B35 B42">
    <cfRule type="containsText" dxfId="3496" priority="5" operator="containsText" text="Hear">
      <formula>NOT(ISERROR(SEARCH("Hear",B19)))</formula>
    </cfRule>
  </conditionalFormatting>
  <hyperlinks>
    <hyperlink ref="A1" location="'Test Case Overview'!A1" display="Return to Test Case Overview" xr:uid="{00000000-0004-0000-5300-000000000000}"/>
  </hyperlinks>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expression" priority="24" id="{2156DFF2-F00C-4E74-80CE-F5C54FB59B46}">
            <xm:f>'TC1'!$B8="Speak"</xm:f>
            <x14:dxf>
              <font>
                <b/>
                <i val="0"/>
                <color rgb="FFFF0000"/>
              </font>
            </x14:dxf>
          </x14:cfRule>
          <xm:sqref>C8</xm:sqref>
        </x14:conditionalFormatting>
        <x14:conditionalFormatting xmlns:xm="http://schemas.microsoft.com/office/excel/2006/main">
          <x14:cfRule type="expression" priority="8" id="{803D3E0D-C766-4AC9-A031-FEA2B6C4A911}">
            <xm:f>'TC1'!$B8="HANGUP"</xm:f>
            <x14:dxf>
              <font>
                <b/>
                <i val="0"/>
              </font>
            </x14:dxf>
          </x14:cfRule>
          <x14:cfRule type="expression" priority="9" id="{E0106B9B-69D2-4F40-B5CC-E951BE1683C6}">
            <xm:f>'TC1'!$B8="Dial"</xm:f>
            <x14:dxf>
              <font>
                <b/>
                <i val="0"/>
                <color rgb="FFFF0000"/>
              </font>
            </x14:dxf>
          </x14:cfRule>
          <xm:sqref>C8</xm:sqref>
        </x14:conditionalFormatting>
        <x14:conditionalFormatting xmlns:xm="http://schemas.microsoft.com/office/excel/2006/main">
          <x14:cfRule type="containsText" priority="2" operator="containsText" text="Hear" id="{DA93765D-1E3D-4908-8019-966CAE651804}">
            <xm:f>NOT(ISERROR(SEARCH("Hear",'TC3'!B34)))</xm:f>
            <x14:dxf>
              <font>
                <color theme="9" tint="-0.24994659260841701"/>
              </font>
              <fill>
                <patternFill>
                  <bgColor theme="9" tint="0.59996337778862885"/>
                </patternFill>
              </fill>
            </x14:dxf>
          </x14:cfRule>
          <xm:sqref>B41</xm:sqref>
        </x14:conditionalFormatting>
        <x14:conditionalFormatting xmlns:xm="http://schemas.microsoft.com/office/excel/2006/main">
          <x14:cfRule type="expression" priority="1922" id="{2156DFF2-F00C-4E74-80CE-F5C54FB59B46}">
            <xm:f>'TC1'!$B16="Speak"</xm:f>
            <x14:dxf>
              <font>
                <b/>
                <i val="0"/>
                <color rgb="FFFF0000"/>
              </font>
            </x14:dxf>
          </x14:cfRule>
          <xm:sqref>C34:C43</xm:sqref>
        </x14:conditionalFormatting>
        <x14:conditionalFormatting xmlns:xm="http://schemas.microsoft.com/office/excel/2006/main">
          <x14:cfRule type="expression" priority="1923" id="{2156DFF2-F00C-4E74-80CE-F5C54FB59B46}">
            <xm:f>'TC1'!#REF!="Speak"</xm:f>
            <x14:dxf>
              <font>
                <b/>
                <i val="0"/>
                <color rgb="FFFF0000"/>
              </font>
            </x14:dxf>
          </x14:cfRule>
          <xm:sqref>C17:C33</xm:sqref>
        </x14:conditionalFormatting>
        <x14:conditionalFormatting xmlns:xm="http://schemas.microsoft.com/office/excel/2006/main">
          <x14:cfRule type="expression" priority="1927" id="{803D3E0D-C766-4AC9-A031-FEA2B6C4A911}">
            <xm:f>'TC1'!$B16="HANGUP"</xm:f>
            <x14:dxf>
              <font>
                <b/>
                <i val="0"/>
              </font>
            </x14:dxf>
          </x14:cfRule>
          <x14:cfRule type="expression" priority="1928" id="{E0106B9B-69D2-4F40-B5CC-E951BE1683C6}">
            <xm:f>'TC1'!$B16="Dial"</xm:f>
            <x14:dxf>
              <font>
                <b/>
                <i val="0"/>
                <color rgb="FFFF0000"/>
              </font>
            </x14:dxf>
          </x14:cfRule>
          <xm:sqref>C34:C43</xm:sqref>
        </x14:conditionalFormatting>
        <x14:conditionalFormatting xmlns:xm="http://schemas.microsoft.com/office/excel/2006/main">
          <x14:cfRule type="expression" priority="1929" id="{803D3E0D-C766-4AC9-A031-FEA2B6C4A911}">
            <xm:f>'TC1'!#REF!="HANGUP"</xm:f>
            <x14:dxf>
              <font>
                <b/>
                <i val="0"/>
              </font>
            </x14:dxf>
          </x14:cfRule>
          <x14:cfRule type="expression" priority="1930" id="{E0106B9B-69D2-4F40-B5CC-E951BE1683C6}">
            <xm:f>'TC1'!#REF!="Dial"</xm:f>
            <x14:dxf>
              <font>
                <b/>
                <i val="0"/>
                <color rgb="FFFF0000"/>
              </font>
            </x14:dxf>
          </x14:cfRule>
          <xm:sqref>C17:C33</xm:sqref>
        </x14:conditionalFormatting>
        <x14:conditionalFormatting xmlns:xm="http://schemas.microsoft.com/office/excel/2006/main">
          <x14:cfRule type="containsText" priority="1935" operator="containsText" text="DB" id="{6E59CD9C-04F4-4C0C-9D59-B98792A035B2}">
            <xm:f>NOT(ISERROR(SEARCH("DB",'TC1'!E16)))</xm:f>
            <x14:dxf>
              <font>
                <color rgb="FF006100"/>
              </font>
              <fill>
                <patternFill>
                  <bgColor rgb="FFC6EFCE"/>
                </patternFill>
              </fill>
            </x14:dxf>
          </x14:cfRule>
          <x14:cfRule type="containsText" priority="1936" operator="containsText" text="WEB SERVICE" id="{10147D17-0CCE-4678-ACFF-0A93627C9D03}">
            <xm:f>NOT(ISERROR(SEARCH("WEB SERVICE",'TC1'!E16)))</xm:f>
            <x14:dxf>
              <font>
                <color rgb="FF9C0006"/>
              </font>
              <fill>
                <patternFill>
                  <bgColor rgb="FFFFC7CE"/>
                </patternFill>
              </fill>
            </x14:dxf>
          </x14:cfRule>
          <xm:sqref>E34:E43</xm:sqref>
        </x14:conditionalFormatting>
        <x14:conditionalFormatting xmlns:xm="http://schemas.microsoft.com/office/excel/2006/main">
          <x14:cfRule type="containsText" priority="1937" operator="containsText" text="DB" id="{6E59CD9C-04F4-4C0C-9D59-B98792A035B2}">
            <xm:f>NOT(ISERROR(SEARCH("DB",'TC1'!#REF!)))</xm:f>
            <x14:dxf>
              <font>
                <color rgb="FF006100"/>
              </font>
              <fill>
                <patternFill>
                  <bgColor rgb="FFC6EFCE"/>
                </patternFill>
              </fill>
            </x14:dxf>
          </x14:cfRule>
          <x14:cfRule type="containsText" priority="1938" operator="containsText" text="WEB SERVICE" id="{10147D17-0CCE-4678-ACFF-0A93627C9D03}">
            <xm:f>NOT(ISERROR(SEARCH("WEB SERVICE",'TC1'!#REF!)))</xm:f>
            <x14:dxf>
              <font>
                <color rgb="FF9C0006"/>
              </font>
              <fill>
                <patternFill>
                  <bgColor rgb="FFFFC7CE"/>
                </patternFill>
              </fill>
            </x14:dxf>
          </x14:cfRule>
          <xm:sqref>E17:E33</xm:sqref>
        </x14:conditionalFormatting>
        <x14:conditionalFormatting xmlns:xm="http://schemas.microsoft.com/office/excel/2006/main">
          <x14:cfRule type="expression" priority="4668" id="{2156DFF2-F00C-4E74-80CE-F5C54FB59B46}">
            <xm:f>'TC1'!$B9="Speak"</xm:f>
            <x14:dxf>
              <font>
                <b/>
                <i val="0"/>
                <color rgb="FFFF0000"/>
              </font>
            </x14:dxf>
          </x14:cfRule>
          <xm:sqref>C12:C15</xm:sqref>
        </x14:conditionalFormatting>
        <x14:conditionalFormatting xmlns:xm="http://schemas.microsoft.com/office/excel/2006/main">
          <x14:cfRule type="expression" priority="4669" id="{2156DFF2-F00C-4E74-80CE-F5C54FB59B46}">
            <xm:f>'TC1'!#REF!="Speak"</xm:f>
            <x14:dxf>
              <font>
                <b/>
                <i val="0"/>
                <color rgb="FFFF0000"/>
              </font>
            </x14:dxf>
          </x14:cfRule>
          <xm:sqref>C9:C11</xm:sqref>
        </x14:conditionalFormatting>
        <x14:conditionalFormatting xmlns:xm="http://schemas.microsoft.com/office/excel/2006/main">
          <x14:cfRule type="expression" priority="4673" id="{803D3E0D-C766-4AC9-A031-FEA2B6C4A911}">
            <xm:f>'TC1'!$B9="HANGUP"</xm:f>
            <x14:dxf>
              <font>
                <b/>
                <i val="0"/>
              </font>
            </x14:dxf>
          </x14:cfRule>
          <x14:cfRule type="expression" priority="4674" id="{E0106B9B-69D2-4F40-B5CC-E951BE1683C6}">
            <xm:f>'TC1'!$B9="Dial"</xm:f>
            <x14:dxf>
              <font>
                <b/>
                <i val="0"/>
                <color rgb="FFFF0000"/>
              </font>
            </x14:dxf>
          </x14:cfRule>
          <xm:sqref>C12:C15</xm:sqref>
        </x14:conditionalFormatting>
        <x14:conditionalFormatting xmlns:xm="http://schemas.microsoft.com/office/excel/2006/main">
          <x14:cfRule type="expression" priority="4675" id="{803D3E0D-C766-4AC9-A031-FEA2B6C4A911}">
            <xm:f>'TC1'!#REF!="HANGUP"</xm:f>
            <x14:dxf>
              <font>
                <b/>
                <i val="0"/>
              </font>
            </x14:dxf>
          </x14:cfRule>
          <x14:cfRule type="expression" priority="4676" id="{E0106B9B-69D2-4F40-B5CC-E951BE1683C6}">
            <xm:f>'TC1'!#REF!="Dial"</xm:f>
            <x14:dxf>
              <font>
                <b/>
                <i val="0"/>
                <color rgb="FFFF0000"/>
              </font>
            </x14:dxf>
          </x14:cfRule>
          <xm:sqref>C9:C11</xm:sqref>
        </x14:conditionalFormatting>
        <x14:conditionalFormatting xmlns:xm="http://schemas.microsoft.com/office/excel/2006/main">
          <x14:cfRule type="containsText" priority="4679" operator="containsText" text="DB" id="{6E59CD9C-04F4-4C0C-9D59-B98792A035B2}">
            <xm:f>NOT(ISERROR(SEARCH("DB",'TC1'!#REF!)))</xm:f>
            <x14:dxf>
              <font>
                <color rgb="FF006100"/>
              </font>
              <fill>
                <patternFill>
                  <bgColor rgb="FFC6EFCE"/>
                </patternFill>
              </fill>
            </x14:dxf>
          </x14:cfRule>
          <x14:cfRule type="containsText" priority="4680" operator="containsText" text="WEB SERVICE" id="{10147D17-0CCE-4678-ACFF-0A93627C9D03}">
            <xm:f>NOT(ISERROR(SEARCH("WEB SERVICE",'TC1'!#REF!)))</xm:f>
            <x14:dxf>
              <font>
                <color rgb="FF9C0006"/>
              </font>
              <fill>
                <patternFill>
                  <bgColor rgb="FFFFC7CE"/>
                </patternFill>
              </fill>
            </x14:dxf>
          </x14:cfRule>
          <xm:sqref>E9:E11</xm:sqref>
        </x14:conditionalFormatting>
        <x14:conditionalFormatting xmlns:xm="http://schemas.microsoft.com/office/excel/2006/main">
          <x14:cfRule type="containsText" priority="4681" operator="containsText" text="DB" id="{6E59CD9C-04F4-4C0C-9D59-B98792A035B2}">
            <xm:f>NOT(ISERROR(SEARCH("DB",'TC1'!E9)))</xm:f>
            <x14:dxf>
              <font>
                <color rgb="FF006100"/>
              </font>
              <fill>
                <patternFill>
                  <bgColor rgb="FFC6EFCE"/>
                </patternFill>
              </fill>
            </x14:dxf>
          </x14:cfRule>
          <x14:cfRule type="containsText" priority="4682" operator="containsText" text="WEB SERVICE" id="{10147D17-0CCE-4678-ACFF-0A93627C9D03}">
            <xm:f>NOT(ISERROR(SEARCH("WEB SERVICE",'TC1'!E9)))</xm:f>
            <x14:dxf>
              <font>
                <color rgb="FF9C0006"/>
              </font>
              <fill>
                <patternFill>
                  <bgColor rgb="FFFFC7CE"/>
                </patternFill>
              </fill>
            </x14:dxf>
          </x14:cfRule>
          <xm:sqref>E12:E15</xm:sqref>
        </x14:conditionalFormatting>
        <x14:conditionalFormatting xmlns:xm="http://schemas.microsoft.com/office/excel/2006/main">
          <x14:cfRule type="expression" priority="7069" id="{2156DFF2-F00C-4E74-80CE-F5C54FB59B46}">
            <xm:f>'TC1'!$B15="Speak"</xm:f>
            <x14:dxf>
              <font>
                <b/>
                <i val="0"/>
                <color rgb="FFFF0000"/>
              </font>
            </x14:dxf>
          </x14:cfRule>
          <xm:sqref>C16</xm:sqref>
        </x14:conditionalFormatting>
        <x14:conditionalFormatting xmlns:xm="http://schemas.microsoft.com/office/excel/2006/main">
          <x14:cfRule type="expression" priority="7072" id="{803D3E0D-C766-4AC9-A031-FEA2B6C4A911}">
            <xm:f>'TC1'!$B15="HANGUP"</xm:f>
            <x14:dxf>
              <font>
                <b/>
                <i val="0"/>
              </font>
            </x14:dxf>
          </x14:cfRule>
          <x14:cfRule type="expression" priority="7073" id="{E0106B9B-69D2-4F40-B5CC-E951BE1683C6}">
            <xm:f>'TC1'!$B15="Dial"</xm:f>
            <x14:dxf>
              <font>
                <b/>
                <i val="0"/>
                <color rgb="FFFF0000"/>
              </font>
            </x14:dxf>
          </x14:cfRule>
          <xm:sqref>C16</xm:sqref>
        </x14:conditionalFormatting>
        <x14:conditionalFormatting xmlns:xm="http://schemas.microsoft.com/office/excel/2006/main">
          <x14:cfRule type="containsText" priority="7076" operator="containsText" text="DB" id="{6E59CD9C-04F4-4C0C-9D59-B98792A035B2}">
            <xm:f>NOT(ISERROR(SEARCH("DB",'TC1'!E15)))</xm:f>
            <x14:dxf>
              <font>
                <color rgb="FF006100"/>
              </font>
              <fill>
                <patternFill>
                  <bgColor rgb="FFC6EFCE"/>
                </patternFill>
              </fill>
            </x14:dxf>
          </x14:cfRule>
          <x14:cfRule type="containsText" priority="7077" operator="containsText" text="WEB SERVICE" id="{10147D17-0CCE-4678-ACFF-0A93627C9D03}">
            <xm:f>NOT(ISERROR(SEARCH("WEB SERVICE",'TC1'!E15)))</xm:f>
            <x14:dxf>
              <font>
                <color rgb="FF9C0006"/>
              </font>
              <fill>
                <patternFill>
                  <bgColor rgb="FFFFC7CE"/>
                </patternFill>
              </fill>
            </x14:dxf>
          </x14:cfRule>
          <xm:sqref>E16</xm:sqref>
        </x14:conditionalFormatting>
        <x14:conditionalFormatting xmlns:xm="http://schemas.microsoft.com/office/excel/2006/main">
          <x14:cfRule type="containsText" priority="9494" operator="containsText" text="Hear" id="{06F58739-DA5B-4FF4-B5F1-676CC9141F5A}">
            <xm:f>NOT(ISERROR(SEARCH("Hear",'TC26'!#REF!)))</xm:f>
            <x14:dxf>
              <font>
                <color theme="9" tint="-0.24994659260841701"/>
              </font>
              <fill>
                <patternFill>
                  <bgColor theme="9" tint="0.59996337778862885"/>
                </patternFill>
              </fill>
            </x14:dxf>
          </x14:cfRule>
          <xm:sqref>B39</xm:sqref>
        </x14:conditionalFormatting>
      </x14:conditionalFormattings>
    </ext>
  </extLst>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400-000000000000}">
  <sheetPr codeName="Sheet86"/>
  <dimension ref="A1:E61"/>
  <sheetViews>
    <sheetView zoomScaleNormal="100" workbookViewId="0">
      <selection activeCell="A2" sqref="A2"/>
    </sheetView>
  </sheetViews>
  <sheetFormatPr defaultRowHeight="14.5" x14ac:dyDescent="0.35"/>
  <cols>
    <col min="1" max="1" width="14.453125" style="42" bestFit="1" customWidth="1"/>
    <col min="2" max="2" width="42.6328125" style="42" customWidth="1"/>
    <col min="3" max="3" width="106.1796875" style="22" customWidth="1"/>
    <col min="4" max="4" width="21.81640625" style="33" bestFit="1" customWidth="1"/>
    <col min="5" max="5" width="20.6328125" style="42" customWidth="1"/>
  </cols>
  <sheetData>
    <row r="1" spans="1:5" ht="18.5" x14ac:dyDescent="0.35">
      <c r="A1" s="192" t="s">
        <v>4</v>
      </c>
      <c r="B1" s="192"/>
      <c r="C1" s="19"/>
    </row>
    <row r="2" spans="1:5" x14ac:dyDescent="0.35">
      <c r="A2" s="20" t="s">
        <v>5</v>
      </c>
      <c r="B2" s="21" t="str">
        <f ca="1">MID(CELL("filename",A1),FIND("]",CELL("filename",A1))+1,LEN(CELL("filename",A1))-FIND("]",CELL("filename",A1)))</f>
        <v>TC84</v>
      </c>
    </row>
    <row r="3" spans="1:5" x14ac:dyDescent="0.35">
      <c r="A3" s="23" t="s">
        <v>19</v>
      </c>
      <c r="B3" s="24">
        <f ca="1">VLOOKUP(B2,Table53[#All],2,FALSE)</f>
        <v>0</v>
      </c>
    </row>
    <row r="4" spans="1:5" ht="29" x14ac:dyDescent="0.35">
      <c r="A4" s="39" t="s">
        <v>20</v>
      </c>
      <c r="B4" s="38">
        <f ca="1">VLOOKUP(B2,Table53[#All],4,FALSE)</f>
        <v>0</v>
      </c>
    </row>
    <row r="5" spans="1:5" x14ac:dyDescent="0.35">
      <c r="A5" s="23" t="s">
        <v>6</v>
      </c>
      <c r="B5" s="77">
        <f ca="1">VLOOKUP(B2,Table53[#All],3,FALSE)</f>
        <v>0</v>
      </c>
    </row>
    <row r="7" spans="1:5" ht="15.5" x14ac:dyDescent="0.35">
      <c r="A7" s="100" t="s">
        <v>7</v>
      </c>
      <c r="B7" s="101" t="s">
        <v>8</v>
      </c>
      <c r="C7" s="102" t="s">
        <v>9</v>
      </c>
      <c r="D7" s="102" t="s">
        <v>14</v>
      </c>
      <c r="E7" s="103" t="s">
        <v>10</v>
      </c>
    </row>
    <row r="8" spans="1:5" s="97" customFormat="1" x14ac:dyDescent="0.35">
      <c r="A8" s="118">
        <v>1</v>
      </c>
      <c r="B8" s="114" t="s">
        <v>114</v>
      </c>
      <c r="C8" s="109" t="s">
        <v>125</v>
      </c>
      <c r="D8" s="128"/>
      <c r="E8" s="125" t="s">
        <v>11</v>
      </c>
    </row>
    <row r="9" spans="1:5" s="97" customFormat="1" x14ac:dyDescent="0.35">
      <c r="A9" s="118">
        <v>2</v>
      </c>
      <c r="B9" s="114" t="s">
        <v>12</v>
      </c>
      <c r="C9" s="109" t="e">
        <f>VLOOKUP(Table25751952[[#This Row],[PEG]],Table1016[#All],2,FALSE)</f>
        <v>#N/A</v>
      </c>
      <c r="D9" s="128"/>
      <c r="E9" s="125" t="e">
        <f>VLOOKUP(Table25751952[[#This Row],[PEG]],Table1016[#All],3,FALSE)</f>
        <v>#N/A</v>
      </c>
    </row>
    <row r="10" spans="1:5" s="97" customFormat="1" x14ac:dyDescent="0.35">
      <c r="A10" s="118">
        <v>3</v>
      </c>
      <c r="B10" s="114" t="s">
        <v>115</v>
      </c>
      <c r="C10" s="109" t="e">
        <f>VLOOKUP(Table25751952[[#This Row],[PEG]],Table1016[#All],2,FALSE)</f>
        <v>#N/A</v>
      </c>
      <c r="D10" s="128"/>
      <c r="E10" s="125" t="e">
        <f>VLOOKUP(Table25751952[[#This Row],[PEG]],Table1016[#All],3,FALSE)</f>
        <v>#N/A</v>
      </c>
    </row>
    <row r="11" spans="1:5" s="97" customFormat="1" x14ac:dyDescent="0.35">
      <c r="A11" s="118">
        <v>4</v>
      </c>
      <c r="B11" s="114" t="s">
        <v>115</v>
      </c>
      <c r="C11" s="109" t="e">
        <f>VLOOKUP(Table25751952[[#This Row],[PEG]],Table1016[#All],2,FALSE)</f>
        <v>#N/A</v>
      </c>
      <c r="D11" s="128"/>
      <c r="E11" s="125" t="e">
        <f>VLOOKUP(Table25751952[[#This Row],[PEG]],Table1016[#All],3,FALSE)</f>
        <v>#N/A</v>
      </c>
    </row>
    <row r="12" spans="1:5" s="97" customFormat="1" x14ac:dyDescent="0.35">
      <c r="A12" s="118">
        <v>5</v>
      </c>
      <c r="B12" s="114" t="s">
        <v>114</v>
      </c>
      <c r="C12" s="109" t="e">
        <f>VLOOKUP(Table25751952[[#This Row],[PEG]],Table1016[#All],2,FALSE)</f>
        <v>#N/A</v>
      </c>
      <c r="D12" s="128"/>
      <c r="E12" s="125" t="e">
        <f>VLOOKUP(Table25751952[[#This Row],[PEG]],Table1016[#All],3,FALSE)</f>
        <v>#N/A</v>
      </c>
    </row>
    <row r="13" spans="1:5" s="97" customFormat="1" x14ac:dyDescent="0.35">
      <c r="A13" s="118">
        <v>6</v>
      </c>
      <c r="B13" s="114" t="s">
        <v>115</v>
      </c>
      <c r="C13" s="109" t="e">
        <f>VLOOKUP(Table25751952[[#This Row],[PEG]],Table1016[#All],2,FALSE)</f>
        <v>#N/A</v>
      </c>
      <c r="D13" s="128"/>
      <c r="E13" s="125" t="e">
        <f>VLOOKUP(Table25751952[[#This Row],[PEG]],Table1016[#All],3,FALSE)</f>
        <v>#N/A</v>
      </c>
    </row>
    <row r="14" spans="1:5" s="97" customFormat="1" x14ac:dyDescent="0.35">
      <c r="A14" s="118">
        <v>7</v>
      </c>
      <c r="B14" s="114" t="s">
        <v>114</v>
      </c>
      <c r="C14" s="109" t="e">
        <f>VLOOKUP(Table25751952[[#This Row],[PEG]],Table1016[#All],2,FALSE)</f>
        <v>#N/A</v>
      </c>
      <c r="D14" s="128"/>
      <c r="E14" s="125" t="e">
        <f>VLOOKUP(Table25751952[[#This Row],[PEG]],Table1016[#All],3,FALSE)</f>
        <v>#N/A</v>
      </c>
    </row>
    <row r="15" spans="1:5" x14ac:dyDescent="0.35">
      <c r="A15" s="118">
        <v>8</v>
      </c>
      <c r="B15" s="114" t="s">
        <v>115</v>
      </c>
      <c r="C15" s="109" t="e">
        <f>VLOOKUP(Table25751952[[#This Row],[PEG]],Table1016[#All],2,FALSE)</f>
        <v>#N/A</v>
      </c>
      <c r="D15" s="116"/>
      <c r="E15" s="125" t="e">
        <f>VLOOKUP(Table25751952[[#This Row],[PEG]],Table1016[#All],3,FALSE)</f>
        <v>#N/A</v>
      </c>
    </row>
    <row r="16" spans="1:5" x14ac:dyDescent="0.35">
      <c r="A16" s="118">
        <v>9</v>
      </c>
      <c r="B16" s="114" t="s">
        <v>12</v>
      </c>
      <c r="C16" s="109" t="e">
        <f>VLOOKUP(Table25751952[[#This Row],[PEG]],Table1016[#All],2,FALSE)</f>
        <v>#N/A</v>
      </c>
      <c r="D16" s="116"/>
      <c r="E16" s="125" t="e">
        <f>VLOOKUP(Table25751952[[#This Row],[PEG]],Table1016[#All],3,FALSE)</f>
        <v>#N/A</v>
      </c>
    </row>
    <row r="17" spans="1:5" x14ac:dyDescent="0.35">
      <c r="A17" s="118">
        <v>10</v>
      </c>
      <c r="B17" s="114" t="s">
        <v>12</v>
      </c>
      <c r="C17" s="109" t="e">
        <f>VLOOKUP(Table25751952[[#This Row],[PEG]],Table1016[#All],2,FALSE)</f>
        <v>#N/A</v>
      </c>
      <c r="D17" s="117"/>
      <c r="E17" s="125" t="e">
        <f>VLOOKUP(Table25751952[[#This Row],[PEG]],Table1016[#All],3,FALSE)</f>
        <v>#N/A</v>
      </c>
    </row>
    <row r="18" spans="1:5" x14ac:dyDescent="0.35">
      <c r="A18" s="118">
        <v>11</v>
      </c>
      <c r="B18" s="114" t="s">
        <v>115</v>
      </c>
      <c r="C18" s="109" t="e">
        <f>VLOOKUP(Table25751952[[#This Row],[PEG]],Table1016[#All],2,FALSE)</f>
        <v>#N/A</v>
      </c>
      <c r="D18" s="117"/>
      <c r="E18" s="125" t="e">
        <f>VLOOKUP(Table25751952[[#This Row],[PEG]],Table1016[#All],3,FALSE)</f>
        <v>#N/A</v>
      </c>
    </row>
    <row r="19" spans="1:5" x14ac:dyDescent="0.35">
      <c r="A19" s="118">
        <v>12</v>
      </c>
      <c r="B19" s="114" t="s">
        <v>115</v>
      </c>
      <c r="C19" s="109" t="e">
        <f>VLOOKUP(Table25751952[[#This Row],[PEG]],Table1016[#All],2,FALSE)</f>
        <v>#N/A</v>
      </c>
      <c r="D19" s="117"/>
      <c r="E19" s="125" t="e">
        <f>VLOOKUP(Table25751952[[#This Row],[PEG]],Table1016[#All],3,FALSE)</f>
        <v>#N/A</v>
      </c>
    </row>
    <row r="20" spans="1:5" x14ac:dyDescent="0.35">
      <c r="A20" s="118">
        <v>13</v>
      </c>
      <c r="B20" s="114" t="s">
        <v>114</v>
      </c>
      <c r="C20" s="109" t="e">
        <f>VLOOKUP(Table25751952[[#This Row],[PEG]],Table1016[#All],2,FALSE)</f>
        <v>#N/A</v>
      </c>
      <c r="D20" s="117"/>
      <c r="E20" s="125" t="e">
        <f>VLOOKUP(Table25751952[[#This Row],[PEG]],Table1016[#All],3,FALSE)</f>
        <v>#N/A</v>
      </c>
    </row>
    <row r="21" spans="1:5" x14ac:dyDescent="0.35">
      <c r="A21" s="118">
        <v>14</v>
      </c>
      <c r="B21" s="114" t="s">
        <v>12</v>
      </c>
      <c r="C21" s="109" t="e">
        <f>VLOOKUP(Table25751952[[#This Row],[PEG]],Table1016[#All],2,FALSE)</f>
        <v>#N/A</v>
      </c>
      <c r="D21" s="117"/>
      <c r="E21" s="125" t="e">
        <f>VLOOKUP(Table25751952[[#This Row],[PEG]],Table1016[#All],3,FALSE)</f>
        <v>#N/A</v>
      </c>
    </row>
    <row r="22" spans="1:5" x14ac:dyDescent="0.35">
      <c r="A22" s="118">
        <v>15</v>
      </c>
      <c r="B22" s="114" t="s">
        <v>12</v>
      </c>
      <c r="C22" s="109" t="e">
        <f>VLOOKUP(Table25751952[[#This Row],[PEG]],Table1016[#All],2,FALSE)</f>
        <v>#N/A</v>
      </c>
      <c r="D22" s="117"/>
      <c r="E22" s="125" t="e">
        <f>VLOOKUP(Table25751952[[#This Row],[PEG]],Table1016[#All],3,FALSE)</f>
        <v>#N/A</v>
      </c>
    </row>
    <row r="23" spans="1:5" x14ac:dyDescent="0.35">
      <c r="A23" s="118">
        <v>16</v>
      </c>
      <c r="B23" s="114" t="s">
        <v>115</v>
      </c>
      <c r="C23" s="109" t="e">
        <f>VLOOKUP(Table25751952[[#This Row],[PEG]],Table1016[#All],2,FALSE)</f>
        <v>#N/A</v>
      </c>
      <c r="D23" s="117"/>
      <c r="E23" s="125" t="e">
        <f>VLOOKUP(Table25751952[[#This Row],[PEG]],Table1016[#All],3,FALSE)</f>
        <v>#N/A</v>
      </c>
    </row>
    <row r="24" spans="1:5" x14ac:dyDescent="0.35">
      <c r="A24" s="118">
        <v>17</v>
      </c>
      <c r="B24" s="114" t="s">
        <v>114</v>
      </c>
      <c r="C24" s="109" t="e">
        <f>VLOOKUP(Table25751952[[#This Row],[PEG]],Table1016[#All],2,FALSE)</f>
        <v>#N/A</v>
      </c>
      <c r="D24" s="117"/>
      <c r="E24" s="125" t="e">
        <f>VLOOKUP(Table25751952[[#This Row],[PEG]],Table1016[#All],3,FALSE)</f>
        <v>#N/A</v>
      </c>
    </row>
    <row r="25" spans="1:5" s="97" customFormat="1" x14ac:dyDescent="0.35">
      <c r="A25" s="118">
        <v>18</v>
      </c>
      <c r="B25" s="114" t="s">
        <v>12</v>
      </c>
      <c r="C25" s="109" t="e">
        <f>VLOOKUP(Table25751952[[#This Row],[PEG]],Table1016[#All],2,FALSE)</f>
        <v>#N/A</v>
      </c>
      <c r="D25" s="117"/>
      <c r="E25" s="125" t="e">
        <f>VLOOKUP(Table25751952[[#This Row],[PEG]],Table1016[#All],3,FALSE)</f>
        <v>#N/A</v>
      </c>
    </row>
    <row r="26" spans="1:5" x14ac:dyDescent="0.35">
      <c r="A26" s="118">
        <v>19</v>
      </c>
      <c r="B26" s="114" t="s">
        <v>12</v>
      </c>
      <c r="C26" s="109" t="e">
        <f>VLOOKUP(Table25751952[[#This Row],[PEG]],Table1016[#All],2,FALSE)</f>
        <v>#N/A</v>
      </c>
      <c r="D26" s="117"/>
      <c r="E26" s="125" t="e">
        <f>VLOOKUP(Table25751952[[#This Row],[PEG]],Table1016[#All],3,FALSE)</f>
        <v>#N/A</v>
      </c>
    </row>
    <row r="27" spans="1:5" x14ac:dyDescent="0.35">
      <c r="A27" s="118">
        <v>20</v>
      </c>
      <c r="B27" s="114" t="s">
        <v>115</v>
      </c>
      <c r="C27" s="109" t="e">
        <f>VLOOKUP(Table25751952[[#This Row],[PEG]],Table1016[#All],2,FALSE)</f>
        <v>#N/A</v>
      </c>
      <c r="D27" s="117"/>
      <c r="E27" s="125" t="e">
        <f>VLOOKUP(Table25751952[[#This Row],[PEG]],Table1016[#All],3,FALSE)</f>
        <v>#N/A</v>
      </c>
    </row>
    <row r="28" spans="1:5" x14ac:dyDescent="0.35">
      <c r="A28" s="118">
        <v>21</v>
      </c>
      <c r="B28" s="114" t="s">
        <v>114</v>
      </c>
      <c r="C28" s="109" t="e">
        <f>VLOOKUP(Table25751952[[#This Row],[PEG]],Table1016[#All],2,FALSE)</f>
        <v>#N/A</v>
      </c>
      <c r="D28" s="117"/>
      <c r="E28" s="125" t="e">
        <f>VLOOKUP(Table25751952[[#This Row],[PEG]],Table1016[#All],3,FALSE)</f>
        <v>#N/A</v>
      </c>
    </row>
    <row r="29" spans="1:5" x14ac:dyDescent="0.35">
      <c r="A29" s="118">
        <v>22</v>
      </c>
      <c r="B29" s="114" t="s">
        <v>12</v>
      </c>
      <c r="C29" s="109" t="e">
        <f>VLOOKUP(Table25751952[[#This Row],[PEG]],Table1016[#All],2,FALSE)</f>
        <v>#N/A</v>
      </c>
      <c r="D29" s="117"/>
      <c r="E29" s="125" t="e">
        <f>VLOOKUP(Table25751952[[#This Row],[PEG]],Table1016[#All],3,FALSE)</f>
        <v>#N/A</v>
      </c>
    </row>
    <row r="30" spans="1:5" x14ac:dyDescent="0.35">
      <c r="A30" s="118">
        <v>23</v>
      </c>
      <c r="B30" s="114" t="s">
        <v>12</v>
      </c>
      <c r="C30" s="109" t="e">
        <f>VLOOKUP(Table25751952[[#This Row],[PEG]],Table1016[#All],2,FALSE)</f>
        <v>#N/A</v>
      </c>
      <c r="D30" s="117"/>
      <c r="E30" s="125" t="e">
        <f>VLOOKUP(Table25751952[[#This Row],[PEG]],Table1016[#All],3,FALSE)</f>
        <v>#N/A</v>
      </c>
    </row>
    <row r="31" spans="1:5" x14ac:dyDescent="0.35">
      <c r="A31" s="118">
        <v>24</v>
      </c>
      <c r="B31" s="114" t="s">
        <v>115</v>
      </c>
      <c r="C31" s="109" t="e">
        <f>VLOOKUP(Table25751952[[#This Row],[PEG]],Table1016[#All],2,FALSE)</f>
        <v>#N/A</v>
      </c>
      <c r="D31" s="117"/>
      <c r="E31" s="125" t="e">
        <f>VLOOKUP(Table25751952[[#This Row],[PEG]],Table1016[#All],3,FALSE)</f>
        <v>#N/A</v>
      </c>
    </row>
    <row r="32" spans="1:5" x14ac:dyDescent="0.35">
      <c r="A32" s="118">
        <v>25</v>
      </c>
      <c r="B32" s="114" t="s">
        <v>115</v>
      </c>
      <c r="C32" s="109" t="e">
        <f>VLOOKUP(Table25751952[[#This Row],[PEG]],Table1016[#All],2,FALSE)</f>
        <v>#N/A</v>
      </c>
      <c r="D32" s="117"/>
      <c r="E32" s="125" t="e">
        <f>VLOOKUP(Table25751952[[#This Row],[PEG]],Table1016[#All],3,FALSE)</f>
        <v>#N/A</v>
      </c>
    </row>
    <row r="33" spans="1:5" x14ac:dyDescent="0.35">
      <c r="A33" s="118">
        <v>26</v>
      </c>
      <c r="B33" s="114" t="s">
        <v>124</v>
      </c>
      <c r="C33" s="109" t="e">
        <f>VLOOKUP(Table25751952[[#This Row],[PEG]],Table1016[#All],2,FALSE)</f>
        <v>#N/A</v>
      </c>
      <c r="D33" s="117"/>
      <c r="E33" s="125" t="e">
        <f>VLOOKUP(Table25751952[[#This Row],[PEG]],Table1016[#All],3,FALSE)</f>
        <v>#N/A</v>
      </c>
    </row>
    <row r="34" spans="1:5" x14ac:dyDescent="0.35">
      <c r="A34" s="118">
        <v>27</v>
      </c>
      <c r="B34" s="114" t="s">
        <v>115</v>
      </c>
      <c r="C34" s="109" t="e">
        <f>VLOOKUP(Table25751952[[#This Row],[PEG]],Table1016[#All],2,FALSE)</f>
        <v>#N/A</v>
      </c>
      <c r="D34" s="117"/>
      <c r="E34" s="125" t="e">
        <f>VLOOKUP(Table25751952[[#This Row],[PEG]],Table1016[#All],3,FALSE)</f>
        <v>#N/A</v>
      </c>
    </row>
    <row r="35" spans="1:5" x14ac:dyDescent="0.35">
      <c r="A35" s="118">
        <v>28</v>
      </c>
      <c r="B35" s="114" t="s">
        <v>124</v>
      </c>
      <c r="C35" s="109" t="e">
        <f>VLOOKUP(Table25751952[[#This Row],[PEG]],Table1016[#All],2,FALSE)</f>
        <v>#N/A</v>
      </c>
      <c r="D35" s="117"/>
      <c r="E35" s="125" t="e">
        <f>VLOOKUP(Table25751952[[#This Row],[PEG]],Table1016[#All],3,FALSE)</f>
        <v>#N/A</v>
      </c>
    </row>
    <row r="36" spans="1:5" x14ac:dyDescent="0.35">
      <c r="A36" s="118">
        <v>29</v>
      </c>
      <c r="B36" s="114" t="s">
        <v>115</v>
      </c>
      <c r="C36" s="109" t="e">
        <f>VLOOKUP(Table25751952[[#This Row],[PEG]],Table1016[#All],2,FALSE)</f>
        <v>#N/A</v>
      </c>
      <c r="D36" s="117"/>
      <c r="E36" s="125" t="e">
        <f>VLOOKUP(Table25751952[[#This Row],[PEG]],Table1016[#All],3,FALSE)</f>
        <v>#N/A</v>
      </c>
    </row>
    <row r="37" spans="1:5" x14ac:dyDescent="0.35">
      <c r="A37" s="118">
        <v>30</v>
      </c>
      <c r="B37" s="114" t="s">
        <v>12</v>
      </c>
      <c r="C37" s="109" t="e">
        <f>VLOOKUP(Table25751952[[#This Row],[PEG]],Table1016[#All],2,FALSE)</f>
        <v>#N/A</v>
      </c>
      <c r="D37" s="117"/>
      <c r="E37" s="125" t="e">
        <f>VLOOKUP(Table25751952[[#This Row],[PEG]],Table1016[#All],3,FALSE)</f>
        <v>#N/A</v>
      </c>
    </row>
    <row r="38" spans="1:5" x14ac:dyDescent="0.35">
      <c r="A38" s="118">
        <v>31</v>
      </c>
      <c r="B38" s="114" t="s">
        <v>12</v>
      </c>
      <c r="C38" s="109" t="e">
        <f>VLOOKUP(Table25751952[[#This Row],[PEG]],Table1016[#All],2,FALSE)</f>
        <v>#N/A</v>
      </c>
      <c r="D38" s="117"/>
      <c r="E38" s="125" t="e">
        <f>VLOOKUP(Table25751952[[#This Row],[PEG]],Table1016[#All],3,FALSE)</f>
        <v>#N/A</v>
      </c>
    </row>
    <row r="39" spans="1:5" x14ac:dyDescent="0.35">
      <c r="A39" s="118">
        <v>32</v>
      </c>
      <c r="B39" s="114" t="s">
        <v>12</v>
      </c>
      <c r="C39" s="109" t="e">
        <f>VLOOKUP(Table25751952[[#This Row],[PEG]],Table1016[#All],2,FALSE)</f>
        <v>#N/A</v>
      </c>
      <c r="D39" s="117"/>
      <c r="E39" s="125" t="e">
        <f>VLOOKUP(Table25751952[[#This Row],[PEG]],Table1016[#All],3,FALSE)</f>
        <v>#N/A</v>
      </c>
    </row>
    <row r="40" spans="1:5" x14ac:dyDescent="0.35">
      <c r="A40" s="118">
        <v>33</v>
      </c>
      <c r="B40" s="114" t="s">
        <v>12</v>
      </c>
      <c r="C40" s="109" t="e">
        <f>VLOOKUP(Table25751952[[#This Row],[PEG]],Table1016[#All],2,FALSE)</f>
        <v>#N/A</v>
      </c>
      <c r="D40" s="117"/>
      <c r="E40" s="125" t="e">
        <f>VLOOKUP(Table25751952[[#This Row],[PEG]],Table1016[#All],3,FALSE)</f>
        <v>#N/A</v>
      </c>
    </row>
    <row r="41" spans="1:5" x14ac:dyDescent="0.35">
      <c r="A41" s="118">
        <v>34</v>
      </c>
      <c r="B41" s="114" t="s">
        <v>115</v>
      </c>
      <c r="C41" s="109" t="e">
        <f>VLOOKUP(Table25751952[[#This Row],[PEG]],Table1016[#All],2,FALSE)</f>
        <v>#N/A</v>
      </c>
      <c r="D41" s="117"/>
      <c r="E41" s="125" t="e">
        <f>VLOOKUP(Table25751952[[#This Row],[PEG]],Table1016[#All],3,FALSE)</f>
        <v>#N/A</v>
      </c>
    </row>
    <row r="42" spans="1:5" x14ac:dyDescent="0.35">
      <c r="A42" s="118">
        <v>35</v>
      </c>
      <c r="B42" s="114" t="s">
        <v>12</v>
      </c>
      <c r="C42" s="109" t="e">
        <f>VLOOKUP(Table25751952[[#This Row],[PEG]],Table1016[#All],2,FALSE)</f>
        <v>#N/A</v>
      </c>
      <c r="D42" s="115"/>
      <c r="E42" s="125" t="e">
        <f>VLOOKUP(Table25751952[[#This Row],[PEG]],Table1016[#All],3,FALSE)</f>
        <v>#N/A</v>
      </c>
    </row>
    <row r="43" spans="1:5" x14ac:dyDescent="0.35">
      <c r="A43" s="118">
        <v>36</v>
      </c>
      <c r="B43" s="114" t="s">
        <v>115</v>
      </c>
      <c r="C43" s="109" t="e">
        <f>VLOOKUP(Table25751952[[#This Row],[PEG]],Table1016[#All],2,FALSE)</f>
        <v>#N/A</v>
      </c>
      <c r="D43" s="115"/>
      <c r="E43" s="125" t="e">
        <f>VLOOKUP(Table25751952[[#This Row],[PEG]],Table1016[#All],3,FALSE)</f>
        <v>#N/A</v>
      </c>
    </row>
    <row r="44" spans="1:5" x14ac:dyDescent="0.35">
      <c r="A44" s="118">
        <v>37</v>
      </c>
      <c r="B44" s="114" t="s">
        <v>13</v>
      </c>
      <c r="C44" s="18" t="s">
        <v>13</v>
      </c>
      <c r="D44" s="115"/>
      <c r="E44" s="32"/>
    </row>
    <row r="45" spans="1:5" x14ac:dyDescent="0.35">
      <c r="C45" s="26"/>
    </row>
    <row r="46" spans="1:5" x14ac:dyDescent="0.35">
      <c r="C46" s="26"/>
    </row>
    <row r="47" spans="1:5" x14ac:dyDescent="0.35">
      <c r="C47" s="26"/>
    </row>
    <row r="48" spans="1:5" x14ac:dyDescent="0.35">
      <c r="C48" s="26"/>
    </row>
    <row r="49" spans="3:3" x14ac:dyDescent="0.35">
      <c r="C49" s="26"/>
    </row>
    <row r="50" spans="3:3" x14ac:dyDescent="0.35">
      <c r="C50" s="26"/>
    </row>
    <row r="51" spans="3:3" x14ac:dyDescent="0.35">
      <c r="C51" s="26"/>
    </row>
    <row r="52" spans="3:3" x14ac:dyDescent="0.35">
      <c r="C52" s="26"/>
    </row>
    <row r="53" spans="3:3" x14ac:dyDescent="0.35">
      <c r="C53" s="26"/>
    </row>
    <row r="54" spans="3:3" x14ac:dyDescent="0.35">
      <c r="C54" s="26"/>
    </row>
    <row r="55" spans="3:3" x14ac:dyDescent="0.35">
      <c r="C55" s="26"/>
    </row>
    <row r="56" spans="3:3" x14ac:dyDescent="0.35">
      <c r="C56" s="26"/>
    </row>
    <row r="57" spans="3:3" x14ac:dyDescent="0.35">
      <c r="C57" s="26"/>
    </row>
    <row r="58" spans="3:3" x14ac:dyDescent="0.35">
      <c r="C58" s="26"/>
    </row>
    <row r="59" spans="3:3" x14ac:dyDescent="0.35">
      <c r="C59" s="27"/>
    </row>
    <row r="60" spans="3:3" x14ac:dyDescent="0.35">
      <c r="C60" s="27"/>
    </row>
    <row r="61" spans="3:3" x14ac:dyDescent="0.35">
      <c r="C61" s="27"/>
    </row>
  </sheetData>
  <mergeCells count="1">
    <mergeCell ref="A1:B1"/>
  </mergeCells>
  <conditionalFormatting sqref="C45:C10000">
    <cfRule type="expression" dxfId="3465" priority="46">
      <formula>$B45="Dial"</formula>
    </cfRule>
    <cfRule type="expression" dxfId="3464" priority="48">
      <formula>$B45="HANGUP"</formula>
    </cfRule>
  </conditionalFormatting>
  <conditionalFormatting sqref="B30">
    <cfRule type="containsText" dxfId="3463" priority="4" operator="containsText" text="Hear">
      <formula>NOT(ISERROR(SEARCH("Hear",B30)))</formula>
    </cfRule>
  </conditionalFormatting>
  <conditionalFormatting sqref="B43:B44">
    <cfRule type="containsText" dxfId="3462" priority="14" operator="containsText" text="Hear">
      <formula>NOT(ISERROR(SEARCH("Hear",B43)))</formula>
    </cfRule>
  </conditionalFormatting>
  <conditionalFormatting sqref="E44">
    <cfRule type="containsText" dxfId="3461" priority="12" operator="containsText" text="WEB SERVICE">
      <formula>NOT(ISERROR(SEARCH("WEB SERVICE",E44)))</formula>
    </cfRule>
    <cfRule type="containsText" dxfId="3460" priority="13" operator="containsText" text="DB">
      <formula>NOT(ISERROR(SEARCH("DB",E44)))</formula>
    </cfRule>
  </conditionalFormatting>
  <conditionalFormatting sqref="C44">
    <cfRule type="expression" dxfId="3459" priority="15">
      <formula>$B44="Dial"</formula>
    </cfRule>
    <cfRule type="expression" dxfId="3458" priority="17">
      <formula>$B44="HANGUP"</formula>
    </cfRule>
  </conditionalFormatting>
  <conditionalFormatting sqref="C44">
    <cfRule type="expression" dxfId="3457" priority="16">
      <formula>$B44="Speak"</formula>
    </cfRule>
  </conditionalFormatting>
  <conditionalFormatting sqref="B8:B18">
    <cfRule type="containsText" dxfId="3456" priority="1" operator="containsText" text="Hear">
      <formula>NOT(ISERROR(SEARCH("Hear",B8)))</formula>
    </cfRule>
  </conditionalFormatting>
  <conditionalFormatting sqref="B36:B38 B40:B41">
    <cfRule type="containsText" dxfId="3455" priority="3" operator="containsText" text="Hear">
      <formula>NOT(ISERROR(SEARCH("Hear",B36)))</formula>
    </cfRule>
  </conditionalFormatting>
  <conditionalFormatting sqref="B19:B29 B31:B35 B42">
    <cfRule type="containsText" dxfId="3454" priority="5" operator="containsText" text="Hear">
      <formula>NOT(ISERROR(SEARCH("Hear",B19)))</formula>
    </cfRule>
  </conditionalFormatting>
  <hyperlinks>
    <hyperlink ref="A1" location="'Test Case Overview'!A1" display="Return to Test Case Overview" xr:uid="{00000000-0004-0000-5400-000000000000}"/>
  </hyperlinks>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expression" priority="24" id="{930DE327-52AF-48BC-BD9A-A20462AE8CDC}">
            <xm:f>'TC1'!$B8="Speak"</xm:f>
            <x14:dxf>
              <font>
                <b/>
                <i val="0"/>
                <color rgb="FFFF0000"/>
              </font>
            </x14:dxf>
          </x14:cfRule>
          <xm:sqref>C8</xm:sqref>
        </x14:conditionalFormatting>
        <x14:conditionalFormatting xmlns:xm="http://schemas.microsoft.com/office/excel/2006/main">
          <x14:cfRule type="expression" priority="8" id="{D0ED3AB8-6FD2-4C8F-9A72-1C4988B4E69D}">
            <xm:f>'TC1'!$B8="HANGUP"</xm:f>
            <x14:dxf>
              <font>
                <b/>
                <i val="0"/>
              </font>
            </x14:dxf>
          </x14:cfRule>
          <x14:cfRule type="expression" priority="9" id="{DDA0359C-DEEC-42FD-B2CB-13CBA0D00970}">
            <xm:f>'TC1'!$B8="Dial"</xm:f>
            <x14:dxf>
              <font>
                <b/>
                <i val="0"/>
                <color rgb="FFFF0000"/>
              </font>
            </x14:dxf>
          </x14:cfRule>
          <xm:sqref>C8</xm:sqref>
        </x14:conditionalFormatting>
        <x14:conditionalFormatting xmlns:xm="http://schemas.microsoft.com/office/excel/2006/main">
          <x14:cfRule type="containsText" priority="2" operator="containsText" text="Hear" id="{9B94FA04-E5AF-478D-8267-11C430E1851F}">
            <xm:f>NOT(ISERROR(SEARCH("Hear",'TC3'!B34)))</xm:f>
            <x14:dxf>
              <font>
                <color theme="9" tint="-0.24994659260841701"/>
              </font>
              <fill>
                <patternFill>
                  <bgColor theme="9" tint="0.59996337778862885"/>
                </patternFill>
              </fill>
            </x14:dxf>
          </x14:cfRule>
          <xm:sqref>B41</xm:sqref>
        </x14:conditionalFormatting>
        <x14:conditionalFormatting xmlns:xm="http://schemas.microsoft.com/office/excel/2006/main">
          <x14:cfRule type="expression" priority="1942" id="{930DE327-52AF-48BC-BD9A-A20462AE8CDC}">
            <xm:f>'TC1'!$B16="Speak"</xm:f>
            <x14:dxf>
              <font>
                <b/>
                <i val="0"/>
                <color rgb="FFFF0000"/>
              </font>
            </x14:dxf>
          </x14:cfRule>
          <xm:sqref>C34:C43</xm:sqref>
        </x14:conditionalFormatting>
        <x14:conditionalFormatting xmlns:xm="http://schemas.microsoft.com/office/excel/2006/main">
          <x14:cfRule type="expression" priority="1943" id="{930DE327-52AF-48BC-BD9A-A20462AE8CDC}">
            <xm:f>'TC1'!#REF!="Speak"</xm:f>
            <x14:dxf>
              <font>
                <b/>
                <i val="0"/>
                <color rgb="FFFF0000"/>
              </font>
            </x14:dxf>
          </x14:cfRule>
          <xm:sqref>C17:C33</xm:sqref>
        </x14:conditionalFormatting>
        <x14:conditionalFormatting xmlns:xm="http://schemas.microsoft.com/office/excel/2006/main">
          <x14:cfRule type="expression" priority="1947" id="{D0ED3AB8-6FD2-4C8F-9A72-1C4988B4E69D}">
            <xm:f>'TC1'!$B16="HANGUP"</xm:f>
            <x14:dxf>
              <font>
                <b/>
                <i val="0"/>
              </font>
            </x14:dxf>
          </x14:cfRule>
          <x14:cfRule type="expression" priority="1948" id="{DDA0359C-DEEC-42FD-B2CB-13CBA0D00970}">
            <xm:f>'TC1'!$B16="Dial"</xm:f>
            <x14:dxf>
              <font>
                <b/>
                <i val="0"/>
                <color rgb="FFFF0000"/>
              </font>
            </x14:dxf>
          </x14:cfRule>
          <xm:sqref>C34:C43</xm:sqref>
        </x14:conditionalFormatting>
        <x14:conditionalFormatting xmlns:xm="http://schemas.microsoft.com/office/excel/2006/main">
          <x14:cfRule type="expression" priority="1949" id="{D0ED3AB8-6FD2-4C8F-9A72-1C4988B4E69D}">
            <xm:f>'TC1'!#REF!="HANGUP"</xm:f>
            <x14:dxf>
              <font>
                <b/>
                <i val="0"/>
              </font>
            </x14:dxf>
          </x14:cfRule>
          <x14:cfRule type="expression" priority="1950" id="{DDA0359C-DEEC-42FD-B2CB-13CBA0D00970}">
            <xm:f>'TC1'!#REF!="Dial"</xm:f>
            <x14:dxf>
              <font>
                <b/>
                <i val="0"/>
                <color rgb="FFFF0000"/>
              </font>
            </x14:dxf>
          </x14:cfRule>
          <xm:sqref>C17:C33</xm:sqref>
        </x14:conditionalFormatting>
        <x14:conditionalFormatting xmlns:xm="http://schemas.microsoft.com/office/excel/2006/main">
          <x14:cfRule type="containsText" priority="1955" operator="containsText" text="DB" id="{8AB2E107-AC60-4EA6-A549-677115EED9A6}">
            <xm:f>NOT(ISERROR(SEARCH("DB",'TC1'!E16)))</xm:f>
            <x14:dxf>
              <font>
                <color rgb="FF006100"/>
              </font>
              <fill>
                <patternFill>
                  <bgColor rgb="FFC6EFCE"/>
                </patternFill>
              </fill>
            </x14:dxf>
          </x14:cfRule>
          <x14:cfRule type="containsText" priority="1956" operator="containsText" text="WEB SERVICE" id="{4ACB69C5-1DF9-40D5-94A4-152B82022D5F}">
            <xm:f>NOT(ISERROR(SEARCH("WEB SERVICE",'TC1'!E16)))</xm:f>
            <x14:dxf>
              <font>
                <color rgb="FF9C0006"/>
              </font>
              <fill>
                <patternFill>
                  <bgColor rgb="FFFFC7CE"/>
                </patternFill>
              </fill>
            </x14:dxf>
          </x14:cfRule>
          <xm:sqref>E34:E43</xm:sqref>
        </x14:conditionalFormatting>
        <x14:conditionalFormatting xmlns:xm="http://schemas.microsoft.com/office/excel/2006/main">
          <x14:cfRule type="containsText" priority="1957" operator="containsText" text="DB" id="{8AB2E107-AC60-4EA6-A549-677115EED9A6}">
            <xm:f>NOT(ISERROR(SEARCH("DB",'TC1'!#REF!)))</xm:f>
            <x14:dxf>
              <font>
                <color rgb="FF006100"/>
              </font>
              <fill>
                <patternFill>
                  <bgColor rgb="FFC6EFCE"/>
                </patternFill>
              </fill>
            </x14:dxf>
          </x14:cfRule>
          <x14:cfRule type="containsText" priority="1958" operator="containsText" text="WEB SERVICE" id="{4ACB69C5-1DF9-40D5-94A4-152B82022D5F}">
            <xm:f>NOT(ISERROR(SEARCH("WEB SERVICE",'TC1'!#REF!)))</xm:f>
            <x14:dxf>
              <font>
                <color rgb="FF9C0006"/>
              </font>
              <fill>
                <patternFill>
                  <bgColor rgb="FFFFC7CE"/>
                </patternFill>
              </fill>
            </x14:dxf>
          </x14:cfRule>
          <xm:sqref>E17:E33</xm:sqref>
        </x14:conditionalFormatting>
        <x14:conditionalFormatting xmlns:xm="http://schemas.microsoft.com/office/excel/2006/main">
          <x14:cfRule type="expression" priority="4686" id="{930DE327-52AF-48BC-BD9A-A20462AE8CDC}">
            <xm:f>'TC1'!$B9="Speak"</xm:f>
            <x14:dxf>
              <font>
                <b/>
                <i val="0"/>
                <color rgb="FFFF0000"/>
              </font>
            </x14:dxf>
          </x14:cfRule>
          <xm:sqref>C12:C15</xm:sqref>
        </x14:conditionalFormatting>
        <x14:conditionalFormatting xmlns:xm="http://schemas.microsoft.com/office/excel/2006/main">
          <x14:cfRule type="expression" priority="4687" id="{930DE327-52AF-48BC-BD9A-A20462AE8CDC}">
            <xm:f>'TC1'!#REF!="Speak"</xm:f>
            <x14:dxf>
              <font>
                <b/>
                <i val="0"/>
                <color rgb="FFFF0000"/>
              </font>
            </x14:dxf>
          </x14:cfRule>
          <xm:sqref>C9:C11</xm:sqref>
        </x14:conditionalFormatting>
        <x14:conditionalFormatting xmlns:xm="http://schemas.microsoft.com/office/excel/2006/main">
          <x14:cfRule type="expression" priority="4691" id="{D0ED3AB8-6FD2-4C8F-9A72-1C4988B4E69D}">
            <xm:f>'TC1'!$B9="HANGUP"</xm:f>
            <x14:dxf>
              <font>
                <b/>
                <i val="0"/>
              </font>
            </x14:dxf>
          </x14:cfRule>
          <x14:cfRule type="expression" priority="4692" id="{DDA0359C-DEEC-42FD-B2CB-13CBA0D00970}">
            <xm:f>'TC1'!$B9="Dial"</xm:f>
            <x14:dxf>
              <font>
                <b/>
                <i val="0"/>
                <color rgb="FFFF0000"/>
              </font>
            </x14:dxf>
          </x14:cfRule>
          <xm:sqref>C12:C15</xm:sqref>
        </x14:conditionalFormatting>
        <x14:conditionalFormatting xmlns:xm="http://schemas.microsoft.com/office/excel/2006/main">
          <x14:cfRule type="expression" priority="4693" id="{D0ED3AB8-6FD2-4C8F-9A72-1C4988B4E69D}">
            <xm:f>'TC1'!#REF!="HANGUP"</xm:f>
            <x14:dxf>
              <font>
                <b/>
                <i val="0"/>
              </font>
            </x14:dxf>
          </x14:cfRule>
          <x14:cfRule type="expression" priority="4694" id="{DDA0359C-DEEC-42FD-B2CB-13CBA0D00970}">
            <xm:f>'TC1'!#REF!="Dial"</xm:f>
            <x14:dxf>
              <font>
                <b/>
                <i val="0"/>
                <color rgb="FFFF0000"/>
              </font>
            </x14:dxf>
          </x14:cfRule>
          <xm:sqref>C9:C11</xm:sqref>
        </x14:conditionalFormatting>
        <x14:conditionalFormatting xmlns:xm="http://schemas.microsoft.com/office/excel/2006/main">
          <x14:cfRule type="containsText" priority="4697" operator="containsText" text="DB" id="{8AB2E107-AC60-4EA6-A549-677115EED9A6}">
            <xm:f>NOT(ISERROR(SEARCH("DB",'TC1'!#REF!)))</xm:f>
            <x14:dxf>
              <font>
                <color rgb="FF006100"/>
              </font>
              <fill>
                <patternFill>
                  <bgColor rgb="FFC6EFCE"/>
                </patternFill>
              </fill>
            </x14:dxf>
          </x14:cfRule>
          <x14:cfRule type="containsText" priority="4698" operator="containsText" text="WEB SERVICE" id="{4ACB69C5-1DF9-40D5-94A4-152B82022D5F}">
            <xm:f>NOT(ISERROR(SEARCH("WEB SERVICE",'TC1'!#REF!)))</xm:f>
            <x14:dxf>
              <font>
                <color rgb="FF9C0006"/>
              </font>
              <fill>
                <patternFill>
                  <bgColor rgb="FFFFC7CE"/>
                </patternFill>
              </fill>
            </x14:dxf>
          </x14:cfRule>
          <xm:sqref>E9:E11</xm:sqref>
        </x14:conditionalFormatting>
        <x14:conditionalFormatting xmlns:xm="http://schemas.microsoft.com/office/excel/2006/main">
          <x14:cfRule type="containsText" priority="4699" operator="containsText" text="DB" id="{8AB2E107-AC60-4EA6-A549-677115EED9A6}">
            <xm:f>NOT(ISERROR(SEARCH("DB",'TC1'!E9)))</xm:f>
            <x14:dxf>
              <font>
                <color rgb="FF006100"/>
              </font>
              <fill>
                <patternFill>
                  <bgColor rgb="FFC6EFCE"/>
                </patternFill>
              </fill>
            </x14:dxf>
          </x14:cfRule>
          <x14:cfRule type="containsText" priority="4700" operator="containsText" text="WEB SERVICE" id="{4ACB69C5-1DF9-40D5-94A4-152B82022D5F}">
            <xm:f>NOT(ISERROR(SEARCH("WEB SERVICE",'TC1'!E9)))</xm:f>
            <x14:dxf>
              <font>
                <color rgb="FF9C0006"/>
              </font>
              <fill>
                <patternFill>
                  <bgColor rgb="FFFFC7CE"/>
                </patternFill>
              </fill>
            </x14:dxf>
          </x14:cfRule>
          <xm:sqref>E12:E15</xm:sqref>
        </x14:conditionalFormatting>
        <x14:conditionalFormatting xmlns:xm="http://schemas.microsoft.com/office/excel/2006/main">
          <x14:cfRule type="expression" priority="7084" id="{930DE327-52AF-48BC-BD9A-A20462AE8CDC}">
            <xm:f>'TC1'!$B15="Speak"</xm:f>
            <x14:dxf>
              <font>
                <b/>
                <i val="0"/>
                <color rgb="FFFF0000"/>
              </font>
            </x14:dxf>
          </x14:cfRule>
          <xm:sqref>C16</xm:sqref>
        </x14:conditionalFormatting>
        <x14:conditionalFormatting xmlns:xm="http://schemas.microsoft.com/office/excel/2006/main">
          <x14:cfRule type="expression" priority="7087" id="{D0ED3AB8-6FD2-4C8F-9A72-1C4988B4E69D}">
            <xm:f>'TC1'!$B15="HANGUP"</xm:f>
            <x14:dxf>
              <font>
                <b/>
                <i val="0"/>
              </font>
            </x14:dxf>
          </x14:cfRule>
          <x14:cfRule type="expression" priority="7088" id="{DDA0359C-DEEC-42FD-B2CB-13CBA0D00970}">
            <xm:f>'TC1'!$B15="Dial"</xm:f>
            <x14:dxf>
              <font>
                <b/>
                <i val="0"/>
                <color rgb="FFFF0000"/>
              </font>
            </x14:dxf>
          </x14:cfRule>
          <xm:sqref>C16</xm:sqref>
        </x14:conditionalFormatting>
        <x14:conditionalFormatting xmlns:xm="http://schemas.microsoft.com/office/excel/2006/main">
          <x14:cfRule type="containsText" priority="7091" operator="containsText" text="DB" id="{8AB2E107-AC60-4EA6-A549-677115EED9A6}">
            <xm:f>NOT(ISERROR(SEARCH("DB",'TC1'!E15)))</xm:f>
            <x14:dxf>
              <font>
                <color rgb="FF006100"/>
              </font>
              <fill>
                <patternFill>
                  <bgColor rgb="FFC6EFCE"/>
                </patternFill>
              </fill>
            </x14:dxf>
          </x14:cfRule>
          <x14:cfRule type="containsText" priority="7092" operator="containsText" text="WEB SERVICE" id="{4ACB69C5-1DF9-40D5-94A4-152B82022D5F}">
            <xm:f>NOT(ISERROR(SEARCH("WEB SERVICE",'TC1'!E15)))</xm:f>
            <x14:dxf>
              <font>
                <color rgb="FF9C0006"/>
              </font>
              <fill>
                <patternFill>
                  <bgColor rgb="FFFFC7CE"/>
                </patternFill>
              </fill>
            </x14:dxf>
          </x14:cfRule>
          <xm:sqref>E16</xm:sqref>
        </x14:conditionalFormatting>
        <x14:conditionalFormatting xmlns:xm="http://schemas.microsoft.com/office/excel/2006/main">
          <x14:cfRule type="containsText" priority="9514" operator="containsText" text="Hear" id="{9609F050-C8D4-4938-94B4-D135BE03AC30}">
            <xm:f>NOT(ISERROR(SEARCH("Hear",'TC26'!#REF!)))</xm:f>
            <x14:dxf>
              <font>
                <color theme="9" tint="-0.24994659260841701"/>
              </font>
              <fill>
                <patternFill>
                  <bgColor theme="9" tint="0.59996337778862885"/>
                </patternFill>
              </fill>
            </x14:dxf>
          </x14:cfRule>
          <xm:sqref>B39</xm:sqref>
        </x14:conditionalFormatting>
      </x14:conditionalFormattings>
    </ext>
  </extLst>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500-000000000000}">
  <sheetPr codeName="Sheet87"/>
  <dimension ref="A1:E60"/>
  <sheetViews>
    <sheetView zoomScaleNormal="100" workbookViewId="0">
      <selection activeCell="A2" sqref="A2"/>
    </sheetView>
  </sheetViews>
  <sheetFormatPr defaultRowHeight="14.5" x14ac:dyDescent="0.35"/>
  <cols>
    <col min="1" max="1" width="14.453125" style="42" bestFit="1" customWidth="1"/>
    <col min="2" max="2" width="42.6328125" style="42" customWidth="1"/>
    <col min="3" max="3" width="106.1796875" style="22" customWidth="1"/>
    <col min="4" max="4" width="21.81640625" style="33" bestFit="1" customWidth="1"/>
    <col min="5" max="5" width="20.6328125" style="42" customWidth="1"/>
  </cols>
  <sheetData>
    <row r="1" spans="1:5" ht="18.5" x14ac:dyDescent="0.35">
      <c r="A1" s="192" t="s">
        <v>4</v>
      </c>
      <c r="B1" s="192"/>
      <c r="C1" s="19"/>
    </row>
    <row r="2" spans="1:5" x14ac:dyDescent="0.35">
      <c r="A2" s="20" t="s">
        <v>5</v>
      </c>
      <c r="B2" s="21" t="str">
        <f ca="1">MID(CELL("filename",A1),FIND("]",CELL("filename",A1))+1,LEN(CELL("filename",A1))-FIND("]",CELL("filename",A1)))</f>
        <v>TC85</v>
      </c>
    </row>
    <row r="3" spans="1:5" x14ac:dyDescent="0.35">
      <c r="A3" s="23" t="s">
        <v>19</v>
      </c>
      <c r="B3" s="24">
        <f ca="1">VLOOKUP(B2,Table53[#All],2,FALSE)</f>
        <v>0</v>
      </c>
    </row>
    <row r="4" spans="1:5" ht="29" x14ac:dyDescent="0.35">
      <c r="A4" s="39" t="s">
        <v>20</v>
      </c>
      <c r="B4" s="38">
        <f ca="1">VLOOKUP(B2,Table53[#All],4,FALSE)</f>
        <v>0</v>
      </c>
    </row>
    <row r="5" spans="1:5" x14ac:dyDescent="0.35">
      <c r="A5" s="23" t="s">
        <v>6</v>
      </c>
      <c r="B5" s="77">
        <f ca="1">VLOOKUP(B2,Table53[#All],3,FALSE)</f>
        <v>0</v>
      </c>
    </row>
    <row r="7" spans="1:5" ht="15.5" x14ac:dyDescent="0.35">
      <c r="A7" s="100" t="s">
        <v>7</v>
      </c>
      <c r="B7" s="101" t="s">
        <v>8</v>
      </c>
      <c r="C7" s="102" t="s">
        <v>9</v>
      </c>
      <c r="D7" s="102" t="s">
        <v>14</v>
      </c>
      <c r="E7" s="103" t="s">
        <v>10</v>
      </c>
    </row>
    <row r="8" spans="1:5" s="97" customFormat="1" x14ac:dyDescent="0.35">
      <c r="A8" s="118">
        <v>1</v>
      </c>
      <c r="B8" s="114" t="s">
        <v>114</v>
      </c>
      <c r="C8" s="109" t="s">
        <v>125</v>
      </c>
      <c r="D8" s="128"/>
      <c r="E8" s="125" t="s">
        <v>11</v>
      </c>
    </row>
    <row r="9" spans="1:5" s="97" customFormat="1" x14ac:dyDescent="0.35">
      <c r="A9" s="118">
        <v>2</v>
      </c>
      <c r="B9" s="114" t="s">
        <v>12</v>
      </c>
      <c r="C9" s="109" t="e">
        <f>VLOOKUP(Table25751953[[#This Row],[PEG]],Table1016[#All],2,FALSE)</f>
        <v>#N/A</v>
      </c>
      <c r="D9" s="128"/>
      <c r="E9" s="125" t="e">
        <f>VLOOKUP(Table25751953[[#This Row],[PEG]],Table1016[#All],3,FALSE)</f>
        <v>#N/A</v>
      </c>
    </row>
    <row r="10" spans="1:5" s="97" customFormat="1" x14ac:dyDescent="0.35">
      <c r="A10" s="118">
        <v>3</v>
      </c>
      <c r="B10" s="114" t="s">
        <v>115</v>
      </c>
      <c r="C10" s="109" t="e">
        <f>VLOOKUP(Table25751953[[#This Row],[PEG]],Table1016[#All],2,FALSE)</f>
        <v>#N/A</v>
      </c>
      <c r="D10" s="128"/>
      <c r="E10" s="125" t="e">
        <f>VLOOKUP(Table25751953[[#This Row],[PEG]],Table1016[#All],3,FALSE)</f>
        <v>#N/A</v>
      </c>
    </row>
    <row r="11" spans="1:5" s="97" customFormat="1" x14ac:dyDescent="0.35">
      <c r="A11" s="118">
        <v>4</v>
      </c>
      <c r="B11" s="114" t="s">
        <v>115</v>
      </c>
      <c r="C11" s="109" t="e">
        <f>VLOOKUP(Table25751953[[#This Row],[PEG]],Table1016[#All],2,FALSE)</f>
        <v>#N/A</v>
      </c>
      <c r="D11" s="128"/>
      <c r="E11" s="125" t="e">
        <f>VLOOKUP(Table25751953[[#This Row],[PEG]],Table1016[#All],3,FALSE)</f>
        <v>#N/A</v>
      </c>
    </row>
    <row r="12" spans="1:5" s="97" customFormat="1" x14ac:dyDescent="0.35">
      <c r="A12" s="118">
        <v>5</v>
      </c>
      <c r="B12" s="114" t="s">
        <v>114</v>
      </c>
      <c r="C12" s="109" t="e">
        <f>VLOOKUP(Table25751953[[#This Row],[PEG]],Table1016[#All],2,FALSE)</f>
        <v>#N/A</v>
      </c>
      <c r="D12" s="128"/>
      <c r="E12" s="125" t="e">
        <f>VLOOKUP(Table25751953[[#This Row],[PEG]],Table1016[#All],3,FALSE)</f>
        <v>#N/A</v>
      </c>
    </row>
    <row r="13" spans="1:5" s="97" customFormat="1" x14ac:dyDescent="0.35">
      <c r="A13" s="118">
        <v>6</v>
      </c>
      <c r="B13" s="114" t="s">
        <v>115</v>
      </c>
      <c r="C13" s="109" t="e">
        <f>VLOOKUP(Table25751953[[#This Row],[PEG]],Table1016[#All],2,FALSE)</f>
        <v>#N/A</v>
      </c>
      <c r="D13" s="128"/>
      <c r="E13" s="125" t="e">
        <f>VLOOKUP(Table25751953[[#This Row],[PEG]],Table1016[#All],3,FALSE)</f>
        <v>#N/A</v>
      </c>
    </row>
    <row r="14" spans="1:5" s="97" customFormat="1" x14ac:dyDescent="0.35">
      <c r="A14" s="118">
        <v>7</v>
      </c>
      <c r="B14" s="114" t="s">
        <v>114</v>
      </c>
      <c r="C14" s="109" t="e">
        <f>VLOOKUP(Table25751953[[#This Row],[PEG]],Table1016[#All],2,FALSE)</f>
        <v>#N/A</v>
      </c>
      <c r="D14" s="128"/>
      <c r="E14" s="125" t="e">
        <f>VLOOKUP(Table25751953[[#This Row],[PEG]],Table1016[#All],3,FALSE)</f>
        <v>#N/A</v>
      </c>
    </row>
    <row r="15" spans="1:5" x14ac:dyDescent="0.35">
      <c r="A15" s="118">
        <v>8</v>
      </c>
      <c r="B15" s="114" t="s">
        <v>115</v>
      </c>
      <c r="C15" s="109" t="e">
        <f>VLOOKUP(Table25751953[[#This Row],[PEG]],Table1016[#All],2,FALSE)</f>
        <v>#N/A</v>
      </c>
      <c r="D15" s="116"/>
      <c r="E15" s="125" t="e">
        <f>VLOOKUP(Table25751953[[#This Row],[PEG]],Table1016[#All],3,FALSE)</f>
        <v>#N/A</v>
      </c>
    </row>
    <row r="16" spans="1:5" x14ac:dyDescent="0.35">
      <c r="A16" s="118">
        <v>9</v>
      </c>
      <c r="B16" s="114" t="s">
        <v>12</v>
      </c>
      <c r="C16" s="109" t="e">
        <f>VLOOKUP(Table25751953[[#This Row],[PEG]],Table1016[#All],2,FALSE)</f>
        <v>#N/A</v>
      </c>
      <c r="D16" s="116"/>
      <c r="E16" s="125" t="e">
        <f>VLOOKUP(Table25751953[[#This Row],[PEG]],Table1016[#All],3,FALSE)</f>
        <v>#N/A</v>
      </c>
    </row>
    <row r="17" spans="1:5" x14ac:dyDescent="0.35">
      <c r="A17" s="118">
        <v>10</v>
      </c>
      <c r="B17" s="114" t="s">
        <v>12</v>
      </c>
      <c r="C17" s="109" t="e">
        <f>VLOOKUP(Table25751953[[#This Row],[PEG]],Table1016[#All],2,FALSE)</f>
        <v>#N/A</v>
      </c>
      <c r="D17" s="117"/>
      <c r="E17" s="125" t="e">
        <f>VLOOKUP(Table25751953[[#This Row],[PEG]],Table1016[#All],3,FALSE)</f>
        <v>#N/A</v>
      </c>
    </row>
    <row r="18" spans="1:5" x14ac:dyDescent="0.35">
      <c r="A18" s="118">
        <v>11</v>
      </c>
      <c r="B18" s="114" t="s">
        <v>115</v>
      </c>
      <c r="C18" s="109" t="e">
        <f>VLOOKUP(Table25751953[[#This Row],[PEG]],Table1016[#All],2,FALSE)</f>
        <v>#N/A</v>
      </c>
      <c r="D18" s="117"/>
      <c r="E18" s="125" t="e">
        <f>VLOOKUP(Table25751953[[#This Row],[PEG]],Table1016[#All],3,FALSE)</f>
        <v>#N/A</v>
      </c>
    </row>
    <row r="19" spans="1:5" x14ac:dyDescent="0.35">
      <c r="A19" s="118">
        <v>12</v>
      </c>
      <c r="B19" s="114" t="s">
        <v>115</v>
      </c>
      <c r="C19" s="109" t="e">
        <f>VLOOKUP(Table25751953[[#This Row],[PEG]],Table1016[#All],2,FALSE)</f>
        <v>#N/A</v>
      </c>
      <c r="D19" s="117"/>
      <c r="E19" s="125" t="e">
        <f>VLOOKUP(Table25751953[[#This Row],[PEG]],Table1016[#All],3,FALSE)</f>
        <v>#N/A</v>
      </c>
    </row>
    <row r="20" spans="1:5" x14ac:dyDescent="0.35">
      <c r="A20" s="118">
        <v>13</v>
      </c>
      <c r="B20" s="114" t="s">
        <v>114</v>
      </c>
      <c r="C20" s="109" t="e">
        <f>VLOOKUP(Table25751953[[#This Row],[PEG]],Table1016[#All],2,FALSE)</f>
        <v>#N/A</v>
      </c>
      <c r="D20" s="117"/>
      <c r="E20" s="125" t="e">
        <f>VLOOKUP(Table25751953[[#This Row],[PEG]],Table1016[#All],3,FALSE)</f>
        <v>#N/A</v>
      </c>
    </row>
    <row r="21" spans="1:5" x14ac:dyDescent="0.35">
      <c r="A21" s="118">
        <v>14</v>
      </c>
      <c r="B21" s="114" t="s">
        <v>12</v>
      </c>
      <c r="C21" s="109" t="e">
        <f>VLOOKUP(Table25751953[[#This Row],[PEG]],Table1016[#All],2,FALSE)</f>
        <v>#N/A</v>
      </c>
      <c r="D21" s="117"/>
      <c r="E21" s="125" t="e">
        <f>VLOOKUP(Table25751953[[#This Row],[PEG]],Table1016[#All],3,FALSE)</f>
        <v>#N/A</v>
      </c>
    </row>
    <row r="22" spans="1:5" x14ac:dyDescent="0.35">
      <c r="A22" s="118">
        <v>15</v>
      </c>
      <c r="B22" s="114" t="s">
        <v>12</v>
      </c>
      <c r="C22" s="109" t="e">
        <f>VLOOKUP(Table25751953[[#This Row],[PEG]],Table1016[#All],2,FALSE)</f>
        <v>#N/A</v>
      </c>
      <c r="D22" s="117"/>
      <c r="E22" s="125" t="e">
        <f>VLOOKUP(Table25751953[[#This Row],[PEG]],Table1016[#All],3,FALSE)</f>
        <v>#N/A</v>
      </c>
    </row>
    <row r="23" spans="1:5" x14ac:dyDescent="0.35">
      <c r="A23" s="118">
        <v>16</v>
      </c>
      <c r="B23" s="114" t="s">
        <v>115</v>
      </c>
      <c r="C23" s="109" t="e">
        <f>VLOOKUP(Table25751953[[#This Row],[PEG]],Table1016[#All],2,FALSE)</f>
        <v>#N/A</v>
      </c>
      <c r="D23" s="117"/>
      <c r="E23" s="125" t="e">
        <f>VLOOKUP(Table25751953[[#This Row],[PEG]],Table1016[#All],3,FALSE)</f>
        <v>#N/A</v>
      </c>
    </row>
    <row r="24" spans="1:5" x14ac:dyDescent="0.35">
      <c r="A24" s="118">
        <v>17</v>
      </c>
      <c r="B24" s="114" t="s">
        <v>114</v>
      </c>
      <c r="C24" s="109" t="e">
        <f>VLOOKUP(Table25751953[[#This Row],[PEG]],Table1016[#All],2,FALSE)</f>
        <v>#N/A</v>
      </c>
      <c r="D24" s="117"/>
      <c r="E24" s="125" t="e">
        <f>VLOOKUP(Table25751953[[#This Row],[PEG]],Table1016[#All],3,FALSE)</f>
        <v>#N/A</v>
      </c>
    </row>
    <row r="25" spans="1:5" s="97" customFormat="1" x14ac:dyDescent="0.35">
      <c r="A25" s="118">
        <v>18</v>
      </c>
      <c r="B25" s="114" t="s">
        <v>12</v>
      </c>
      <c r="C25" s="109" t="e">
        <f>VLOOKUP(Table25751953[[#This Row],[PEG]],Table1016[#All],2,FALSE)</f>
        <v>#N/A</v>
      </c>
      <c r="D25" s="117"/>
      <c r="E25" s="125" t="e">
        <f>VLOOKUP(Table25751953[[#This Row],[PEG]],Table1016[#All],3,FALSE)</f>
        <v>#N/A</v>
      </c>
    </row>
    <row r="26" spans="1:5" x14ac:dyDescent="0.35">
      <c r="A26" s="118">
        <v>19</v>
      </c>
      <c r="B26" s="114" t="s">
        <v>12</v>
      </c>
      <c r="C26" s="109" t="e">
        <f>VLOOKUP(Table25751953[[#This Row],[PEG]],Table1016[#All],2,FALSE)</f>
        <v>#N/A</v>
      </c>
      <c r="D26" s="117"/>
      <c r="E26" s="125" t="e">
        <f>VLOOKUP(Table25751953[[#This Row],[PEG]],Table1016[#All],3,FALSE)</f>
        <v>#N/A</v>
      </c>
    </row>
    <row r="27" spans="1:5" x14ac:dyDescent="0.35">
      <c r="A27" s="118">
        <v>20</v>
      </c>
      <c r="B27" s="114" t="s">
        <v>115</v>
      </c>
      <c r="C27" s="109" t="e">
        <f>VLOOKUP(Table25751953[[#This Row],[PEG]],Table1016[#All],2,FALSE)</f>
        <v>#N/A</v>
      </c>
      <c r="D27" s="117"/>
      <c r="E27" s="125" t="e">
        <f>VLOOKUP(Table25751953[[#This Row],[PEG]],Table1016[#All],3,FALSE)</f>
        <v>#N/A</v>
      </c>
    </row>
    <row r="28" spans="1:5" x14ac:dyDescent="0.35">
      <c r="A28" s="118">
        <v>21</v>
      </c>
      <c r="B28" s="114" t="s">
        <v>114</v>
      </c>
      <c r="C28" s="109" t="e">
        <f>VLOOKUP(Table25751953[[#This Row],[PEG]],Table1016[#All],2,FALSE)</f>
        <v>#N/A</v>
      </c>
      <c r="D28" s="117"/>
      <c r="E28" s="125" t="e">
        <f>VLOOKUP(Table25751953[[#This Row],[PEG]],Table1016[#All],3,FALSE)</f>
        <v>#N/A</v>
      </c>
    </row>
    <row r="29" spans="1:5" x14ac:dyDescent="0.35">
      <c r="A29" s="118">
        <v>22</v>
      </c>
      <c r="B29" s="114" t="s">
        <v>12</v>
      </c>
      <c r="C29" s="109" t="e">
        <f>VLOOKUP(Table25751953[[#This Row],[PEG]],Table1016[#All],2,FALSE)</f>
        <v>#N/A</v>
      </c>
      <c r="D29" s="117"/>
      <c r="E29" s="125" t="e">
        <f>VLOOKUP(Table25751953[[#This Row],[PEG]],Table1016[#All],3,FALSE)</f>
        <v>#N/A</v>
      </c>
    </row>
    <row r="30" spans="1:5" x14ac:dyDescent="0.35">
      <c r="A30" s="118">
        <v>23</v>
      </c>
      <c r="B30" s="114" t="s">
        <v>12</v>
      </c>
      <c r="C30" s="109" t="e">
        <f>VLOOKUP(Table25751953[[#This Row],[PEG]],Table1016[#All],2,FALSE)</f>
        <v>#N/A</v>
      </c>
      <c r="D30" s="117"/>
      <c r="E30" s="125" t="e">
        <f>VLOOKUP(Table25751953[[#This Row],[PEG]],Table1016[#All],3,FALSE)</f>
        <v>#N/A</v>
      </c>
    </row>
    <row r="31" spans="1:5" x14ac:dyDescent="0.35">
      <c r="A31" s="118">
        <v>24</v>
      </c>
      <c r="B31" s="114" t="s">
        <v>115</v>
      </c>
      <c r="C31" s="109" t="e">
        <f>VLOOKUP(Table25751953[[#This Row],[PEG]],Table1016[#All],2,FALSE)</f>
        <v>#N/A</v>
      </c>
      <c r="D31" s="117"/>
      <c r="E31" s="125" t="e">
        <f>VLOOKUP(Table25751953[[#This Row],[PEG]],Table1016[#All],3,FALSE)</f>
        <v>#N/A</v>
      </c>
    </row>
    <row r="32" spans="1:5" x14ac:dyDescent="0.35">
      <c r="A32" s="118">
        <v>25</v>
      </c>
      <c r="B32" s="114" t="s">
        <v>115</v>
      </c>
      <c r="C32" s="109" t="e">
        <f>VLOOKUP(Table25751953[[#This Row],[PEG]],Table1016[#All],2,FALSE)</f>
        <v>#N/A</v>
      </c>
      <c r="D32" s="117"/>
      <c r="E32" s="125" t="e">
        <f>VLOOKUP(Table25751953[[#This Row],[PEG]],Table1016[#All],3,FALSE)</f>
        <v>#N/A</v>
      </c>
    </row>
    <row r="33" spans="1:5" x14ac:dyDescent="0.35">
      <c r="A33" s="118">
        <v>26</v>
      </c>
      <c r="B33" s="114" t="s">
        <v>124</v>
      </c>
      <c r="C33" s="109" t="e">
        <f>VLOOKUP(Table25751953[[#This Row],[PEG]],Table1016[#All],2,FALSE)</f>
        <v>#N/A</v>
      </c>
      <c r="D33" s="117"/>
      <c r="E33" s="125" t="e">
        <f>VLOOKUP(Table25751953[[#This Row],[PEG]],Table1016[#All],3,FALSE)</f>
        <v>#N/A</v>
      </c>
    </row>
    <row r="34" spans="1:5" x14ac:dyDescent="0.35">
      <c r="A34" s="118">
        <v>27</v>
      </c>
      <c r="B34" s="114" t="s">
        <v>115</v>
      </c>
      <c r="C34" s="109" t="e">
        <f>VLOOKUP(Table25751953[[#This Row],[PEG]],Table1016[#All],2,FALSE)</f>
        <v>#N/A</v>
      </c>
      <c r="D34" s="117"/>
      <c r="E34" s="125" t="e">
        <f>VLOOKUP(Table25751953[[#This Row],[PEG]],Table1016[#All],3,FALSE)</f>
        <v>#N/A</v>
      </c>
    </row>
    <row r="35" spans="1:5" x14ac:dyDescent="0.35">
      <c r="A35" s="118">
        <v>28</v>
      </c>
      <c r="B35" s="114" t="s">
        <v>124</v>
      </c>
      <c r="C35" s="109" t="e">
        <f>VLOOKUP(Table25751953[[#This Row],[PEG]],Table1016[#All],2,FALSE)</f>
        <v>#N/A</v>
      </c>
      <c r="D35" s="117"/>
      <c r="E35" s="125" t="e">
        <f>VLOOKUP(Table25751953[[#This Row],[PEG]],Table1016[#All],3,FALSE)</f>
        <v>#N/A</v>
      </c>
    </row>
    <row r="36" spans="1:5" x14ac:dyDescent="0.35">
      <c r="A36" s="118">
        <v>29</v>
      </c>
      <c r="B36" s="114" t="s">
        <v>115</v>
      </c>
      <c r="C36" s="109" t="e">
        <f>VLOOKUP(Table25751953[[#This Row],[PEG]],Table1016[#All],2,FALSE)</f>
        <v>#N/A</v>
      </c>
      <c r="D36" s="117"/>
      <c r="E36" s="125" t="e">
        <f>VLOOKUP(Table25751953[[#This Row],[PEG]],Table1016[#All],3,FALSE)</f>
        <v>#N/A</v>
      </c>
    </row>
    <row r="37" spans="1:5" x14ac:dyDescent="0.35">
      <c r="A37" s="118">
        <v>30</v>
      </c>
      <c r="B37" s="114" t="s">
        <v>12</v>
      </c>
      <c r="C37" s="109" t="e">
        <f>VLOOKUP(Table25751953[[#This Row],[PEG]],Table1016[#All],2,FALSE)</f>
        <v>#N/A</v>
      </c>
      <c r="D37" s="117"/>
      <c r="E37" s="125" t="e">
        <f>VLOOKUP(Table25751953[[#This Row],[PEG]],Table1016[#All],3,FALSE)</f>
        <v>#N/A</v>
      </c>
    </row>
    <row r="38" spans="1:5" x14ac:dyDescent="0.35">
      <c r="A38" s="118">
        <v>31</v>
      </c>
      <c r="B38" s="114" t="s">
        <v>12</v>
      </c>
      <c r="C38" s="109" t="e">
        <f>VLOOKUP(Table25751953[[#This Row],[PEG]],Table1016[#All],2,FALSE)</f>
        <v>#N/A</v>
      </c>
      <c r="D38" s="117"/>
      <c r="E38" s="125" t="e">
        <f>VLOOKUP(Table25751953[[#This Row],[PEG]],Table1016[#All],3,FALSE)</f>
        <v>#N/A</v>
      </c>
    </row>
    <row r="39" spans="1:5" x14ac:dyDescent="0.35">
      <c r="A39" s="118">
        <v>32</v>
      </c>
      <c r="B39" s="114" t="s">
        <v>12</v>
      </c>
      <c r="C39" s="109" t="e">
        <f>VLOOKUP(Table25751953[[#This Row],[PEG]],Table1016[#All],2,FALSE)</f>
        <v>#N/A</v>
      </c>
      <c r="D39" s="117"/>
      <c r="E39" s="125" t="e">
        <f>VLOOKUP(Table25751953[[#This Row],[PEG]],Table1016[#All],3,FALSE)</f>
        <v>#N/A</v>
      </c>
    </row>
    <row r="40" spans="1:5" x14ac:dyDescent="0.35">
      <c r="A40" s="118">
        <v>33</v>
      </c>
      <c r="B40" s="114" t="s">
        <v>12</v>
      </c>
      <c r="C40" s="109" t="e">
        <f>VLOOKUP(Table25751953[[#This Row],[PEG]],Table1016[#All],2,FALSE)</f>
        <v>#N/A</v>
      </c>
      <c r="D40" s="117"/>
      <c r="E40" s="125" t="e">
        <f>VLOOKUP(Table25751953[[#This Row],[PEG]],Table1016[#All],3,FALSE)</f>
        <v>#N/A</v>
      </c>
    </row>
    <row r="41" spans="1:5" x14ac:dyDescent="0.35">
      <c r="A41" s="118">
        <v>34</v>
      </c>
      <c r="B41" s="114" t="s">
        <v>115</v>
      </c>
      <c r="C41" s="109" t="e">
        <f>VLOOKUP(Table25751953[[#This Row],[PEG]],Table1016[#All],2,FALSE)</f>
        <v>#N/A</v>
      </c>
      <c r="D41" s="117"/>
      <c r="E41" s="125" t="e">
        <f>VLOOKUP(Table25751953[[#This Row],[PEG]],Table1016[#All],3,FALSE)</f>
        <v>#N/A</v>
      </c>
    </row>
    <row r="42" spans="1:5" x14ac:dyDescent="0.35">
      <c r="A42" s="118">
        <v>35</v>
      </c>
      <c r="B42" s="114" t="s">
        <v>12</v>
      </c>
      <c r="C42" s="109" t="e">
        <f>VLOOKUP(Table25751953[[#This Row],[PEG]],Table1016[#All],2,FALSE)</f>
        <v>#N/A</v>
      </c>
      <c r="D42" s="115"/>
      <c r="E42" s="125" t="e">
        <f>VLOOKUP(Table25751953[[#This Row],[PEG]],Table1016[#All],3,FALSE)</f>
        <v>#N/A</v>
      </c>
    </row>
    <row r="43" spans="1:5" x14ac:dyDescent="0.35">
      <c r="A43" s="118">
        <v>36</v>
      </c>
      <c r="B43" s="114" t="s">
        <v>115</v>
      </c>
      <c r="C43" s="109" t="e">
        <f>VLOOKUP(Table25751953[[#This Row],[PEG]],Table1016[#All],2,FALSE)</f>
        <v>#N/A</v>
      </c>
      <c r="D43" s="115"/>
      <c r="E43" s="125" t="e">
        <f>VLOOKUP(Table25751953[[#This Row],[PEG]],Table1016[#All],3,FALSE)</f>
        <v>#N/A</v>
      </c>
    </row>
    <row r="44" spans="1:5" x14ac:dyDescent="0.35">
      <c r="A44" s="118">
        <v>37</v>
      </c>
      <c r="B44" s="114" t="s">
        <v>13</v>
      </c>
      <c r="C44" s="18" t="s">
        <v>13</v>
      </c>
      <c r="D44" s="115"/>
      <c r="E44" s="32"/>
    </row>
    <row r="45" spans="1:5" x14ac:dyDescent="0.35">
      <c r="C45" s="26"/>
    </row>
    <row r="46" spans="1:5" x14ac:dyDescent="0.35">
      <c r="C46" s="26"/>
    </row>
    <row r="47" spans="1:5" x14ac:dyDescent="0.35">
      <c r="C47" s="26"/>
    </row>
    <row r="48" spans="1:5" x14ac:dyDescent="0.35">
      <c r="C48" s="26"/>
    </row>
    <row r="49" spans="3:3" x14ac:dyDescent="0.35">
      <c r="C49" s="26"/>
    </row>
    <row r="50" spans="3:3" x14ac:dyDescent="0.35">
      <c r="C50" s="26"/>
    </row>
    <row r="51" spans="3:3" x14ac:dyDescent="0.35">
      <c r="C51" s="26"/>
    </row>
    <row r="52" spans="3:3" x14ac:dyDescent="0.35">
      <c r="C52" s="26"/>
    </row>
    <row r="53" spans="3:3" x14ac:dyDescent="0.35">
      <c r="C53" s="26"/>
    </row>
    <row r="54" spans="3:3" x14ac:dyDescent="0.35">
      <c r="C54" s="26"/>
    </row>
    <row r="55" spans="3:3" x14ac:dyDescent="0.35">
      <c r="C55" s="26"/>
    </row>
    <row r="56" spans="3:3" x14ac:dyDescent="0.35">
      <c r="C56" s="26"/>
    </row>
    <row r="57" spans="3:3" x14ac:dyDescent="0.35">
      <c r="C57" s="26"/>
    </row>
    <row r="58" spans="3:3" x14ac:dyDescent="0.35">
      <c r="C58" s="27"/>
    </row>
    <row r="59" spans="3:3" x14ac:dyDescent="0.35">
      <c r="C59" s="27"/>
    </row>
    <row r="60" spans="3:3" x14ac:dyDescent="0.35">
      <c r="C60" s="27"/>
    </row>
  </sheetData>
  <mergeCells count="1">
    <mergeCell ref="A1:B1"/>
  </mergeCells>
  <conditionalFormatting sqref="C45:C9999">
    <cfRule type="expression" dxfId="3423" priority="46">
      <formula>$B45="Dial"</formula>
    </cfRule>
    <cfRule type="expression" dxfId="3422" priority="48">
      <formula>$B45="HANGUP"</formula>
    </cfRule>
  </conditionalFormatting>
  <conditionalFormatting sqref="B30">
    <cfRule type="containsText" dxfId="3421" priority="4" operator="containsText" text="Hear">
      <formula>NOT(ISERROR(SEARCH("Hear",B30)))</formula>
    </cfRule>
  </conditionalFormatting>
  <conditionalFormatting sqref="B43:B44">
    <cfRule type="containsText" dxfId="3420" priority="14" operator="containsText" text="Hear">
      <formula>NOT(ISERROR(SEARCH("Hear",B43)))</formula>
    </cfRule>
  </conditionalFormatting>
  <conditionalFormatting sqref="E44">
    <cfRule type="containsText" dxfId="3419" priority="12" operator="containsText" text="WEB SERVICE">
      <formula>NOT(ISERROR(SEARCH("WEB SERVICE",E44)))</formula>
    </cfRule>
    <cfRule type="containsText" dxfId="3418" priority="13" operator="containsText" text="DB">
      <formula>NOT(ISERROR(SEARCH("DB",E44)))</formula>
    </cfRule>
  </conditionalFormatting>
  <conditionalFormatting sqref="C44">
    <cfRule type="expression" dxfId="3417" priority="15">
      <formula>$B44="Dial"</formula>
    </cfRule>
    <cfRule type="expression" dxfId="3416" priority="17">
      <formula>$B44="HANGUP"</formula>
    </cfRule>
  </conditionalFormatting>
  <conditionalFormatting sqref="C44">
    <cfRule type="expression" dxfId="3415" priority="16">
      <formula>$B44="Speak"</formula>
    </cfRule>
  </conditionalFormatting>
  <conditionalFormatting sqref="B8:B18">
    <cfRule type="containsText" dxfId="3414" priority="1" operator="containsText" text="Hear">
      <formula>NOT(ISERROR(SEARCH("Hear",B8)))</formula>
    </cfRule>
  </conditionalFormatting>
  <conditionalFormatting sqref="B36:B38 B40:B41">
    <cfRule type="containsText" dxfId="3413" priority="3" operator="containsText" text="Hear">
      <formula>NOT(ISERROR(SEARCH("Hear",B36)))</formula>
    </cfRule>
  </conditionalFormatting>
  <conditionalFormatting sqref="B19:B29 B31:B35 B42">
    <cfRule type="containsText" dxfId="3412" priority="5" operator="containsText" text="Hear">
      <formula>NOT(ISERROR(SEARCH("Hear",B19)))</formula>
    </cfRule>
  </conditionalFormatting>
  <hyperlinks>
    <hyperlink ref="A1" location="'Test Case Overview'!A1" display="Return to Test Case Overview" xr:uid="{00000000-0004-0000-5500-000000000000}"/>
  </hyperlinks>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expression" priority="24" id="{D029F29A-BF77-4485-A222-2FA0E98BFD08}">
            <xm:f>'TC1'!$B8="Speak"</xm:f>
            <x14:dxf>
              <font>
                <b/>
                <i val="0"/>
                <color rgb="FFFF0000"/>
              </font>
            </x14:dxf>
          </x14:cfRule>
          <xm:sqref>C8</xm:sqref>
        </x14:conditionalFormatting>
        <x14:conditionalFormatting xmlns:xm="http://schemas.microsoft.com/office/excel/2006/main">
          <x14:cfRule type="expression" priority="8" id="{6CCFFEC2-91C2-4020-82D3-3EBD854CDC04}">
            <xm:f>'TC1'!$B8="HANGUP"</xm:f>
            <x14:dxf>
              <font>
                <b/>
                <i val="0"/>
              </font>
            </x14:dxf>
          </x14:cfRule>
          <x14:cfRule type="expression" priority="9" id="{86753595-C157-48CE-BBCA-B13CDD75FF83}">
            <xm:f>'TC1'!$B8="Dial"</xm:f>
            <x14:dxf>
              <font>
                <b/>
                <i val="0"/>
                <color rgb="FFFF0000"/>
              </font>
            </x14:dxf>
          </x14:cfRule>
          <xm:sqref>C8</xm:sqref>
        </x14:conditionalFormatting>
        <x14:conditionalFormatting xmlns:xm="http://schemas.microsoft.com/office/excel/2006/main">
          <x14:cfRule type="containsText" priority="2" operator="containsText" text="Hear" id="{0052C9AD-CA74-438C-BCE2-054B2EFC01CD}">
            <xm:f>NOT(ISERROR(SEARCH("Hear",'TC3'!B34)))</xm:f>
            <x14:dxf>
              <font>
                <color theme="9" tint="-0.24994659260841701"/>
              </font>
              <fill>
                <patternFill>
                  <bgColor theme="9" tint="0.59996337778862885"/>
                </patternFill>
              </fill>
            </x14:dxf>
          </x14:cfRule>
          <xm:sqref>B41</xm:sqref>
        </x14:conditionalFormatting>
        <x14:conditionalFormatting xmlns:xm="http://schemas.microsoft.com/office/excel/2006/main">
          <x14:cfRule type="expression" priority="1962" id="{D029F29A-BF77-4485-A222-2FA0E98BFD08}">
            <xm:f>'TC1'!$B16="Speak"</xm:f>
            <x14:dxf>
              <font>
                <b/>
                <i val="0"/>
                <color rgb="FFFF0000"/>
              </font>
            </x14:dxf>
          </x14:cfRule>
          <xm:sqref>C34:C43</xm:sqref>
        </x14:conditionalFormatting>
        <x14:conditionalFormatting xmlns:xm="http://schemas.microsoft.com/office/excel/2006/main">
          <x14:cfRule type="expression" priority="1963" id="{D029F29A-BF77-4485-A222-2FA0E98BFD08}">
            <xm:f>'TC1'!#REF!="Speak"</xm:f>
            <x14:dxf>
              <font>
                <b/>
                <i val="0"/>
                <color rgb="FFFF0000"/>
              </font>
            </x14:dxf>
          </x14:cfRule>
          <xm:sqref>C17:C33</xm:sqref>
        </x14:conditionalFormatting>
        <x14:conditionalFormatting xmlns:xm="http://schemas.microsoft.com/office/excel/2006/main">
          <x14:cfRule type="expression" priority="1967" id="{6CCFFEC2-91C2-4020-82D3-3EBD854CDC04}">
            <xm:f>'TC1'!$B16="HANGUP"</xm:f>
            <x14:dxf>
              <font>
                <b/>
                <i val="0"/>
              </font>
            </x14:dxf>
          </x14:cfRule>
          <x14:cfRule type="expression" priority="1968" id="{86753595-C157-48CE-BBCA-B13CDD75FF83}">
            <xm:f>'TC1'!$B16="Dial"</xm:f>
            <x14:dxf>
              <font>
                <b/>
                <i val="0"/>
                <color rgb="FFFF0000"/>
              </font>
            </x14:dxf>
          </x14:cfRule>
          <xm:sqref>C34:C43</xm:sqref>
        </x14:conditionalFormatting>
        <x14:conditionalFormatting xmlns:xm="http://schemas.microsoft.com/office/excel/2006/main">
          <x14:cfRule type="expression" priority="1969" id="{6CCFFEC2-91C2-4020-82D3-3EBD854CDC04}">
            <xm:f>'TC1'!#REF!="HANGUP"</xm:f>
            <x14:dxf>
              <font>
                <b/>
                <i val="0"/>
              </font>
            </x14:dxf>
          </x14:cfRule>
          <x14:cfRule type="expression" priority="1970" id="{86753595-C157-48CE-BBCA-B13CDD75FF83}">
            <xm:f>'TC1'!#REF!="Dial"</xm:f>
            <x14:dxf>
              <font>
                <b/>
                <i val="0"/>
                <color rgb="FFFF0000"/>
              </font>
            </x14:dxf>
          </x14:cfRule>
          <xm:sqref>C17:C33</xm:sqref>
        </x14:conditionalFormatting>
        <x14:conditionalFormatting xmlns:xm="http://schemas.microsoft.com/office/excel/2006/main">
          <x14:cfRule type="containsText" priority="1975" operator="containsText" text="DB" id="{5C949343-D205-4F78-B05C-C84955F454BF}">
            <xm:f>NOT(ISERROR(SEARCH("DB",'TC1'!E16)))</xm:f>
            <x14:dxf>
              <font>
                <color rgb="FF006100"/>
              </font>
              <fill>
                <patternFill>
                  <bgColor rgb="FFC6EFCE"/>
                </patternFill>
              </fill>
            </x14:dxf>
          </x14:cfRule>
          <x14:cfRule type="containsText" priority="1976" operator="containsText" text="WEB SERVICE" id="{5CAF7E62-5BFF-4241-8ACE-9389758A6F87}">
            <xm:f>NOT(ISERROR(SEARCH("WEB SERVICE",'TC1'!E16)))</xm:f>
            <x14:dxf>
              <font>
                <color rgb="FF9C0006"/>
              </font>
              <fill>
                <patternFill>
                  <bgColor rgb="FFFFC7CE"/>
                </patternFill>
              </fill>
            </x14:dxf>
          </x14:cfRule>
          <xm:sqref>E34:E43</xm:sqref>
        </x14:conditionalFormatting>
        <x14:conditionalFormatting xmlns:xm="http://schemas.microsoft.com/office/excel/2006/main">
          <x14:cfRule type="containsText" priority="1977" operator="containsText" text="DB" id="{5C949343-D205-4F78-B05C-C84955F454BF}">
            <xm:f>NOT(ISERROR(SEARCH("DB",'TC1'!#REF!)))</xm:f>
            <x14:dxf>
              <font>
                <color rgb="FF006100"/>
              </font>
              <fill>
                <patternFill>
                  <bgColor rgb="FFC6EFCE"/>
                </patternFill>
              </fill>
            </x14:dxf>
          </x14:cfRule>
          <x14:cfRule type="containsText" priority="1978" operator="containsText" text="WEB SERVICE" id="{5CAF7E62-5BFF-4241-8ACE-9389758A6F87}">
            <xm:f>NOT(ISERROR(SEARCH("WEB SERVICE",'TC1'!#REF!)))</xm:f>
            <x14:dxf>
              <font>
                <color rgb="FF9C0006"/>
              </font>
              <fill>
                <patternFill>
                  <bgColor rgb="FFFFC7CE"/>
                </patternFill>
              </fill>
            </x14:dxf>
          </x14:cfRule>
          <xm:sqref>E17:E33</xm:sqref>
        </x14:conditionalFormatting>
        <x14:conditionalFormatting xmlns:xm="http://schemas.microsoft.com/office/excel/2006/main">
          <x14:cfRule type="expression" priority="4704" id="{D029F29A-BF77-4485-A222-2FA0E98BFD08}">
            <xm:f>'TC1'!$B9="Speak"</xm:f>
            <x14:dxf>
              <font>
                <b/>
                <i val="0"/>
                <color rgb="FFFF0000"/>
              </font>
            </x14:dxf>
          </x14:cfRule>
          <xm:sqref>C12:C15</xm:sqref>
        </x14:conditionalFormatting>
        <x14:conditionalFormatting xmlns:xm="http://schemas.microsoft.com/office/excel/2006/main">
          <x14:cfRule type="expression" priority="4705" id="{D029F29A-BF77-4485-A222-2FA0E98BFD08}">
            <xm:f>'TC1'!#REF!="Speak"</xm:f>
            <x14:dxf>
              <font>
                <b/>
                <i val="0"/>
                <color rgb="FFFF0000"/>
              </font>
            </x14:dxf>
          </x14:cfRule>
          <xm:sqref>C9:C11</xm:sqref>
        </x14:conditionalFormatting>
        <x14:conditionalFormatting xmlns:xm="http://schemas.microsoft.com/office/excel/2006/main">
          <x14:cfRule type="expression" priority="4709" id="{6CCFFEC2-91C2-4020-82D3-3EBD854CDC04}">
            <xm:f>'TC1'!$B9="HANGUP"</xm:f>
            <x14:dxf>
              <font>
                <b/>
                <i val="0"/>
              </font>
            </x14:dxf>
          </x14:cfRule>
          <x14:cfRule type="expression" priority="4710" id="{86753595-C157-48CE-BBCA-B13CDD75FF83}">
            <xm:f>'TC1'!$B9="Dial"</xm:f>
            <x14:dxf>
              <font>
                <b/>
                <i val="0"/>
                <color rgb="FFFF0000"/>
              </font>
            </x14:dxf>
          </x14:cfRule>
          <xm:sqref>C12:C15</xm:sqref>
        </x14:conditionalFormatting>
        <x14:conditionalFormatting xmlns:xm="http://schemas.microsoft.com/office/excel/2006/main">
          <x14:cfRule type="expression" priority="4711" id="{6CCFFEC2-91C2-4020-82D3-3EBD854CDC04}">
            <xm:f>'TC1'!#REF!="HANGUP"</xm:f>
            <x14:dxf>
              <font>
                <b/>
                <i val="0"/>
              </font>
            </x14:dxf>
          </x14:cfRule>
          <x14:cfRule type="expression" priority="4712" id="{86753595-C157-48CE-BBCA-B13CDD75FF83}">
            <xm:f>'TC1'!#REF!="Dial"</xm:f>
            <x14:dxf>
              <font>
                <b/>
                <i val="0"/>
                <color rgb="FFFF0000"/>
              </font>
            </x14:dxf>
          </x14:cfRule>
          <xm:sqref>C9:C11</xm:sqref>
        </x14:conditionalFormatting>
        <x14:conditionalFormatting xmlns:xm="http://schemas.microsoft.com/office/excel/2006/main">
          <x14:cfRule type="containsText" priority="4715" operator="containsText" text="DB" id="{5C949343-D205-4F78-B05C-C84955F454BF}">
            <xm:f>NOT(ISERROR(SEARCH("DB",'TC1'!#REF!)))</xm:f>
            <x14:dxf>
              <font>
                <color rgb="FF006100"/>
              </font>
              <fill>
                <patternFill>
                  <bgColor rgb="FFC6EFCE"/>
                </patternFill>
              </fill>
            </x14:dxf>
          </x14:cfRule>
          <x14:cfRule type="containsText" priority="4716" operator="containsText" text="WEB SERVICE" id="{5CAF7E62-5BFF-4241-8ACE-9389758A6F87}">
            <xm:f>NOT(ISERROR(SEARCH("WEB SERVICE",'TC1'!#REF!)))</xm:f>
            <x14:dxf>
              <font>
                <color rgb="FF9C0006"/>
              </font>
              <fill>
                <patternFill>
                  <bgColor rgb="FFFFC7CE"/>
                </patternFill>
              </fill>
            </x14:dxf>
          </x14:cfRule>
          <xm:sqref>E9:E11</xm:sqref>
        </x14:conditionalFormatting>
        <x14:conditionalFormatting xmlns:xm="http://schemas.microsoft.com/office/excel/2006/main">
          <x14:cfRule type="containsText" priority="4717" operator="containsText" text="DB" id="{5C949343-D205-4F78-B05C-C84955F454BF}">
            <xm:f>NOT(ISERROR(SEARCH("DB",'TC1'!E9)))</xm:f>
            <x14:dxf>
              <font>
                <color rgb="FF006100"/>
              </font>
              <fill>
                <patternFill>
                  <bgColor rgb="FFC6EFCE"/>
                </patternFill>
              </fill>
            </x14:dxf>
          </x14:cfRule>
          <x14:cfRule type="containsText" priority="4718" operator="containsText" text="WEB SERVICE" id="{5CAF7E62-5BFF-4241-8ACE-9389758A6F87}">
            <xm:f>NOT(ISERROR(SEARCH("WEB SERVICE",'TC1'!E9)))</xm:f>
            <x14:dxf>
              <font>
                <color rgb="FF9C0006"/>
              </font>
              <fill>
                <patternFill>
                  <bgColor rgb="FFFFC7CE"/>
                </patternFill>
              </fill>
            </x14:dxf>
          </x14:cfRule>
          <xm:sqref>E12:E15</xm:sqref>
        </x14:conditionalFormatting>
        <x14:conditionalFormatting xmlns:xm="http://schemas.microsoft.com/office/excel/2006/main">
          <x14:cfRule type="expression" priority="7099" id="{D029F29A-BF77-4485-A222-2FA0E98BFD08}">
            <xm:f>'TC1'!$B15="Speak"</xm:f>
            <x14:dxf>
              <font>
                <b/>
                <i val="0"/>
                <color rgb="FFFF0000"/>
              </font>
            </x14:dxf>
          </x14:cfRule>
          <xm:sqref>C16</xm:sqref>
        </x14:conditionalFormatting>
        <x14:conditionalFormatting xmlns:xm="http://schemas.microsoft.com/office/excel/2006/main">
          <x14:cfRule type="expression" priority="7102" id="{6CCFFEC2-91C2-4020-82D3-3EBD854CDC04}">
            <xm:f>'TC1'!$B15="HANGUP"</xm:f>
            <x14:dxf>
              <font>
                <b/>
                <i val="0"/>
              </font>
            </x14:dxf>
          </x14:cfRule>
          <x14:cfRule type="expression" priority="7103" id="{86753595-C157-48CE-BBCA-B13CDD75FF83}">
            <xm:f>'TC1'!$B15="Dial"</xm:f>
            <x14:dxf>
              <font>
                <b/>
                <i val="0"/>
                <color rgb="FFFF0000"/>
              </font>
            </x14:dxf>
          </x14:cfRule>
          <xm:sqref>C16</xm:sqref>
        </x14:conditionalFormatting>
        <x14:conditionalFormatting xmlns:xm="http://schemas.microsoft.com/office/excel/2006/main">
          <x14:cfRule type="containsText" priority="7106" operator="containsText" text="DB" id="{5C949343-D205-4F78-B05C-C84955F454BF}">
            <xm:f>NOT(ISERROR(SEARCH("DB",'TC1'!E15)))</xm:f>
            <x14:dxf>
              <font>
                <color rgb="FF006100"/>
              </font>
              <fill>
                <patternFill>
                  <bgColor rgb="FFC6EFCE"/>
                </patternFill>
              </fill>
            </x14:dxf>
          </x14:cfRule>
          <x14:cfRule type="containsText" priority="7107" operator="containsText" text="WEB SERVICE" id="{5CAF7E62-5BFF-4241-8ACE-9389758A6F87}">
            <xm:f>NOT(ISERROR(SEARCH("WEB SERVICE",'TC1'!E15)))</xm:f>
            <x14:dxf>
              <font>
                <color rgb="FF9C0006"/>
              </font>
              <fill>
                <patternFill>
                  <bgColor rgb="FFFFC7CE"/>
                </patternFill>
              </fill>
            </x14:dxf>
          </x14:cfRule>
          <xm:sqref>E16</xm:sqref>
        </x14:conditionalFormatting>
        <x14:conditionalFormatting xmlns:xm="http://schemas.microsoft.com/office/excel/2006/main">
          <x14:cfRule type="containsText" priority="9534" operator="containsText" text="Hear" id="{30196A8A-7B3B-40C3-9523-E884DB7157E3}">
            <xm:f>NOT(ISERROR(SEARCH("Hear",'TC26'!#REF!)))</xm:f>
            <x14:dxf>
              <font>
                <color theme="9" tint="-0.24994659260841701"/>
              </font>
              <fill>
                <patternFill>
                  <bgColor theme="9" tint="0.59996337778862885"/>
                </patternFill>
              </fill>
            </x14:dxf>
          </x14:cfRule>
          <xm:sqref>B39</xm:sqref>
        </x14:conditionalFormatting>
      </x14:conditionalFormattings>
    </ext>
  </extLst>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600-000000000000}">
  <sheetPr codeName="Sheet88"/>
  <dimension ref="A1:E59"/>
  <sheetViews>
    <sheetView zoomScaleNormal="100" workbookViewId="0">
      <selection activeCell="A2" sqref="A2"/>
    </sheetView>
  </sheetViews>
  <sheetFormatPr defaultRowHeight="14.5" x14ac:dyDescent="0.35"/>
  <cols>
    <col min="1" max="1" width="14.453125" style="82" bestFit="1" customWidth="1"/>
    <col min="2" max="2" width="42.6328125" style="82" customWidth="1"/>
    <col min="3" max="3" width="106.1796875" style="83" customWidth="1"/>
    <col min="4" max="4" width="21.81640625" style="94" bestFit="1" customWidth="1"/>
    <col min="5" max="5" width="20.6328125" style="82" customWidth="1"/>
  </cols>
  <sheetData>
    <row r="1" spans="1:5" ht="18.5" x14ac:dyDescent="0.35">
      <c r="A1" s="192" t="s">
        <v>4</v>
      </c>
      <c r="B1" s="192"/>
      <c r="C1" s="90"/>
    </row>
    <row r="2" spans="1:5" x14ac:dyDescent="0.35">
      <c r="A2" s="91" t="s">
        <v>5</v>
      </c>
      <c r="B2" s="92" t="str">
        <f ca="1">MID(CELL("filename",A1),FIND("]",CELL("filename",A1))+1,LEN(CELL("filename",A1))-FIND("]",CELL("filename",A1)))</f>
        <v>TC86</v>
      </c>
    </row>
    <row r="3" spans="1:5" x14ac:dyDescent="0.35">
      <c r="A3" s="89" t="s">
        <v>19</v>
      </c>
      <c r="B3" s="95">
        <f ca="1">VLOOKUP(B2,Table53[#All],2,FALSE)</f>
        <v>0</v>
      </c>
    </row>
    <row r="4" spans="1:5" ht="29" x14ac:dyDescent="0.35">
      <c r="A4" s="96" t="s">
        <v>20</v>
      </c>
      <c r="B4" s="84">
        <f ca="1">VLOOKUP(B2,Table53[#All],4,FALSE)</f>
        <v>0</v>
      </c>
    </row>
    <row r="5" spans="1:5" x14ac:dyDescent="0.35">
      <c r="A5" s="89" t="s">
        <v>6</v>
      </c>
      <c r="B5" s="77">
        <f ca="1">VLOOKUP(B2,Table53[#All],3,FALSE)</f>
        <v>0</v>
      </c>
    </row>
    <row r="7" spans="1:5" ht="15.5" x14ac:dyDescent="0.35">
      <c r="A7" s="100" t="s">
        <v>7</v>
      </c>
      <c r="B7" s="101" t="s">
        <v>8</v>
      </c>
      <c r="C7" s="102" t="s">
        <v>9</v>
      </c>
      <c r="D7" s="102" t="s">
        <v>14</v>
      </c>
      <c r="E7" s="103" t="s">
        <v>10</v>
      </c>
    </row>
    <row r="8" spans="1:5" x14ac:dyDescent="0.35">
      <c r="A8" s="118">
        <v>1</v>
      </c>
      <c r="B8" s="114" t="s">
        <v>114</v>
      </c>
      <c r="C8" s="109" t="s">
        <v>125</v>
      </c>
      <c r="D8" s="128"/>
      <c r="E8" s="125" t="s">
        <v>11</v>
      </c>
    </row>
    <row r="9" spans="1:5" s="97" customFormat="1" x14ac:dyDescent="0.35">
      <c r="A9" s="118">
        <v>2</v>
      </c>
      <c r="B9" s="114" t="s">
        <v>12</v>
      </c>
      <c r="C9" s="109" t="e">
        <f>VLOOKUP(Table25751954[[#This Row],[PEG]],Table1016[#All],2,FALSE)</f>
        <v>#N/A</v>
      </c>
      <c r="D9" s="128"/>
      <c r="E9" s="125" t="e">
        <f>VLOOKUP(Table25751954[[#This Row],[PEG]],Table1016[#All],3,FALSE)</f>
        <v>#N/A</v>
      </c>
    </row>
    <row r="10" spans="1:5" s="97" customFormat="1" x14ac:dyDescent="0.35">
      <c r="A10" s="118">
        <v>3</v>
      </c>
      <c r="B10" s="114" t="s">
        <v>115</v>
      </c>
      <c r="C10" s="109" t="e">
        <f>VLOOKUP(Table25751954[[#This Row],[PEG]],Table1016[#All],2,FALSE)</f>
        <v>#N/A</v>
      </c>
      <c r="D10" s="128"/>
      <c r="E10" s="125" t="e">
        <f>VLOOKUP(Table25751954[[#This Row],[PEG]],Table1016[#All],3,FALSE)</f>
        <v>#N/A</v>
      </c>
    </row>
    <row r="11" spans="1:5" s="97" customFormat="1" x14ac:dyDescent="0.35">
      <c r="A11" s="118">
        <v>4</v>
      </c>
      <c r="B11" s="114" t="s">
        <v>115</v>
      </c>
      <c r="C11" s="109" t="e">
        <f>VLOOKUP(Table25751954[[#This Row],[PEG]],Table1016[#All],2,FALSE)</f>
        <v>#N/A</v>
      </c>
      <c r="D11" s="128"/>
      <c r="E11" s="125" t="e">
        <f>VLOOKUP(Table25751954[[#This Row],[PEG]],Table1016[#All],3,FALSE)</f>
        <v>#N/A</v>
      </c>
    </row>
    <row r="12" spans="1:5" s="97" customFormat="1" x14ac:dyDescent="0.35">
      <c r="A12" s="118">
        <v>5</v>
      </c>
      <c r="B12" s="114" t="s">
        <v>114</v>
      </c>
      <c r="C12" s="109" t="e">
        <f>VLOOKUP(Table25751954[[#This Row],[PEG]],Table1016[#All],2,FALSE)</f>
        <v>#N/A</v>
      </c>
      <c r="D12" s="128"/>
      <c r="E12" s="125" t="e">
        <f>VLOOKUP(Table25751954[[#This Row],[PEG]],Table1016[#All],3,FALSE)</f>
        <v>#N/A</v>
      </c>
    </row>
    <row r="13" spans="1:5" s="97" customFormat="1" x14ac:dyDescent="0.35">
      <c r="A13" s="118">
        <v>6</v>
      </c>
      <c r="B13" s="114" t="s">
        <v>115</v>
      </c>
      <c r="C13" s="109" t="e">
        <f>VLOOKUP(Table25751954[[#This Row],[PEG]],Table1016[#All],2,FALSE)</f>
        <v>#N/A</v>
      </c>
      <c r="D13" s="128"/>
      <c r="E13" s="125" t="e">
        <f>VLOOKUP(Table25751954[[#This Row],[PEG]],Table1016[#All],3,FALSE)</f>
        <v>#N/A</v>
      </c>
    </row>
    <row r="14" spans="1:5" s="97" customFormat="1" x14ac:dyDescent="0.35">
      <c r="A14" s="118">
        <v>7</v>
      </c>
      <c r="B14" s="114" t="s">
        <v>114</v>
      </c>
      <c r="C14" s="109" t="e">
        <f>VLOOKUP(Table25751954[[#This Row],[PEG]],Table1016[#All],2,FALSE)</f>
        <v>#N/A</v>
      </c>
      <c r="D14" s="128"/>
      <c r="E14" s="125" t="e">
        <f>VLOOKUP(Table25751954[[#This Row],[PEG]],Table1016[#All],3,FALSE)</f>
        <v>#N/A</v>
      </c>
    </row>
    <row r="15" spans="1:5" x14ac:dyDescent="0.35">
      <c r="A15" s="118">
        <v>8</v>
      </c>
      <c r="B15" s="114" t="s">
        <v>115</v>
      </c>
      <c r="C15" s="109" t="e">
        <f>VLOOKUP(Table25751954[[#This Row],[PEG]],Table1016[#All],2,FALSE)</f>
        <v>#N/A</v>
      </c>
      <c r="D15" s="116"/>
      <c r="E15" s="125" t="e">
        <f>VLOOKUP(Table25751954[[#This Row],[PEG]],Table1016[#All],3,FALSE)</f>
        <v>#N/A</v>
      </c>
    </row>
    <row r="16" spans="1:5" x14ac:dyDescent="0.35">
      <c r="A16" s="118">
        <v>9</v>
      </c>
      <c r="B16" s="114" t="s">
        <v>12</v>
      </c>
      <c r="C16" s="109" t="e">
        <f>VLOOKUP(Table25751954[[#This Row],[PEG]],Table1016[#All],2,FALSE)</f>
        <v>#N/A</v>
      </c>
      <c r="D16" s="116"/>
      <c r="E16" s="125" t="e">
        <f>VLOOKUP(Table25751954[[#This Row],[PEG]],Table1016[#All],3,FALSE)</f>
        <v>#N/A</v>
      </c>
    </row>
    <row r="17" spans="1:5" x14ac:dyDescent="0.35">
      <c r="A17" s="118">
        <v>10</v>
      </c>
      <c r="B17" s="114" t="s">
        <v>12</v>
      </c>
      <c r="C17" s="109" t="e">
        <f>VLOOKUP(Table25751954[[#This Row],[PEG]],Table1016[#All],2,FALSE)</f>
        <v>#N/A</v>
      </c>
      <c r="D17" s="117"/>
      <c r="E17" s="125" t="e">
        <f>VLOOKUP(Table25751954[[#This Row],[PEG]],Table1016[#All],3,FALSE)</f>
        <v>#N/A</v>
      </c>
    </row>
    <row r="18" spans="1:5" x14ac:dyDescent="0.35">
      <c r="A18" s="118">
        <v>11</v>
      </c>
      <c r="B18" s="114" t="s">
        <v>115</v>
      </c>
      <c r="C18" s="109" t="e">
        <f>VLOOKUP(Table25751954[[#This Row],[PEG]],Table1016[#All],2,FALSE)</f>
        <v>#N/A</v>
      </c>
      <c r="D18" s="117"/>
      <c r="E18" s="125" t="e">
        <f>VLOOKUP(Table25751954[[#This Row],[PEG]],Table1016[#All],3,FALSE)</f>
        <v>#N/A</v>
      </c>
    </row>
    <row r="19" spans="1:5" x14ac:dyDescent="0.35">
      <c r="A19" s="118">
        <v>12</v>
      </c>
      <c r="B19" s="114" t="s">
        <v>115</v>
      </c>
      <c r="C19" s="109" t="e">
        <f>VLOOKUP(Table25751954[[#This Row],[PEG]],Table1016[#All],2,FALSE)</f>
        <v>#N/A</v>
      </c>
      <c r="D19" s="117"/>
      <c r="E19" s="125" t="e">
        <f>VLOOKUP(Table25751954[[#This Row],[PEG]],Table1016[#All],3,FALSE)</f>
        <v>#N/A</v>
      </c>
    </row>
    <row r="20" spans="1:5" x14ac:dyDescent="0.35">
      <c r="A20" s="118">
        <v>13</v>
      </c>
      <c r="B20" s="114" t="s">
        <v>114</v>
      </c>
      <c r="C20" s="109" t="e">
        <f>VLOOKUP(Table25751954[[#This Row],[PEG]],Table1016[#All],2,FALSE)</f>
        <v>#N/A</v>
      </c>
      <c r="D20" s="117"/>
      <c r="E20" s="125" t="e">
        <f>VLOOKUP(Table25751954[[#This Row],[PEG]],Table1016[#All],3,FALSE)</f>
        <v>#N/A</v>
      </c>
    </row>
    <row r="21" spans="1:5" x14ac:dyDescent="0.35">
      <c r="A21" s="118">
        <v>14</v>
      </c>
      <c r="B21" s="114" t="s">
        <v>12</v>
      </c>
      <c r="C21" s="109" t="e">
        <f>VLOOKUP(Table25751954[[#This Row],[PEG]],Table1016[#All],2,FALSE)</f>
        <v>#N/A</v>
      </c>
      <c r="D21" s="117"/>
      <c r="E21" s="125" t="e">
        <f>VLOOKUP(Table25751954[[#This Row],[PEG]],Table1016[#All],3,FALSE)</f>
        <v>#N/A</v>
      </c>
    </row>
    <row r="22" spans="1:5" x14ac:dyDescent="0.35">
      <c r="A22" s="118">
        <v>15</v>
      </c>
      <c r="B22" s="114" t="s">
        <v>12</v>
      </c>
      <c r="C22" s="109" t="e">
        <f>VLOOKUP(Table25751954[[#This Row],[PEG]],Table1016[#All],2,FALSE)</f>
        <v>#N/A</v>
      </c>
      <c r="D22" s="117"/>
      <c r="E22" s="125" t="e">
        <f>VLOOKUP(Table25751954[[#This Row],[PEG]],Table1016[#All],3,FALSE)</f>
        <v>#N/A</v>
      </c>
    </row>
    <row r="23" spans="1:5" x14ac:dyDescent="0.35">
      <c r="A23" s="118">
        <v>16</v>
      </c>
      <c r="B23" s="114" t="s">
        <v>115</v>
      </c>
      <c r="C23" s="109" t="e">
        <f>VLOOKUP(Table25751954[[#This Row],[PEG]],Table1016[#All],2,FALSE)</f>
        <v>#N/A</v>
      </c>
      <c r="D23" s="117"/>
      <c r="E23" s="125" t="e">
        <f>VLOOKUP(Table25751954[[#This Row],[PEG]],Table1016[#All],3,FALSE)</f>
        <v>#N/A</v>
      </c>
    </row>
    <row r="24" spans="1:5" x14ac:dyDescent="0.35">
      <c r="A24" s="118">
        <v>17</v>
      </c>
      <c r="B24" s="114" t="s">
        <v>114</v>
      </c>
      <c r="C24" s="109" t="e">
        <f>VLOOKUP(Table25751954[[#This Row],[PEG]],Table1016[#All],2,FALSE)</f>
        <v>#N/A</v>
      </c>
      <c r="D24" s="117"/>
      <c r="E24" s="125" t="e">
        <f>VLOOKUP(Table25751954[[#This Row],[PEG]],Table1016[#All],3,FALSE)</f>
        <v>#N/A</v>
      </c>
    </row>
    <row r="25" spans="1:5" s="97" customFormat="1" x14ac:dyDescent="0.35">
      <c r="A25" s="118">
        <v>18</v>
      </c>
      <c r="B25" s="114" t="s">
        <v>12</v>
      </c>
      <c r="C25" s="109" t="e">
        <f>VLOOKUP(Table25751954[[#This Row],[PEG]],Table1016[#All],2,FALSE)</f>
        <v>#N/A</v>
      </c>
      <c r="D25" s="117"/>
      <c r="E25" s="125" t="e">
        <f>VLOOKUP(Table25751954[[#This Row],[PEG]],Table1016[#All],3,FALSE)</f>
        <v>#N/A</v>
      </c>
    </row>
    <row r="26" spans="1:5" x14ac:dyDescent="0.35">
      <c r="A26" s="118">
        <v>19</v>
      </c>
      <c r="B26" s="114" t="s">
        <v>12</v>
      </c>
      <c r="C26" s="109" t="e">
        <f>VLOOKUP(Table25751954[[#This Row],[PEG]],Table1016[#All],2,FALSE)</f>
        <v>#N/A</v>
      </c>
      <c r="D26" s="117"/>
      <c r="E26" s="125" t="e">
        <f>VLOOKUP(Table25751954[[#This Row],[PEG]],Table1016[#All],3,FALSE)</f>
        <v>#N/A</v>
      </c>
    </row>
    <row r="27" spans="1:5" x14ac:dyDescent="0.35">
      <c r="A27" s="118">
        <v>20</v>
      </c>
      <c r="B27" s="114" t="s">
        <v>115</v>
      </c>
      <c r="C27" s="109" t="e">
        <f>VLOOKUP(Table25751954[[#This Row],[PEG]],Table1016[#All],2,FALSE)</f>
        <v>#N/A</v>
      </c>
      <c r="D27" s="117"/>
      <c r="E27" s="125" t="e">
        <f>VLOOKUP(Table25751954[[#This Row],[PEG]],Table1016[#All],3,FALSE)</f>
        <v>#N/A</v>
      </c>
    </row>
    <row r="28" spans="1:5" x14ac:dyDescent="0.35">
      <c r="A28" s="118">
        <v>21</v>
      </c>
      <c r="B28" s="114" t="s">
        <v>114</v>
      </c>
      <c r="C28" s="109" t="e">
        <f>VLOOKUP(Table25751954[[#This Row],[PEG]],Table1016[#All],2,FALSE)</f>
        <v>#N/A</v>
      </c>
      <c r="D28" s="117"/>
      <c r="E28" s="125" t="e">
        <f>VLOOKUP(Table25751954[[#This Row],[PEG]],Table1016[#All],3,FALSE)</f>
        <v>#N/A</v>
      </c>
    </row>
    <row r="29" spans="1:5" x14ac:dyDescent="0.35">
      <c r="A29" s="118">
        <v>22</v>
      </c>
      <c r="B29" s="114" t="s">
        <v>12</v>
      </c>
      <c r="C29" s="109" t="e">
        <f>VLOOKUP(Table25751954[[#This Row],[PEG]],Table1016[#All],2,FALSE)</f>
        <v>#N/A</v>
      </c>
      <c r="D29" s="117"/>
      <c r="E29" s="125" t="e">
        <f>VLOOKUP(Table25751954[[#This Row],[PEG]],Table1016[#All],3,FALSE)</f>
        <v>#N/A</v>
      </c>
    </row>
    <row r="30" spans="1:5" x14ac:dyDescent="0.35">
      <c r="A30" s="118">
        <v>23</v>
      </c>
      <c r="B30" s="114" t="s">
        <v>12</v>
      </c>
      <c r="C30" s="109" t="e">
        <f>VLOOKUP(Table25751954[[#This Row],[PEG]],Table1016[#All],2,FALSE)</f>
        <v>#N/A</v>
      </c>
      <c r="D30" s="117"/>
      <c r="E30" s="125" t="e">
        <f>VLOOKUP(Table25751954[[#This Row],[PEG]],Table1016[#All],3,FALSE)</f>
        <v>#N/A</v>
      </c>
    </row>
    <row r="31" spans="1:5" x14ac:dyDescent="0.35">
      <c r="A31" s="118">
        <v>24</v>
      </c>
      <c r="B31" s="114" t="s">
        <v>115</v>
      </c>
      <c r="C31" s="109" t="e">
        <f>VLOOKUP(Table25751954[[#This Row],[PEG]],Table1016[#All],2,FALSE)</f>
        <v>#N/A</v>
      </c>
      <c r="D31" s="117"/>
      <c r="E31" s="125" t="e">
        <f>VLOOKUP(Table25751954[[#This Row],[PEG]],Table1016[#All],3,FALSE)</f>
        <v>#N/A</v>
      </c>
    </row>
    <row r="32" spans="1:5" x14ac:dyDescent="0.35">
      <c r="A32" s="118">
        <v>25</v>
      </c>
      <c r="B32" s="114" t="s">
        <v>115</v>
      </c>
      <c r="C32" s="109" t="e">
        <f>VLOOKUP(Table25751954[[#This Row],[PEG]],Table1016[#All],2,FALSE)</f>
        <v>#N/A</v>
      </c>
      <c r="D32" s="117"/>
      <c r="E32" s="125" t="e">
        <f>VLOOKUP(Table25751954[[#This Row],[PEG]],Table1016[#All],3,FALSE)</f>
        <v>#N/A</v>
      </c>
    </row>
    <row r="33" spans="1:5" x14ac:dyDescent="0.35">
      <c r="A33" s="118">
        <v>26</v>
      </c>
      <c r="B33" s="114" t="s">
        <v>124</v>
      </c>
      <c r="C33" s="109" t="e">
        <f>VLOOKUP(Table25751954[[#This Row],[PEG]],Table1016[#All],2,FALSE)</f>
        <v>#N/A</v>
      </c>
      <c r="D33" s="117"/>
      <c r="E33" s="125" t="e">
        <f>VLOOKUP(Table25751954[[#This Row],[PEG]],Table1016[#All],3,FALSE)</f>
        <v>#N/A</v>
      </c>
    </row>
    <row r="34" spans="1:5" x14ac:dyDescent="0.35">
      <c r="A34" s="118">
        <v>27</v>
      </c>
      <c r="B34" s="114" t="s">
        <v>115</v>
      </c>
      <c r="C34" s="109" t="e">
        <f>VLOOKUP(Table25751954[[#This Row],[PEG]],Table1016[#All],2,FALSE)</f>
        <v>#N/A</v>
      </c>
      <c r="D34" s="117"/>
      <c r="E34" s="125" t="e">
        <f>VLOOKUP(Table25751954[[#This Row],[PEG]],Table1016[#All],3,FALSE)</f>
        <v>#N/A</v>
      </c>
    </row>
    <row r="35" spans="1:5" x14ac:dyDescent="0.35">
      <c r="A35" s="118">
        <v>28</v>
      </c>
      <c r="B35" s="114" t="s">
        <v>124</v>
      </c>
      <c r="C35" s="109" t="e">
        <f>VLOOKUP(Table25751954[[#This Row],[PEG]],Table1016[#All],2,FALSE)</f>
        <v>#N/A</v>
      </c>
      <c r="D35" s="117"/>
      <c r="E35" s="125" t="e">
        <f>VLOOKUP(Table25751954[[#This Row],[PEG]],Table1016[#All],3,FALSE)</f>
        <v>#N/A</v>
      </c>
    </row>
    <row r="36" spans="1:5" x14ac:dyDescent="0.35">
      <c r="A36" s="118">
        <v>29</v>
      </c>
      <c r="B36" s="114" t="s">
        <v>115</v>
      </c>
      <c r="C36" s="109" t="e">
        <f>VLOOKUP(Table25751954[[#This Row],[PEG]],Table1016[#All],2,FALSE)</f>
        <v>#N/A</v>
      </c>
      <c r="D36" s="117"/>
      <c r="E36" s="125" t="e">
        <f>VLOOKUP(Table25751954[[#This Row],[PEG]],Table1016[#All],3,FALSE)</f>
        <v>#N/A</v>
      </c>
    </row>
    <row r="37" spans="1:5" x14ac:dyDescent="0.35">
      <c r="A37" s="118">
        <v>30</v>
      </c>
      <c r="B37" s="114" t="s">
        <v>12</v>
      </c>
      <c r="C37" s="109" t="e">
        <f>VLOOKUP(Table25751954[[#This Row],[PEG]],Table1016[#All],2,FALSE)</f>
        <v>#N/A</v>
      </c>
      <c r="D37" s="117"/>
      <c r="E37" s="125" t="e">
        <f>VLOOKUP(Table25751954[[#This Row],[PEG]],Table1016[#All],3,FALSE)</f>
        <v>#N/A</v>
      </c>
    </row>
    <row r="38" spans="1:5" x14ac:dyDescent="0.35">
      <c r="A38" s="118">
        <v>31</v>
      </c>
      <c r="B38" s="114" t="s">
        <v>12</v>
      </c>
      <c r="C38" s="109" t="e">
        <f>VLOOKUP(Table25751954[[#This Row],[PEG]],Table1016[#All],2,FALSE)</f>
        <v>#N/A</v>
      </c>
      <c r="D38" s="117"/>
      <c r="E38" s="125" t="e">
        <f>VLOOKUP(Table25751954[[#This Row],[PEG]],Table1016[#All],3,FALSE)</f>
        <v>#N/A</v>
      </c>
    </row>
    <row r="39" spans="1:5" x14ac:dyDescent="0.35">
      <c r="A39" s="118">
        <v>32</v>
      </c>
      <c r="B39" s="114" t="s">
        <v>12</v>
      </c>
      <c r="C39" s="109" t="e">
        <f>VLOOKUP(Table25751954[[#This Row],[PEG]],Table1016[#All],2,FALSE)</f>
        <v>#N/A</v>
      </c>
      <c r="D39" s="117"/>
      <c r="E39" s="125" t="e">
        <f>VLOOKUP(Table25751954[[#This Row],[PEG]],Table1016[#All],3,FALSE)</f>
        <v>#N/A</v>
      </c>
    </row>
    <row r="40" spans="1:5" x14ac:dyDescent="0.35">
      <c r="A40" s="118">
        <v>33</v>
      </c>
      <c r="B40" s="114" t="s">
        <v>12</v>
      </c>
      <c r="C40" s="109" t="e">
        <f>VLOOKUP(Table25751954[[#This Row],[PEG]],Table1016[#All],2,FALSE)</f>
        <v>#N/A</v>
      </c>
      <c r="D40" s="117"/>
      <c r="E40" s="125" t="e">
        <f>VLOOKUP(Table25751954[[#This Row],[PEG]],Table1016[#All],3,FALSE)</f>
        <v>#N/A</v>
      </c>
    </row>
    <row r="41" spans="1:5" x14ac:dyDescent="0.35">
      <c r="A41" s="118">
        <v>34</v>
      </c>
      <c r="B41" s="114" t="s">
        <v>115</v>
      </c>
      <c r="C41" s="109" t="e">
        <f>VLOOKUP(Table25751954[[#This Row],[PEG]],Table1016[#All],2,FALSE)</f>
        <v>#N/A</v>
      </c>
      <c r="D41" s="117"/>
      <c r="E41" s="125" t="e">
        <f>VLOOKUP(Table25751954[[#This Row],[PEG]],Table1016[#All],3,FALSE)</f>
        <v>#N/A</v>
      </c>
    </row>
    <row r="42" spans="1:5" x14ac:dyDescent="0.35">
      <c r="A42" s="118">
        <v>35</v>
      </c>
      <c r="B42" s="114" t="s">
        <v>12</v>
      </c>
      <c r="C42" s="109" t="e">
        <f>VLOOKUP(Table25751954[[#This Row],[PEG]],Table1016[#All],2,FALSE)</f>
        <v>#N/A</v>
      </c>
      <c r="D42" s="115"/>
      <c r="E42" s="125" t="e">
        <f>VLOOKUP(Table25751954[[#This Row],[PEG]],Table1016[#All],3,FALSE)</f>
        <v>#N/A</v>
      </c>
    </row>
    <row r="43" spans="1:5" x14ac:dyDescent="0.35">
      <c r="A43" s="118">
        <v>36</v>
      </c>
      <c r="B43" s="114" t="s">
        <v>115</v>
      </c>
      <c r="C43" s="109" t="e">
        <f>VLOOKUP(Table25751954[[#This Row],[PEG]],Table1016[#All],2,FALSE)</f>
        <v>#N/A</v>
      </c>
      <c r="D43" s="115"/>
      <c r="E43" s="125" t="e">
        <f>VLOOKUP(Table25751954[[#This Row],[PEG]],Table1016[#All],3,FALSE)</f>
        <v>#N/A</v>
      </c>
    </row>
    <row r="44" spans="1:5" x14ac:dyDescent="0.35">
      <c r="A44" s="118">
        <v>37</v>
      </c>
      <c r="B44" s="114" t="s">
        <v>13</v>
      </c>
      <c r="C44" s="18" t="s">
        <v>13</v>
      </c>
      <c r="D44" s="115"/>
      <c r="E44" s="32"/>
    </row>
    <row r="45" spans="1:5" x14ac:dyDescent="0.35">
      <c r="C45" s="26"/>
    </row>
    <row r="46" spans="1:5" x14ac:dyDescent="0.35">
      <c r="C46" s="26"/>
    </row>
    <row r="47" spans="1:5" x14ac:dyDescent="0.35">
      <c r="C47" s="26"/>
    </row>
    <row r="48" spans="1:5" x14ac:dyDescent="0.35">
      <c r="C48" s="26"/>
    </row>
    <row r="49" spans="3:3" x14ac:dyDescent="0.35">
      <c r="C49" s="26"/>
    </row>
    <row r="50" spans="3:3" x14ac:dyDescent="0.35">
      <c r="C50" s="26"/>
    </row>
    <row r="51" spans="3:3" x14ac:dyDescent="0.35">
      <c r="C51" s="26"/>
    </row>
    <row r="52" spans="3:3" x14ac:dyDescent="0.35">
      <c r="C52" s="26"/>
    </row>
    <row r="53" spans="3:3" x14ac:dyDescent="0.35">
      <c r="C53" s="26"/>
    </row>
    <row r="54" spans="3:3" x14ac:dyDescent="0.35">
      <c r="C54" s="26"/>
    </row>
    <row r="55" spans="3:3" x14ac:dyDescent="0.35">
      <c r="C55" s="26"/>
    </row>
    <row r="56" spans="3:3" x14ac:dyDescent="0.35">
      <c r="C56" s="26"/>
    </row>
    <row r="57" spans="3:3" x14ac:dyDescent="0.35">
      <c r="C57" s="27"/>
    </row>
    <row r="58" spans="3:3" x14ac:dyDescent="0.35">
      <c r="C58" s="27"/>
    </row>
    <row r="59" spans="3:3" x14ac:dyDescent="0.35">
      <c r="C59" s="27"/>
    </row>
  </sheetData>
  <mergeCells count="1">
    <mergeCell ref="A1:B1"/>
  </mergeCells>
  <conditionalFormatting sqref="C45:C9998">
    <cfRule type="expression" dxfId="3381" priority="49">
      <formula>$B45="Dial"</formula>
    </cfRule>
    <cfRule type="expression" dxfId="3380" priority="51">
      <formula>$B45="HANGUP"</formula>
    </cfRule>
  </conditionalFormatting>
  <conditionalFormatting sqref="B30">
    <cfRule type="containsText" dxfId="3379" priority="4" operator="containsText" text="Hear">
      <formula>NOT(ISERROR(SEARCH("Hear",B30)))</formula>
    </cfRule>
  </conditionalFormatting>
  <conditionalFormatting sqref="B43:B44">
    <cfRule type="containsText" dxfId="3378" priority="14" operator="containsText" text="Hear">
      <formula>NOT(ISERROR(SEARCH("Hear",B43)))</formula>
    </cfRule>
  </conditionalFormatting>
  <conditionalFormatting sqref="E44">
    <cfRule type="containsText" dxfId="3377" priority="12" operator="containsText" text="WEB SERVICE">
      <formula>NOT(ISERROR(SEARCH("WEB SERVICE",E44)))</formula>
    </cfRule>
    <cfRule type="containsText" dxfId="3376" priority="13" operator="containsText" text="DB">
      <formula>NOT(ISERROR(SEARCH("DB",E44)))</formula>
    </cfRule>
  </conditionalFormatting>
  <conditionalFormatting sqref="C44">
    <cfRule type="expression" dxfId="3375" priority="15">
      <formula>$B44="Dial"</formula>
    </cfRule>
    <cfRule type="expression" dxfId="3374" priority="17">
      <formula>$B44="HANGUP"</formula>
    </cfRule>
  </conditionalFormatting>
  <conditionalFormatting sqref="C44">
    <cfRule type="expression" dxfId="3373" priority="16">
      <formula>$B44="Speak"</formula>
    </cfRule>
  </conditionalFormatting>
  <conditionalFormatting sqref="B8:B18">
    <cfRule type="containsText" dxfId="3372" priority="1" operator="containsText" text="Hear">
      <formula>NOT(ISERROR(SEARCH("Hear",B8)))</formula>
    </cfRule>
  </conditionalFormatting>
  <conditionalFormatting sqref="B36:B38 B40:B41">
    <cfRule type="containsText" dxfId="3371" priority="3" operator="containsText" text="Hear">
      <formula>NOT(ISERROR(SEARCH("Hear",B36)))</formula>
    </cfRule>
  </conditionalFormatting>
  <conditionalFormatting sqref="B19:B29 B31:B35 B42">
    <cfRule type="containsText" dxfId="3370" priority="5" operator="containsText" text="Hear">
      <formula>NOT(ISERROR(SEARCH("Hear",B19)))</formula>
    </cfRule>
  </conditionalFormatting>
  <hyperlinks>
    <hyperlink ref="A1" location="'Test Case Overview'!A1" display="Return to Test Case Overview" xr:uid="{00000000-0004-0000-5600-000000000000}"/>
  </hyperlinks>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expression" priority="27" id="{ADB26CD8-B1A6-4C2A-B08F-6D0E90DF816E}">
            <xm:f>'TC1'!$B8="Speak"</xm:f>
            <x14:dxf>
              <font>
                <b/>
                <i val="0"/>
                <color rgb="FFFF0000"/>
              </font>
            </x14:dxf>
          </x14:cfRule>
          <xm:sqref>C8</xm:sqref>
        </x14:conditionalFormatting>
        <x14:conditionalFormatting xmlns:xm="http://schemas.microsoft.com/office/excel/2006/main">
          <x14:cfRule type="expression" priority="8" id="{C4DD9365-3A4B-461B-B988-C207C41E1612}">
            <xm:f>'TC1'!$B8="HANGUP"</xm:f>
            <x14:dxf>
              <font>
                <b/>
                <i val="0"/>
              </font>
            </x14:dxf>
          </x14:cfRule>
          <x14:cfRule type="expression" priority="9" id="{EF1FAB06-C5EE-47F3-8FB7-9DD3F284A116}">
            <xm:f>'TC1'!$B8="Dial"</xm:f>
            <x14:dxf>
              <font>
                <b/>
                <i val="0"/>
                <color rgb="FFFF0000"/>
              </font>
            </x14:dxf>
          </x14:cfRule>
          <xm:sqref>C8</xm:sqref>
        </x14:conditionalFormatting>
        <x14:conditionalFormatting xmlns:xm="http://schemas.microsoft.com/office/excel/2006/main">
          <x14:cfRule type="containsText" priority="2" operator="containsText" text="Hear" id="{863D0F93-96B0-45BB-B149-F0841989691E}">
            <xm:f>NOT(ISERROR(SEARCH("Hear",'TC3'!B34)))</xm:f>
            <x14:dxf>
              <font>
                <color theme="9" tint="-0.24994659260841701"/>
              </font>
              <fill>
                <patternFill>
                  <bgColor theme="9" tint="0.59996337778862885"/>
                </patternFill>
              </fill>
            </x14:dxf>
          </x14:cfRule>
          <xm:sqref>B41</xm:sqref>
        </x14:conditionalFormatting>
        <x14:conditionalFormatting xmlns:xm="http://schemas.microsoft.com/office/excel/2006/main">
          <x14:cfRule type="expression" priority="1982" id="{ADB26CD8-B1A6-4C2A-B08F-6D0E90DF816E}">
            <xm:f>'TC1'!$B16="Speak"</xm:f>
            <x14:dxf>
              <font>
                <b/>
                <i val="0"/>
                <color rgb="FFFF0000"/>
              </font>
            </x14:dxf>
          </x14:cfRule>
          <xm:sqref>C34:C43</xm:sqref>
        </x14:conditionalFormatting>
        <x14:conditionalFormatting xmlns:xm="http://schemas.microsoft.com/office/excel/2006/main">
          <x14:cfRule type="expression" priority="1983" id="{ADB26CD8-B1A6-4C2A-B08F-6D0E90DF816E}">
            <xm:f>'TC1'!#REF!="Speak"</xm:f>
            <x14:dxf>
              <font>
                <b/>
                <i val="0"/>
                <color rgb="FFFF0000"/>
              </font>
            </x14:dxf>
          </x14:cfRule>
          <xm:sqref>C17:C33</xm:sqref>
        </x14:conditionalFormatting>
        <x14:conditionalFormatting xmlns:xm="http://schemas.microsoft.com/office/excel/2006/main">
          <x14:cfRule type="expression" priority="1987" id="{C4DD9365-3A4B-461B-B988-C207C41E1612}">
            <xm:f>'TC1'!$B16="HANGUP"</xm:f>
            <x14:dxf>
              <font>
                <b/>
                <i val="0"/>
              </font>
            </x14:dxf>
          </x14:cfRule>
          <x14:cfRule type="expression" priority="1988" id="{EF1FAB06-C5EE-47F3-8FB7-9DD3F284A116}">
            <xm:f>'TC1'!$B16="Dial"</xm:f>
            <x14:dxf>
              <font>
                <b/>
                <i val="0"/>
                <color rgb="FFFF0000"/>
              </font>
            </x14:dxf>
          </x14:cfRule>
          <xm:sqref>C34:C43</xm:sqref>
        </x14:conditionalFormatting>
        <x14:conditionalFormatting xmlns:xm="http://schemas.microsoft.com/office/excel/2006/main">
          <x14:cfRule type="expression" priority="1989" id="{C4DD9365-3A4B-461B-B988-C207C41E1612}">
            <xm:f>'TC1'!#REF!="HANGUP"</xm:f>
            <x14:dxf>
              <font>
                <b/>
                <i val="0"/>
              </font>
            </x14:dxf>
          </x14:cfRule>
          <x14:cfRule type="expression" priority="1990" id="{EF1FAB06-C5EE-47F3-8FB7-9DD3F284A116}">
            <xm:f>'TC1'!#REF!="Dial"</xm:f>
            <x14:dxf>
              <font>
                <b/>
                <i val="0"/>
                <color rgb="FFFF0000"/>
              </font>
            </x14:dxf>
          </x14:cfRule>
          <xm:sqref>C17:C33</xm:sqref>
        </x14:conditionalFormatting>
        <x14:conditionalFormatting xmlns:xm="http://schemas.microsoft.com/office/excel/2006/main">
          <x14:cfRule type="containsText" priority="1995" operator="containsText" text="DB" id="{95610941-5892-49B1-9F5F-AA0C1E2FEE8A}">
            <xm:f>NOT(ISERROR(SEARCH("DB",'TC1'!E16)))</xm:f>
            <x14:dxf>
              <font>
                <color rgb="FF006100"/>
              </font>
              <fill>
                <patternFill>
                  <bgColor rgb="FFC6EFCE"/>
                </patternFill>
              </fill>
            </x14:dxf>
          </x14:cfRule>
          <x14:cfRule type="containsText" priority="1996" operator="containsText" text="WEB SERVICE" id="{08AFDF46-8630-4960-9F9B-CB64DF0F40EC}">
            <xm:f>NOT(ISERROR(SEARCH("WEB SERVICE",'TC1'!E16)))</xm:f>
            <x14:dxf>
              <font>
                <color rgb="FF9C0006"/>
              </font>
              <fill>
                <patternFill>
                  <bgColor rgb="FFFFC7CE"/>
                </patternFill>
              </fill>
            </x14:dxf>
          </x14:cfRule>
          <xm:sqref>E34:E43</xm:sqref>
        </x14:conditionalFormatting>
        <x14:conditionalFormatting xmlns:xm="http://schemas.microsoft.com/office/excel/2006/main">
          <x14:cfRule type="containsText" priority="1997" operator="containsText" text="DB" id="{95610941-5892-49B1-9F5F-AA0C1E2FEE8A}">
            <xm:f>NOT(ISERROR(SEARCH("DB",'TC1'!#REF!)))</xm:f>
            <x14:dxf>
              <font>
                <color rgb="FF006100"/>
              </font>
              <fill>
                <patternFill>
                  <bgColor rgb="FFC6EFCE"/>
                </patternFill>
              </fill>
            </x14:dxf>
          </x14:cfRule>
          <x14:cfRule type="containsText" priority="1998" operator="containsText" text="WEB SERVICE" id="{08AFDF46-8630-4960-9F9B-CB64DF0F40EC}">
            <xm:f>NOT(ISERROR(SEARCH("WEB SERVICE",'TC1'!#REF!)))</xm:f>
            <x14:dxf>
              <font>
                <color rgb="FF9C0006"/>
              </font>
              <fill>
                <patternFill>
                  <bgColor rgb="FFFFC7CE"/>
                </patternFill>
              </fill>
            </x14:dxf>
          </x14:cfRule>
          <xm:sqref>E17:E33</xm:sqref>
        </x14:conditionalFormatting>
        <x14:conditionalFormatting xmlns:xm="http://schemas.microsoft.com/office/excel/2006/main">
          <x14:cfRule type="expression" priority="4722" id="{ADB26CD8-B1A6-4C2A-B08F-6D0E90DF816E}">
            <xm:f>'TC1'!$B9="Speak"</xm:f>
            <x14:dxf>
              <font>
                <b/>
                <i val="0"/>
                <color rgb="FFFF0000"/>
              </font>
            </x14:dxf>
          </x14:cfRule>
          <xm:sqref>C12:C15</xm:sqref>
        </x14:conditionalFormatting>
        <x14:conditionalFormatting xmlns:xm="http://schemas.microsoft.com/office/excel/2006/main">
          <x14:cfRule type="expression" priority="4723" id="{ADB26CD8-B1A6-4C2A-B08F-6D0E90DF816E}">
            <xm:f>'TC1'!#REF!="Speak"</xm:f>
            <x14:dxf>
              <font>
                <b/>
                <i val="0"/>
                <color rgb="FFFF0000"/>
              </font>
            </x14:dxf>
          </x14:cfRule>
          <xm:sqref>C9:C11</xm:sqref>
        </x14:conditionalFormatting>
        <x14:conditionalFormatting xmlns:xm="http://schemas.microsoft.com/office/excel/2006/main">
          <x14:cfRule type="expression" priority="4727" id="{C4DD9365-3A4B-461B-B988-C207C41E1612}">
            <xm:f>'TC1'!$B9="HANGUP"</xm:f>
            <x14:dxf>
              <font>
                <b/>
                <i val="0"/>
              </font>
            </x14:dxf>
          </x14:cfRule>
          <x14:cfRule type="expression" priority="4728" id="{EF1FAB06-C5EE-47F3-8FB7-9DD3F284A116}">
            <xm:f>'TC1'!$B9="Dial"</xm:f>
            <x14:dxf>
              <font>
                <b/>
                <i val="0"/>
                <color rgb="FFFF0000"/>
              </font>
            </x14:dxf>
          </x14:cfRule>
          <xm:sqref>C12:C15</xm:sqref>
        </x14:conditionalFormatting>
        <x14:conditionalFormatting xmlns:xm="http://schemas.microsoft.com/office/excel/2006/main">
          <x14:cfRule type="expression" priority="4729" id="{C4DD9365-3A4B-461B-B988-C207C41E1612}">
            <xm:f>'TC1'!#REF!="HANGUP"</xm:f>
            <x14:dxf>
              <font>
                <b/>
                <i val="0"/>
              </font>
            </x14:dxf>
          </x14:cfRule>
          <x14:cfRule type="expression" priority="4730" id="{EF1FAB06-C5EE-47F3-8FB7-9DD3F284A116}">
            <xm:f>'TC1'!#REF!="Dial"</xm:f>
            <x14:dxf>
              <font>
                <b/>
                <i val="0"/>
                <color rgb="FFFF0000"/>
              </font>
            </x14:dxf>
          </x14:cfRule>
          <xm:sqref>C9:C11</xm:sqref>
        </x14:conditionalFormatting>
        <x14:conditionalFormatting xmlns:xm="http://schemas.microsoft.com/office/excel/2006/main">
          <x14:cfRule type="containsText" priority="4733" operator="containsText" text="DB" id="{95610941-5892-49B1-9F5F-AA0C1E2FEE8A}">
            <xm:f>NOT(ISERROR(SEARCH("DB",'TC1'!#REF!)))</xm:f>
            <x14:dxf>
              <font>
                <color rgb="FF006100"/>
              </font>
              <fill>
                <patternFill>
                  <bgColor rgb="FFC6EFCE"/>
                </patternFill>
              </fill>
            </x14:dxf>
          </x14:cfRule>
          <x14:cfRule type="containsText" priority="4734" operator="containsText" text="WEB SERVICE" id="{08AFDF46-8630-4960-9F9B-CB64DF0F40EC}">
            <xm:f>NOT(ISERROR(SEARCH("WEB SERVICE",'TC1'!#REF!)))</xm:f>
            <x14:dxf>
              <font>
                <color rgb="FF9C0006"/>
              </font>
              <fill>
                <patternFill>
                  <bgColor rgb="FFFFC7CE"/>
                </patternFill>
              </fill>
            </x14:dxf>
          </x14:cfRule>
          <xm:sqref>E9:E11</xm:sqref>
        </x14:conditionalFormatting>
        <x14:conditionalFormatting xmlns:xm="http://schemas.microsoft.com/office/excel/2006/main">
          <x14:cfRule type="containsText" priority="4735" operator="containsText" text="DB" id="{95610941-5892-49B1-9F5F-AA0C1E2FEE8A}">
            <xm:f>NOT(ISERROR(SEARCH("DB",'TC1'!E9)))</xm:f>
            <x14:dxf>
              <font>
                <color rgb="FF006100"/>
              </font>
              <fill>
                <patternFill>
                  <bgColor rgb="FFC6EFCE"/>
                </patternFill>
              </fill>
            </x14:dxf>
          </x14:cfRule>
          <x14:cfRule type="containsText" priority="4736" operator="containsText" text="WEB SERVICE" id="{08AFDF46-8630-4960-9F9B-CB64DF0F40EC}">
            <xm:f>NOT(ISERROR(SEARCH("WEB SERVICE",'TC1'!E9)))</xm:f>
            <x14:dxf>
              <font>
                <color rgb="FF9C0006"/>
              </font>
              <fill>
                <patternFill>
                  <bgColor rgb="FFFFC7CE"/>
                </patternFill>
              </fill>
            </x14:dxf>
          </x14:cfRule>
          <xm:sqref>E12:E15</xm:sqref>
        </x14:conditionalFormatting>
        <x14:conditionalFormatting xmlns:xm="http://schemas.microsoft.com/office/excel/2006/main">
          <x14:cfRule type="expression" priority="7114" id="{ADB26CD8-B1A6-4C2A-B08F-6D0E90DF816E}">
            <xm:f>'TC1'!$B15="Speak"</xm:f>
            <x14:dxf>
              <font>
                <b/>
                <i val="0"/>
                <color rgb="FFFF0000"/>
              </font>
            </x14:dxf>
          </x14:cfRule>
          <xm:sqref>C16</xm:sqref>
        </x14:conditionalFormatting>
        <x14:conditionalFormatting xmlns:xm="http://schemas.microsoft.com/office/excel/2006/main">
          <x14:cfRule type="expression" priority="7117" id="{C4DD9365-3A4B-461B-B988-C207C41E1612}">
            <xm:f>'TC1'!$B15="HANGUP"</xm:f>
            <x14:dxf>
              <font>
                <b/>
                <i val="0"/>
              </font>
            </x14:dxf>
          </x14:cfRule>
          <x14:cfRule type="expression" priority="7118" id="{EF1FAB06-C5EE-47F3-8FB7-9DD3F284A116}">
            <xm:f>'TC1'!$B15="Dial"</xm:f>
            <x14:dxf>
              <font>
                <b/>
                <i val="0"/>
                <color rgb="FFFF0000"/>
              </font>
            </x14:dxf>
          </x14:cfRule>
          <xm:sqref>C16</xm:sqref>
        </x14:conditionalFormatting>
        <x14:conditionalFormatting xmlns:xm="http://schemas.microsoft.com/office/excel/2006/main">
          <x14:cfRule type="containsText" priority="7121" operator="containsText" text="DB" id="{95610941-5892-49B1-9F5F-AA0C1E2FEE8A}">
            <xm:f>NOT(ISERROR(SEARCH("DB",'TC1'!E15)))</xm:f>
            <x14:dxf>
              <font>
                <color rgb="FF006100"/>
              </font>
              <fill>
                <patternFill>
                  <bgColor rgb="FFC6EFCE"/>
                </patternFill>
              </fill>
            </x14:dxf>
          </x14:cfRule>
          <x14:cfRule type="containsText" priority="7122" operator="containsText" text="WEB SERVICE" id="{08AFDF46-8630-4960-9F9B-CB64DF0F40EC}">
            <xm:f>NOT(ISERROR(SEARCH("WEB SERVICE",'TC1'!E15)))</xm:f>
            <x14:dxf>
              <font>
                <color rgb="FF9C0006"/>
              </font>
              <fill>
                <patternFill>
                  <bgColor rgb="FFFFC7CE"/>
                </patternFill>
              </fill>
            </x14:dxf>
          </x14:cfRule>
          <xm:sqref>E16</xm:sqref>
        </x14:conditionalFormatting>
        <x14:conditionalFormatting xmlns:xm="http://schemas.microsoft.com/office/excel/2006/main">
          <x14:cfRule type="containsText" priority="9554" operator="containsText" text="Hear" id="{40A735CC-EECB-4A33-892A-EFE3E39243FA}">
            <xm:f>NOT(ISERROR(SEARCH("Hear",'TC26'!#REF!)))</xm:f>
            <x14:dxf>
              <font>
                <color theme="9" tint="-0.24994659260841701"/>
              </font>
              <fill>
                <patternFill>
                  <bgColor theme="9" tint="0.59996337778862885"/>
                </patternFill>
              </fill>
            </x14:dxf>
          </x14:cfRule>
          <xm:sqref>B39</xm:sqref>
        </x14:conditionalFormatting>
      </x14:conditionalFormattings>
    </ext>
  </extLst>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700-000000000000}">
  <sheetPr codeName="Sheet89"/>
  <dimension ref="A1:E59"/>
  <sheetViews>
    <sheetView zoomScaleNormal="100" workbookViewId="0">
      <selection activeCell="A2" sqref="A2"/>
    </sheetView>
  </sheetViews>
  <sheetFormatPr defaultRowHeight="14.5" x14ac:dyDescent="0.35"/>
  <cols>
    <col min="1" max="1" width="14.453125" style="97" bestFit="1" customWidth="1"/>
    <col min="2" max="2" width="42.6328125" style="97" customWidth="1"/>
    <col min="3" max="3" width="106.1796875" style="98" customWidth="1"/>
    <col min="4" max="4" width="21.81640625" style="111" bestFit="1" customWidth="1"/>
    <col min="5" max="5" width="20.6328125" style="97" customWidth="1"/>
  </cols>
  <sheetData>
    <row r="1" spans="1:5" ht="18.5" x14ac:dyDescent="0.35">
      <c r="A1" s="192" t="s">
        <v>4</v>
      </c>
      <c r="B1" s="192"/>
      <c r="C1" s="105"/>
    </row>
    <row r="2" spans="1:5" x14ac:dyDescent="0.35">
      <c r="A2" s="106" t="s">
        <v>5</v>
      </c>
      <c r="B2" s="107" t="str">
        <f ca="1">MID(CELL("filename",A1),FIND("]",CELL("filename",A1))+1,LEN(CELL("filename",A1))-FIND("]",CELL("filename",A1)))</f>
        <v>TC87</v>
      </c>
    </row>
    <row r="3" spans="1:5" x14ac:dyDescent="0.35">
      <c r="A3" s="104" t="s">
        <v>19</v>
      </c>
      <c r="B3" s="112">
        <f ca="1">VLOOKUP(B2,Table53[#All],2,FALSE)</f>
        <v>0</v>
      </c>
    </row>
    <row r="4" spans="1:5" ht="29" x14ac:dyDescent="0.35">
      <c r="A4" s="113" t="s">
        <v>20</v>
      </c>
      <c r="B4" s="99">
        <f ca="1">VLOOKUP(B2,Table53[#All],4,FALSE)</f>
        <v>0</v>
      </c>
    </row>
    <row r="5" spans="1:5" ht="29" customHeight="1" x14ac:dyDescent="0.35">
      <c r="A5" s="104" t="s">
        <v>6</v>
      </c>
      <c r="B5" s="77">
        <f ca="1">VLOOKUP(B2,Table53[#All],3,FALSE)</f>
        <v>0</v>
      </c>
    </row>
    <row r="7" spans="1:5" ht="15.5" x14ac:dyDescent="0.35">
      <c r="A7" s="100" t="s">
        <v>7</v>
      </c>
      <c r="B7" s="101" t="s">
        <v>8</v>
      </c>
      <c r="C7" s="102" t="s">
        <v>9</v>
      </c>
      <c r="D7" s="102" t="s">
        <v>14</v>
      </c>
      <c r="E7" s="103" t="s">
        <v>10</v>
      </c>
    </row>
    <row r="8" spans="1:5" x14ac:dyDescent="0.35">
      <c r="A8" s="118">
        <v>1</v>
      </c>
      <c r="B8" s="114" t="s">
        <v>114</v>
      </c>
      <c r="C8" s="109" t="s">
        <v>125</v>
      </c>
      <c r="D8" s="128"/>
      <c r="E8" s="125" t="s">
        <v>11</v>
      </c>
    </row>
    <row r="9" spans="1:5" s="97" customFormat="1" x14ac:dyDescent="0.35">
      <c r="A9" s="118">
        <v>2</v>
      </c>
      <c r="B9" s="114" t="s">
        <v>12</v>
      </c>
      <c r="C9" s="109" t="e">
        <f>VLOOKUP(Table25751955[[#This Row],[PEG]],Table1016[#All],2,FALSE)</f>
        <v>#N/A</v>
      </c>
      <c r="D9" s="128"/>
      <c r="E9" s="125" t="e">
        <f>VLOOKUP(Table25751955[[#This Row],[PEG]],Table1016[#All],3,FALSE)</f>
        <v>#N/A</v>
      </c>
    </row>
    <row r="10" spans="1:5" s="97" customFormat="1" x14ac:dyDescent="0.35">
      <c r="A10" s="118">
        <v>3</v>
      </c>
      <c r="B10" s="114" t="s">
        <v>115</v>
      </c>
      <c r="C10" s="109" t="e">
        <f>VLOOKUP(Table25751955[[#This Row],[PEG]],Table1016[#All],2,FALSE)</f>
        <v>#N/A</v>
      </c>
      <c r="D10" s="128"/>
      <c r="E10" s="125" t="e">
        <f>VLOOKUP(Table25751955[[#This Row],[PEG]],Table1016[#All],3,FALSE)</f>
        <v>#N/A</v>
      </c>
    </row>
    <row r="11" spans="1:5" s="97" customFormat="1" x14ac:dyDescent="0.35">
      <c r="A11" s="118">
        <v>4</v>
      </c>
      <c r="B11" s="114" t="s">
        <v>115</v>
      </c>
      <c r="C11" s="109" t="e">
        <f>VLOOKUP(Table25751955[[#This Row],[PEG]],Table1016[#All],2,FALSE)</f>
        <v>#N/A</v>
      </c>
      <c r="D11" s="128"/>
      <c r="E11" s="125" t="e">
        <f>VLOOKUP(Table25751955[[#This Row],[PEG]],Table1016[#All],3,FALSE)</f>
        <v>#N/A</v>
      </c>
    </row>
    <row r="12" spans="1:5" s="97" customFormat="1" x14ac:dyDescent="0.35">
      <c r="A12" s="118">
        <v>5</v>
      </c>
      <c r="B12" s="114" t="s">
        <v>114</v>
      </c>
      <c r="C12" s="109" t="e">
        <f>VLOOKUP(Table25751955[[#This Row],[PEG]],Table1016[#All],2,FALSE)</f>
        <v>#N/A</v>
      </c>
      <c r="D12" s="128"/>
      <c r="E12" s="125" t="e">
        <f>VLOOKUP(Table25751955[[#This Row],[PEG]],Table1016[#All],3,FALSE)</f>
        <v>#N/A</v>
      </c>
    </row>
    <row r="13" spans="1:5" s="97" customFormat="1" x14ac:dyDescent="0.35">
      <c r="A13" s="118">
        <v>6</v>
      </c>
      <c r="B13" s="114" t="s">
        <v>115</v>
      </c>
      <c r="C13" s="109" t="e">
        <f>VLOOKUP(Table25751955[[#This Row],[PEG]],Table1016[#All],2,FALSE)</f>
        <v>#N/A</v>
      </c>
      <c r="D13" s="128"/>
      <c r="E13" s="125" t="e">
        <f>VLOOKUP(Table25751955[[#This Row],[PEG]],Table1016[#All],3,FALSE)</f>
        <v>#N/A</v>
      </c>
    </row>
    <row r="14" spans="1:5" s="97" customFormat="1" x14ac:dyDescent="0.35">
      <c r="A14" s="118">
        <v>7</v>
      </c>
      <c r="B14" s="114" t="s">
        <v>114</v>
      </c>
      <c r="C14" s="109" t="e">
        <f>VLOOKUP(Table25751955[[#This Row],[PEG]],Table1016[#All],2,FALSE)</f>
        <v>#N/A</v>
      </c>
      <c r="D14" s="128"/>
      <c r="E14" s="125" t="e">
        <f>VLOOKUP(Table25751955[[#This Row],[PEG]],Table1016[#All],3,FALSE)</f>
        <v>#N/A</v>
      </c>
    </row>
    <row r="15" spans="1:5" x14ac:dyDescent="0.35">
      <c r="A15" s="118">
        <v>8</v>
      </c>
      <c r="B15" s="114" t="s">
        <v>115</v>
      </c>
      <c r="C15" s="109" t="e">
        <f>VLOOKUP(Table25751955[[#This Row],[PEG]],Table1016[#All],2,FALSE)</f>
        <v>#N/A</v>
      </c>
      <c r="D15" s="116"/>
      <c r="E15" s="125" t="e">
        <f>VLOOKUP(Table25751955[[#This Row],[PEG]],Table1016[#All],3,FALSE)</f>
        <v>#N/A</v>
      </c>
    </row>
    <row r="16" spans="1:5" x14ac:dyDescent="0.35">
      <c r="A16" s="118">
        <v>9</v>
      </c>
      <c r="B16" s="114" t="s">
        <v>12</v>
      </c>
      <c r="C16" s="109" t="e">
        <f>VLOOKUP(Table25751955[[#This Row],[PEG]],Table1016[#All],2,FALSE)</f>
        <v>#N/A</v>
      </c>
      <c r="D16" s="116"/>
      <c r="E16" s="125" t="e">
        <f>VLOOKUP(Table25751955[[#This Row],[PEG]],Table1016[#All],3,FALSE)</f>
        <v>#N/A</v>
      </c>
    </row>
    <row r="17" spans="1:5" x14ac:dyDescent="0.35">
      <c r="A17" s="118">
        <v>10</v>
      </c>
      <c r="B17" s="114" t="s">
        <v>12</v>
      </c>
      <c r="C17" s="109" t="e">
        <f>VLOOKUP(Table25751955[[#This Row],[PEG]],Table1016[#All],2,FALSE)</f>
        <v>#N/A</v>
      </c>
      <c r="D17" s="117"/>
      <c r="E17" s="125" t="e">
        <f>VLOOKUP(Table25751955[[#This Row],[PEG]],Table1016[#All],3,FALSE)</f>
        <v>#N/A</v>
      </c>
    </row>
    <row r="18" spans="1:5" x14ac:dyDescent="0.35">
      <c r="A18" s="118">
        <v>11</v>
      </c>
      <c r="B18" s="114" t="s">
        <v>115</v>
      </c>
      <c r="C18" s="109" t="e">
        <f>VLOOKUP(Table25751955[[#This Row],[PEG]],Table1016[#All],2,FALSE)</f>
        <v>#N/A</v>
      </c>
      <c r="D18" s="117"/>
      <c r="E18" s="125" t="e">
        <f>VLOOKUP(Table25751955[[#This Row],[PEG]],Table1016[#All],3,FALSE)</f>
        <v>#N/A</v>
      </c>
    </row>
    <row r="19" spans="1:5" x14ac:dyDescent="0.35">
      <c r="A19" s="118">
        <v>12</v>
      </c>
      <c r="B19" s="114" t="s">
        <v>115</v>
      </c>
      <c r="C19" s="109" t="e">
        <f>VLOOKUP(Table25751955[[#This Row],[PEG]],Table1016[#All],2,FALSE)</f>
        <v>#N/A</v>
      </c>
      <c r="D19" s="117"/>
      <c r="E19" s="125" t="e">
        <f>VLOOKUP(Table25751955[[#This Row],[PEG]],Table1016[#All],3,FALSE)</f>
        <v>#N/A</v>
      </c>
    </row>
    <row r="20" spans="1:5" x14ac:dyDescent="0.35">
      <c r="A20" s="118">
        <v>13</v>
      </c>
      <c r="B20" s="114" t="s">
        <v>114</v>
      </c>
      <c r="C20" s="109" t="e">
        <f>VLOOKUP(Table25751955[[#This Row],[PEG]],Table1016[#All],2,FALSE)</f>
        <v>#N/A</v>
      </c>
      <c r="D20" s="117"/>
      <c r="E20" s="125" t="e">
        <f>VLOOKUP(Table25751955[[#This Row],[PEG]],Table1016[#All],3,FALSE)</f>
        <v>#N/A</v>
      </c>
    </row>
    <row r="21" spans="1:5" x14ac:dyDescent="0.35">
      <c r="A21" s="118">
        <v>14</v>
      </c>
      <c r="B21" s="114" t="s">
        <v>12</v>
      </c>
      <c r="C21" s="109" t="e">
        <f>VLOOKUP(Table25751955[[#This Row],[PEG]],Table1016[#All],2,FALSE)</f>
        <v>#N/A</v>
      </c>
      <c r="D21" s="117"/>
      <c r="E21" s="125" t="e">
        <f>VLOOKUP(Table25751955[[#This Row],[PEG]],Table1016[#All],3,FALSE)</f>
        <v>#N/A</v>
      </c>
    </row>
    <row r="22" spans="1:5" x14ac:dyDescent="0.35">
      <c r="A22" s="118">
        <v>15</v>
      </c>
      <c r="B22" s="114" t="s">
        <v>12</v>
      </c>
      <c r="C22" s="109" t="e">
        <f>VLOOKUP(Table25751955[[#This Row],[PEG]],Table1016[#All],2,FALSE)</f>
        <v>#N/A</v>
      </c>
      <c r="D22" s="117"/>
      <c r="E22" s="125" t="e">
        <f>VLOOKUP(Table25751955[[#This Row],[PEG]],Table1016[#All],3,FALSE)</f>
        <v>#N/A</v>
      </c>
    </row>
    <row r="23" spans="1:5" x14ac:dyDescent="0.35">
      <c r="A23" s="118">
        <v>16</v>
      </c>
      <c r="B23" s="114" t="s">
        <v>115</v>
      </c>
      <c r="C23" s="109" t="e">
        <f>VLOOKUP(Table25751955[[#This Row],[PEG]],Table1016[#All],2,FALSE)</f>
        <v>#N/A</v>
      </c>
      <c r="D23" s="117"/>
      <c r="E23" s="125" t="e">
        <f>VLOOKUP(Table25751955[[#This Row],[PEG]],Table1016[#All],3,FALSE)</f>
        <v>#N/A</v>
      </c>
    </row>
    <row r="24" spans="1:5" x14ac:dyDescent="0.35">
      <c r="A24" s="118">
        <v>17</v>
      </c>
      <c r="B24" s="114" t="s">
        <v>114</v>
      </c>
      <c r="C24" s="109" t="e">
        <f>VLOOKUP(Table25751955[[#This Row],[PEG]],Table1016[#All],2,FALSE)</f>
        <v>#N/A</v>
      </c>
      <c r="D24" s="117"/>
      <c r="E24" s="125" t="e">
        <f>VLOOKUP(Table25751955[[#This Row],[PEG]],Table1016[#All],3,FALSE)</f>
        <v>#N/A</v>
      </c>
    </row>
    <row r="25" spans="1:5" s="97" customFormat="1" x14ac:dyDescent="0.35">
      <c r="A25" s="118">
        <v>18</v>
      </c>
      <c r="B25" s="114" t="s">
        <v>12</v>
      </c>
      <c r="C25" s="109" t="e">
        <f>VLOOKUP(Table25751955[[#This Row],[PEG]],Table1016[#All],2,FALSE)</f>
        <v>#N/A</v>
      </c>
      <c r="D25" s="117"/>
      <c r="E25" s="125" t="e">
        <f>VLOOKUP(Table25751955[[#This Row],[PEG]],Table1016[#All],3,FALSE)</f>
        <v>#N/A</v>
      </c>
    </row>
    <row r="26" spans="1:5" x14ac:dyDescent="0.35">
      <c r="A26" s="118">
        <v>19</v>
      </c>
      <c r="B26" s="114" t="s">
        <v>12</v>
      </c>
      <c r="C26" s="109" t="e">
        <f>VLOOKUP(Table25751955[[#This Row],[PEG]],Table1016[#All],2,FALSE)</f>
        <v>#N/A</v>
      </c>
      <c r="D26" s="117"/>
      <c r="E26" s="125" t="e">
        <f>VLOOKUP(Table25751955[[#This Row],[PEG]],Table1016[#All],3,FALSE)</f>
        <v>#N/A</v>
      </c>
    </row>
    <row r="27" spans="1:5" x14ac:dyDescent="0.35">
      <c r="A27" s="118">
        <v>20</v>
      </c>
      <c r="B27" s="114" t="s">
        <v>115</v>
      </c>
      <c r="C27" s="109" t="e">
        <f>VLOOKUP(Table25751955[[#This Row],[PEG]],Table1016[#All],2,FALSE)</f>
        <v>#N/A</v>
      </c>
      <c r="D27" s="117"/>
      <c r="E27" s="125" t="e">
        <f>VLOOKUP(Table25751955[[#This Row],[PEG]],Table1016[#All],3,FALSE)</f>
        <v>#N/A</v>
      </c>
    </row>
    <row r="28" spans="1:5" x14ac:dyDescent="0.35">
      <c r="A28" s="118">
        <v>21</v>
      </c>
      <c r="B28" s="114" t="s">
        <v>114</v>
      </c>
      <c r="C28" s="109" t="e">
        <f>VLOOKUP(Table25751955[[#This Row],[PEG]],Table1016[#All],2,FALSE)</f>
        <v>#N/A</v>
      </c>
      <c r="D28" s="117"/>
      <c r="E28" s="125" t="e">
        <f>VLOOKUP(Table25751955[[#This Row],[PEG]],Table1016[#All],3,FALSE)</f>
        <v>#N/A</v>
      </c>
    </row>
    <row r="29" spans="1:5" x14ac:dyDescent="0.35">
      <c r="A29" s="118">
        <v>22</v>
      </c>
      <c r="B29" s="114" t="s">
        <v>12</v>
      </c>
      <c r="C29" s="109" t="e">
        <f>VLOOKUP(Table25751955[[#This Row],[PEG]],Table1016[#All],2,FALSE)</f>
        <v>#N/A</v>
      </c>
      <c r="D29" s="117"/>
      <c r="E29" s="125" t="e">
        <f>VLOOKUP(Table25751955[[#This Row],[PEG]],Table1016[#All],3,FALSE)</f>
        <v>#N/A</v>
      </c>
    </row>
    <row r="30" spans="1:5" x14ac:dyDescent="0.35">
      <c r="A30" s="118">
        <v>23</v>
      </c>
      <c r="B30" s="114" t="s">
        <v>12</v>
      </c>
      <c r="C30" s="109" t="e">
        <f>VLOOKUP(Table25751955[[#This Row],[PEG]],Table1016[#All],2,FALSE)</f>
        <v>#N/A</v>
      </c>
      <c r="D30" s="117"/>
      <c r="E30" s="125" t="e">
        <f>VLOOKUP(Table25751955[[#This Row],[PEG]],Table1016[#All],3,FALSE)</f>
        <v>#N/A</v>
      </c>
    </row>
    <row r="31" spans="1:5" x14ac:dyDescent="0.35">
      <c r="A31" s="118">
        <v>24</v>
      </c>
      <c r="B31" s="114" t="s">
        <v>115</v>
      </c>
      <c r="C31" s="109" t="e">
        <f>VLOOKUP(Table25751955[[#This Row],[PEG]],Table1016[#All],2,FALSE)</f>
        <v>#N/A</v>
      </c>
      <c r="D31" s="117"/>
      <c r="E31" s="125" t="e">
        <f>VLOOKUP(Table25751955[[#This Row],[PEG]],Table1016[#All],3,FALSE)</f>
        <v>#N/A</v>
      </c>
    </row>
    <row r="32" spans="1:5" x14ac:dyDescent="0.35">
      <c r="A32" s="118">
        <v>25</v>
      </c>
      <c r="B32" s="114" t="s">
        <v>115</v>
      </c>
      <c r="C32" s="109" t="e">
        <f>VLOOKUP(Table25751955[[#This Row],[PEG]],Table1016[#All],2,FALSE)</f>
        <v>#N/A</v>
      </c>
      <c r="D32" s="117"/>
      <c r="E32" s="125" t="e">
        <f>VLOOKUP(Table25751955[[#This Row],[PEG]],Table1016[#All],3,FALSE)</f>
        <v>#N/A</v>
      </c>
    </row>
    <row r="33" spans="1:5" x14ac:dyDescent="0.35">
      <c r="A33" s="118">
        <v>26</v>
      </c>
      <c r="B33" s="114" t="s">
        <v>124</v>
      </c>
      <c r="C33" s="109" t="e">
        <f>VLOOKUP(Table25751955[[#This Row],[PEG]],Table1016[#All],2,FALSE)</f>
        <v>#N/A</v>
      </c>
      <c r="D33" s="117"/>
      <c r="E33" s="125" t="e">
        <f>VLOOKUP(Table25751955[[#This Row],[PEG]],Table1016[#All],3,FALSE)</f>
        <v>#N/A</v>
      </c>
    </row>
    <row r="34" spans="1:5" x14ac:dyDescent="0.35">
      <c r="A34" s="118">
        <v>27</v>
      </c>
      <c r="B34" s="114" t="s">
        <v>115</v>
      </c>
      <c r="C34" s="109" t="e">
        <f>VLOOKUP(Table25751955[[#This Row],[PEG]],Table1016[#All],2,FALSE)</f>
        <v>#N/A</v>
      </c>
      <c r="D34" s="117"/>
      <c r="E34" s="125" t="e">
        <f>VLOOKUP(Table25751955[[#This Row],[PEG]],Table1016[#All],3,FALSE)</f>
        <v>#N/A</v>
      </c>
    </row>
    <row r="35" spans="1:5" x14ac:dyDescent="0.35">
      <c r="A35" s="118">
        <v>28</v>
      </c>
      <c r="B35" s="114" t="s">
        <v>124</v>
      </c>
      <c r="C35" s="109" t="e">
        <f>VLOOKUP(Table25751955[[#This Row],[PEG]],Table1016[#All],2,FALSE)</f>
        <v>#N/A</v>
      </c>
      <c r="D35" s="117"/>
      <c r="E35" s="125" t="e">
        <f>VLOOKUP(Table25751955[[#This Row],[PEG]],Table1016[#All],3,FALSE)</f>
        <v>#N/A</v>
      </c>
    </row>
    <row r="36" spans="1:5" x14ac:dyDescent="0.35">
      <c r="A36" s="118">
        <v>29</v>
      </c>
      <c r="B36" s="114" t="s">
        <v>115</v>
      </c>
      <c r="C36" s="109" t="e">
        <f>VLOOKUP(Table25751955[[#This Row],[PEG]],Table1016[#All],2,FALSE)</f>
        <v>#N/A</v>
      </c>
      <c r="D36" s="117"/>
      <c r="E36" s="125" t="e">
        <f>VLOOKUP(Table25751955[[#This Row],[PEG]],Table1016[#All],3,FALSE)</f>
        <v>#N/A</v>
      </c>
    </row>
    <row r="37" spans="1:5" x14ac:dyDescent="0.35">
      <c r="A37" s="118">
        <v>30</v>
      </c>
      <c r="B37" s="114" t="s">
        <v>12</v>
      </c>
      <c r="C37" s="109" t="e">
        <f>VLOOKUP(Table25751955[[#This Row],[PEG]],Table1016[#All],2,FALSE)</f>
        <v>#N/A</v>
      </c>
      <c r="D37" s="117"/>
      <c r="E37" s="125" t="e">
        <f>VLOOKUP(Table25751955[[#This Row],[PEG]],Table1016[#All],3,FALSE)</f>
        <v>#N/A</v>
      </c>
    </row>
    <row r="38" spans="1:5" x14ac:dyDescent="0.35">
      <c r="A38" s="118">
        <v>31</v>
      </c>
      <c r="B38" s="114" t="s">
        <v>12</v>
      </c>
      <c r="C38" s="109" t="e">
        <f>VLOOKUP(Table25751955[[#This Row],[PEG]],Table1016[#All],2,FALSE)</f>
        <v>#N/A</v>
      </c>
      <c r="D38" s="117"/>
      <c r="E38" s="125" t="e">
        <f>VLOOKUP(Table25751955[[#This Row],[PEG]],Table1016[#All],3,FALSE)</f>
        <v>#N/A</v>
      </c>
    </row>
    <row r="39" spans="1:5" x14ac:dyDescent="0.35">
      <c r="A39" s="118">
        <v>32</v>
      </c>
      <c r="B39" s="114" t="s">
        <v>12</v>
      </c>
      <c r="C39" s="109" t="e">
        <f>VLOOKUP(Table25751955[[#This Row],[PEG]],Table1016[#All],2,FALSE)</f>
        <v>#N/A</v>
      </c>
      <c r="D39" s="117"/>
      <c r="E39" s="125" t="e">
        <f>VLOOKUP(Table25751955[[#This Row],[PEG]],Table1016[#All],3,FALSE)</f>
        <v>#N/A</v>
      </c>
    </row>
    <row r="40" spans="1:5" x14ac:dyDescent="0.35">
      <c r="A40" s="118">
        <v>33</v>
      </c>
      <c r="B40" s="114" t="s">
        <v>12</v>
      </c>
      <c r="C40" s="109" t="e">
        <f>VLOOKUP(Table25751955[[#This Row],[PEG]],Table1016[#All],2,FALSE)</f>
        <v>#N/A</v>
      </c>
      <c r="D40" s="117"/>
      <c r="E40" s="125" t="e">
        <f>VLOOKUP(Table25751955[[#This Row],[PEG]],Table1016[#All],3,FALSE)</f>
        <v>#N/A</v>
      </c>
    </row>
    <row r="41" spans="1:5" x14ac:dyDescent="0.35">
      <c r="A41" s="118">
        <v>34</v>
      </c>
      <c r="B41" s="114" t="s">
        <v>115</v>
      </c>
      <c r="C41" s="109" t="e">
        <f>VLOOKUP(Table25751955[[#This Row],[PEG]],Table1016[#All],2,FALSE)</f>
        <v>#N/A</v>
      </c>
      <c r="D41" s="117"/>
      <c r="E41" s="125" t="e">
        <f>VLOOKUP(Table25751955[[#This Row],[PEG]],Table1016[#All],3,FALSE)</f>
        <v>#N/A</v>
      </c>
    </row>
    <row r="42" spans="1:5" x14ac:dyDescent="0.35">
      <c r="A42" s="118">
        <v>35</v>
      </c>
      <c r="B42" s="114" t="s">
        <v>12</v>
      </c>
      <c r="C42" s="109" t="e">
        <f>VLOOKUP(Table25751955[[#This Row],[PEG]],Table1016[#All],2,FALSE)</f>
        <v>#N/A</v>
      </c>
      <c r="D42" s="115"/>
      <c r="E42" s="125" t="e">
        <f>VLOOKUP(Table25751955[[#This Row],[PEG]],Table1016[#All],3,FALSE)</f>
        <v>#N/A</v>
      </c>
    </row>
    <row r="43" spans="1:5" x14ac:dyDescent="0.35">
      <c r="A43" s="118">
        <v>36</v>
      </c>
      <c r="B43" s="114" t="s">
        <v>115</v>
      </c>
      <c r="C43" s="109" t="e">
        <f>VLOOKUP(Table25751955[[#This Row],[PEG]],Table1016[#All],2,FALSE)</f>
        <v>#N/A</v>
      </c>
      <c r="D43" s="115"/>
      <c r="E43" s="125" t="e">
        <f>VLOOKUP(Table25751955[[#This Row],[PEG]],Table1016[#All],3,FALSE)</f>
        <v>#N/A</v>
      </c>
    </row>
    <row r="44" spans="1:5" x14ac:dyDescent="0.35">
      <c r="A44" s="118">
        <v>37</v>
      </c>
      <c r="B44" s="114" t="s">
        <v>13</v>
      </c>
      <c r="C44" s="18" t="s">
        <v>13</v>
      </c>
      <c r="D44" s="115"/>
      <c r="E44" s="32"/>
    </row>
    <row r="45" spans="1:5" x14ac:dyDescent="0.35">
      <c r="C45" s="26"/>
    </row>
    <row r="46" spans="1:5" x14ac:dyDescent="0.35">
      <c r="C46" s="26"/>
    </row>
    <row r="47" spans="1:5" x14ac:dyDescent="0.35">
      <c r="C47" s="26"/>
    </row>
    <row r="48" spans="1:5" x14ac:dyDescent="0.35">
      <c r="C48" s="26"/>
    </row>
    <row r="49" spans="3:3" x14ac:dyDescent="0.35">
      <c r="C49" s="26"/>
    </row>
    <row r="50" spans="3:3" x14ac:dyDescent="0.35">
      <c r="C50" s="26"/>
    </row>
    <row r="51" spans="3:3" x14ac:dyDescent="0.35">
      <c r="C51" s="26"/>
    </row>
    <row r="52" spans="3:3" x14ac:dyDescent="0.35">
      <c r="C52" s="26"/>
    </row>
    <row r="53" spans="3:3" x14ac:dyDescent="0.35">
      <c r="C53" s="26"/>
    </row>
    <row r="54" spans="3:3" x14ac:dyDescent="0.35">
      <c r="C54" s="26"/>
    </row>
    <row r="55" spans="3:3" x14ac:dyDescent="0.35">
      <c r="C55" s="26"/>
    </row>
    <row r="56" spans="3:3" x14ac:dyDescent="0.35">
      <c r="C56" s="26"/>
    </row>
    <row r="57" spans="3:3" x14ac:dyDescent="0.35">
      <c r="C57" s="27"/>
    </row>
    <row r="58" spans="3:3" x14ac:dyDescent="0.35">
      <c r="C58" s="27"/>
    </row>
    <row r="59" spans="3:3" x14ac:dyDescent="0.35">
      <c r="C59" s="27"/>
    </row>
  </sheetData>
  <mergeCells count="1">
    <mergeCell ref="A1:B1"/>
  </mergeCells>
  <conditionalFormatting sqref="C45:C9998">
    <cfRule type="expression" dxfId="3339" priority="49">
      <formula>$B45="Dial"</formula>
    </cfRule>
    <cfRule type="expression" dxfId="3338" priority="51">
      <formula>$B45="HANGUP"</formula>
    </cfRule>
  </conditionalFormatting>
  <conditionalFormatting sqref="B30">
    <cfRule type="containsText" dxfId="3337" priority="4" operator="containsText" text="Hear">
      <formula>NOT(ISERROR(SEARCH("Hear",B30)))</formula>
    </cfRule>
  </conditionalFormatting>
  <conditionalFormatting sqref="B43:B44">
    <cfRule type="containsText" dxfId="3336" priority="14" operator="containsText" text="Hear">
      <formula>NOT(ISERROR(SEARCH("Hear",B43)))</formula>
    </cfRule>
  </conditionalFormatting>
  <conditionalFormatting sqref="E44">
    <cfRule type="containsText" dxfId="3335" priority="12" operator="containsText" text="WEB SERVICE">
      <formula>NOT(ISERROR(SEARCH("WEB SERVICE",E44)))</formula>
    </cfRule>
    <cfRule type="containsText" dxfId="3334" priority="13" operator="containsText" text="DB">
      <formula>NOT(ISERROR(SEARCH("DB",E44)))</formula>
    </cfRule>
  </conditionalFormatting>
  <conditionalFormatting sqref="C44">
    <cfRule type="expression" dxfId="3333" priority="15">
      <formula>$B44="Dial"</formula>
    </cfRule>
    <cfRule type="expression" dxfId="3332" priority="17">
      <formula>$B44="HANGUP"</formula>
    </cfRule>
  </conditionalFormatting>
  <conditionalFormatting sqref="C44">
    <cfRule type="expression" dxfId="3331" priority="16">
      <formula>$B44="Speak"</formula>
    </cfRule>
  </conditionalFormatting>
  <conditionalFormatting sqref="B8:B18">
    <cfRule type="containsText" dxfId="3330" priority="1" operator="containsText" text="Hear">
      <formula>NOT(ISERROR(SEARCH("Hear",B8)))</formula>
    </cfRule>
  </conditionalFormatting>
  <conditionalFormatting sqref="B36:B38 B40:B41">
    <cfRule type="containsText" dxfId="3329" priority="3" operator="containsText" text="Hear">
      <formula>NOT(ISERROR(SEARCH("Hear",B36)))</formula>
    </cfRule>
  </conditionalFormatting>
  <conditionalFormatting sqref="B19:B29 B31:B35 B42">
    <cfRule type="containsText" dxfId="3328" priority="5" operator="containsText" text="Hear">
      <formula>NOT(ISERROR(SEARCH("Hear",B19)))</formula>
    </cfRule>
  </conditionalFormatting>
  <hyperlinks>
    <hyperlink ref="A1" location="'Test Case Overview'!A1" display="Return to Test Case Overview" xr:uid="{00000000-0004-0000-5700-000000000000}"/>
  </hyperlinks>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expression" priority="27" id="{0CC60EF7-76A1-493B-9943-28E8455A76AE}">
            <xm:f>'TC1'!$B8="Speak"</xm:f>
            <x14:dxf>
              <font>
                <b/>
                <i val="0"/>
                <color rgb="FFFF0000"/>
              </font>
            </x14:dxf>
          </x14:cfRule>
          <xm:sqref>C8</xm:sqref>
        </x14:conditionalFormatting>
        <x14:conditionalFormatting xmlns:xm="http://schemas.microsoft.com/office/excel/2006/main">
          <x14:cfRule type="expression" priority="8" id="{3ECA9EFE-49B4-4E2D-BAFE-06AFA3FDB570}">
            <xm:f>'TC1'!$B8="HANGUP"</xm:f>
            <x14:dxf>
              <font>
                <b/>
                <i val="0"/>
              </font>
            </x14:dxf>
          </x14:cfRule>
          <x14:cfRule type="expression" priority="9" id="{C6DB73E6-0B80-4A3E-A6D4-74EE2536C9D7}">
            <xm:f>'TC1'!$B8="Dial"</xm:f>
            <x14:dxf>
              <font>
                <b/>
                <i val="0"/>
                <color rgb="FFFF0000"/>
              </font>
            </x14:dxf>
          </x14:cfRule>
          <xm:sqref>C8</xm:sqref>
        </x14:conditionalFormatting>
        <x14:conditionalFormatting xmlns:xm="http://schemas.microsoft.com/office/excel/2006/main">
          <x14:cfRule type="containsText" priority="2" operator="containsText" text="Hear" id="{500EA01C-3135-432D-AF1A-40951A9A15C8}">
            <xm:f>NOT(ISERROR(SEARCH("Hear",'TC3'!B34)))</xm:f>
            <x14:dxf>
              <font>
                <color theme="9" tint="-0.24994659260841701"/>
              </font>
              <fill>
                <patternFill>
                  <bgColor theme="9" tint="0.59996337778862885"/>
                </patternFill>
              </fill>
            </x14:dxf>
          </x14:cfRule>
          <xm:sqref>B41</xm:sqref>
        </x14:conditionalFormatting>
        <x14:conditionalFormatting xmlns:xm="http://schemas.microsoft.com/office/excel/2006/main">
          <x14:cfRule type="expression" priority="2002" id="{0CC60EF7-76A1-493B-9943-28E8455A76AE}">
            <xm:f>'TC1'!$B16="Speak"</xm:f>
            <x14:dxf>
              <font>
                <b/>
                <i val="0"/>
                <color rgb="FFFF0000"/>
              </font>
            </x14:dxf>
          </x14:cfRule>
          <xm:sqref>C34:C43</xm:sqref>
        </x14:conditionalFormatting>
        <x14:conditionalFormatting xmlns:xm="http://schemas.microsoft.com/office/excel/2006/main">
          <x14:cfRule type="expression" priority="2003" id="{0CC60EF7-76A1-493B-9943-28E8455A76AE}">
            <xm:f>'TC1'!#REF!="Speak"</xm:f>
            <x14:dxf>
              <font>
                <b/>
                <i val="0"/>
                <color rgb="FFFF0000"/>
              </font>
            </x14:dxf>
          </x14:cfRule>
          <xm:sqref>C17:C33</xm:sqref>
        </x14:conditionalFormatting>
        <x14:conditionalFormatting xmlns:xm="http://schemas.microsoft.com/office/excel/2006/main">
          <x14:cfRule type="expression" priority="2007" id="{3ECA9EFE-49B4-4E2D-BAFE-06AFA3FDB570}">
            <xm:f>'TC1'!$B16="HANGUP"</xm:f>
            <x14:dxf>
              <font>
                <b/>
                <i val="0"/>
              </font>
            </x14:dxf>
          </x14:cfRule>
          <x14:cfRule type="expression" priority="2008" id="{C6DB73E6-0B80-4A3E-A6D4-74EE2536C9D7}">
            <xm:f>'TC1'!$B16="Dial"</xm:f>
            <x14:dxf>
              <font>
                <b/>
                <i val="0"/>
                <color rgb="FFFF0000"/>
              </font>
            </x14:dxf>
          </x14:cfRule>
          <xm:sqref>C34:C43</xm:sqref>
        </x14:conditionalFormatting>
        <x14:conditionalFormatting xmlns:xm="http://schemas.microsoft.com/office/excel/2006/main">
          <x14:cfRule type="expression" priority="2009" id="{3ECA9EFE-49B4-4E2D-BAFE-06AFA3FDB570}">
            <xm:f>'TC1'!#REF!="HANGUP"</xm:f>
            <x14:dxf>
              <font>
                <b/>
                <i val="0"/>
              </font>
            </x14:dxf>
          </x14:cfRule>
          <x14:cfRule type="expression" priority="2010" id="{C6DB73E6-0B80-4A3E-A6D4-74EE2536C9D7}">
            <xm:f>'TC1'!#REF!="Dial"</xm:f>
            <x14:dxf>
              <font>
                <b/>
                <i val="0"/>
                <color rgb="FFFF0000"/>
              </font>
            </x14:dxf>
          </x14:cfRule>
          <xm:sqref>C17:C33</xm:sqref>
        </x14:conditionalFormatting>
        <x14:conditionalFormatting xmlns:xm="http://schemas.microsoft.com/office/excel/2006/main">
          <x14:cfRule type="containsText" priority="2015" operator="containsText" text="DB" id="{F6A02115-35D8-44A4-A016-F9C6AC18BCBF}">
            <xm:f>NOT(ISERROR(SEARCH("DB",'TC1'!E16)))</xm:f>
            <x14:dxf>
              <font>
                <color rgb="FF006100"/>
              </font>
              <fill>
                <patternFill>
                  <bgColor rgb="FFC6EFCE"/>
                </patternFill>
              </fill>
            </x14:dxf>
          </x14:cfRule>
          <x14:cfRule type="containsText" priority="2016" operator="containsText" text="WEB SERVICE" id="{245F380B-1A7E-4926-90F7-6CAB8A7F6CA8}">
            <xm:f>NOT(ISERROR(SEARCH("WEB SERVICE",'TC1'!E16)))</xm:f>
            <x14:dxf>
              <font>
                <color rgb="FF9C0006"/>
              </font>
              <fill>
                <patternFill>
                  <bgColor rgb="FFFFC7CE"/>
                </patternFill>
              </fill>
            </x14:dxf>
          </x14:cfRule>
          <xm:sqref>E34:E43</xm:sqref>
        </x14:conditionalFormatting>
        <x14:conditionalFormatting xmlns:xm="http://schemas.microsoft.com/office/excel/2006/main">
          <x14:cfRule type="containsText" priority="2017" operator="containsText" text="DB" id="{F6A02115-35D8-44A4-A016-F9C6AC18BCBF}">
            <xm:f>NOT(ISERROR(SEARCH("DB",'TC1'!#REF!)))</xm:f>
            <x14:dxf>
              <font>
                <color rgb="FF006100"/>
              </font>
              <fill>
                <patternFill>
                  <bgColor rgb="FFC6EFCE"/>
                </patternFill>
              </fill>
            </x14:dxf>
          </x14:cfRule>
          <x14:cfRule type="containsText" priority="2018" operator="containsText" text="WEB SERVICE" id="{245F380B-1A7E-4926-90F7-6CAB8A7F6CA8}">
            <xm:f>NOT(ISERROR(SEARCH("WEB SERVICE",'TC1'!#REF!)))</xm:f>
            <x14:dxf>
              <font>
                <color rgb="FF9C0006"/>
              </font>
              <fill>
                <patternFill>
                  <bgColor rgb="FFFFC7CE"/>
                </patternFill>
              </fill>
            </x14:dxf>
          </x14:cfRule>
          <xm:sqref>E17:E33</xm:sqref>
        </x14:conditionalFormatting>
        <x14:conditionalFormatting xmlns:xm="http://schemas.microsoft.com/office/excel/2006/main">
          <x14:cfRule type="expression" priority="4740" id="{0CC60EF7-76A1-493B-9943-28E8455A76AE}">
            <xm:f>'TC1'!$B9="Speak"</xm:f>
            <x14:dxf>
              <font>
                <b/>
                <i val="0"/>
                <color rgb="FFFF0000"/>
              </font>
            </x14:dxf>
          </x14:cfRule>
          <xm:sqref>C12:C15</xm:sqref>
        </x14:conditionalFormatting>
        <x14:conditionalFormatting xmlns:xm="http://schemas.microsoft.com/office/excel/2006/main">
          <x14:cfRule type="expression" priority="4741" id="{0CC60EF7-76A1-493B-9943-28E8455A76AE}">
            <xm:f>'TC1'!#REF!="Speak"</xm:f>
            <x14:dxf>
              <font>
                <b/>
                <i val="0"/>
                <color rgb="FFFF0000"/>
              </font>
            </x14:dxf>
          </x14:cfRule>
          <xm:sqref>C9:C11</xm:sqref>
        </x14:conditionalFormatting>
        <x14:conditionalFormatting xmlns:xm="http://schemas.microsoft.com/office/excel/2006/main">
          <x14:cfRule type="expression" priority="4745" id="{3ECA9EFE-49B4-4E2D-BAFE-06AFA3FDB570}">
            <xm:f>'TC1'!$B9="HANGUP"</xm:f>
            <x14:dxf>
              <font>
                <b/>
                <i val="0"/>
              </font>
            </x14:dxf>
          </x14:cfRule>
          <x14:cfRule type="expression" priority="4746" id="{C6DB73E6-0B80-4A3E-A6D4-74EE2536C9D7}">
            <xm:f>'TC1'!$B9="Dial"</xm:f>
            <x14:dxf>
              <font>
                <b/>
                <i val="0"/>
                <color rgb="FFFF0000"/>
              </font>
            </x14:dxf>
          </x14:cfRule>
          <xm:sqref>C12:C15</xm:sqref>
        </x14:conditionalFormatting>
        <x14:conditionalFormatting xmlns:xm="http://schemas.microsoft.com/office/excel/2006/main">
          <x14:cfRule type="expression" priority="4747" id="{3ECA9EFE-49B4-4E2D-BAFE-06AFA3FDB570}">
            <xm:f>'TC1'!#REF!="HANGUP"</xm:f>
            <x14:dxf>
              <font>
                <b/>
                <i val="0"/>
              </font>
            </x14:dxf>
          </x14:cfRule>
          <x14:cfRule type="expression" priority="4748" id="{C6DB73E6-0B80-4A3E-A6D4-74EE2536C9D7}">
            <xm:f>'TC1'!#REF!="Dial"</xm:f>
            <x14:dxf>
              <font>
                <b/>
                <i val="0"/>
                <color rgb="FFFF0000"/>
              </font>
            </x14:dxf>
          </x14:cfRule>
          <xm:sqref>C9:C11</xm:sqref>
        </x14:conditionalFormatting>
        <x14:conditionalFormatting xmlns:xm="http://schemas.microsoft.com/office/excel/2006/main">
          <x14:cfRule type="containsText" priority="4751" operator="containsText" text="DB" id="{F6A02115-35D8-44A4-A016-F9C6AC18BCBF}">
            <xm:f>NOT(ISERROR(SEARCH("DB",'TC1'!#REF!)))</xm:f>
            <x14:dxf>
              <font>
                <color rgb="FF006100"/>
              </font>
              <fill>
                <patternFill>
                  <bgColor rgb="FFC6EFCE"/>
                </patternFill>
              </fill>
            </x14:dxf>
          </x14:cfRule>
          <x14:cfRule type="containsText" priority="4752" operator="containsText" text="WEB SERVICE" id="{245F380B-1A7E-4926-90F7-6CAB8A7F6CA8}">
            <xm:f>NOT(ISERROR(SEARCH("WEB SERVICE",'TC1'!#REF!)))</xm:f>
            <x14:dxf>
              <font>
                <color rgb="FF9C0006"/>
              </font>
              <fill>
                <patternFill>
                  <bgColor rgb="FFFFC7CE"/>
                </patternFill>
              </fill>
            </x14:dxf>
          </x14:cfRule>
          <xm:sqref>E9:E11</xm:sqref>
        </x14:conditionalFormatting>
        <x14:conditionalFormatting xmlns:xm="http://schemas.microsoft.com/office/excel/2006/main">
          <x14:cfRule type="containsText" priority="4753" operator="containsText" text="DB" id="{F6A02115-35D8-44A4-A016-F9C6AC18BCBF}">
            <xm:f>NOT(ISERROR(SEARCH("DB",'TC1'!E9)))</xm:f>
            <x14:dxf>
              <font>
                <color rgb="FF006100"/>
              </font>
              <fill>
                <patternFill>
                  <bgColor rgb="FFC6EFCE"/>
                </patternFill>
              </fill>
            </x14:dxf>
          </x14:cfRule>
          <x14:cfRule type="containsText" priority="4754" operator="containsText" text="WEB SERVICE" id="{245F380B-1A7E-4926-90F7-6CAB8A7F6CA8}">
            <xm:f>NOT(ISERROR(SEARCH("WEB SERVICE",'TC1'!E9)))</xm:f>
            <x14:dxf>
              <font>
                <color rgb="FF9C0006"/>
              </font>
              <fill>
                <patternFill>
                  <bgColor rgb="FFFFC7CE"/>
                </patternFill>
              </fill>
            </x14:dxf>
          </x14:cfRule>
          <xm:sqref>E12:E15</xm:sqref>
        </x14:conditionalFormatting>
        <x14:conditionalFormatting xmlns:xm="http://schemas.microsoft.com/office/excel/2006/main">
          <x14:cfRule type="expression" priority="7129" id="{0CC60EF7-76A1-493B-9943-28E8455A76AE}">
            <xm:f>'TC1'!$B15="Speak"</xm:f>
            <x14:dxf>
              <font>
                <b/>
                <i val="0"/>
                <color rgb="FFFF0000"/>
              </font>
            </x14:dxf>
          </x14:cfRule>
          <xm:sqref>C16</xm:sqref>
        </x14:conditionalFormatting>
        <x14:conditionalFormatting xmlns:xm="http://schemas.microsoft.com/office/excel/2006/main">
          <x14:cfRule type="expression" priority="7132" id="{3ECA9EFE-49B4-4E2D-BAFE-06AFA3FDB570}">
            <xm:f>'TC1'!$B15="HANGUP"</xm:f>
            <x14:dxf>
              <font>
                <b/>
                <i val="0"/>
              </font>
            </x14:dxf>
          </x14:cfRule>
          <x14:cfRule type="expression" priority="7133" id="{C6DB73E6-0B80-4A3E-A6D4-74EE2536C9D7}">
            <xm:f>'TC1'!$B15="Dial"</xm:f>
            <x14:dxf>
              <font>
                <b/>
                <i val="0"/>
                <color rgb="FFFF0000"/>
              </font>
            </x14:dxf>
          </x14:cfRule>
          <xm:sqref>C16</xm:sqref>
        </x14:conditionalFormatting>
        <x14:conditionalFormatting xmlns:xm="http://schemas.microsoft.com/office/excel/2006/main">
          <x14:cfRule type="containsText" priority="7136" operator="containsText" text="DB" id="{F6A02115-35D8-44A4-A016-F9C6AC18BCBF}">
            <xm:f>NOT(ISERROR(SEARCH("DB",'TC1'!E15)))</xm:f>
            <x14:dxf>
              <font>
                <color rgb="FF006100"/>
              </font>
              <fill>
                <patternFill>
                  <bgColor rgb="FFC6EFCE"/>
                </patternFill>
              </fill>
            </x14:dxf>
          </x14:cfRule>
          <x14:cfRule type="containsText" priority="7137" operator="containsText" text="WEB SERVICE" id="{245F380B-1A7E-4926-90F7-6CAB8A7F6CA8}">
            <xm:f>NOT(ISERROR(SEARCH("WEB SERVICE",'TC1'!E15)))</xm:f>
            <x14:dxf>
              <font>
                <color rgb="FF9C0006"/>
              </font>
              <fill>
                <patternFill>
                  <bgColor rgb="FFFFC7CE"/>
                </patternFill>
              </fill>
            </x14:dxf>
          </x14:cfRule>
          <xm:sqref>E16</xm:sqref>
        </x14:conditionalFormatting>
        <x14:conditionalFormatting xmlns:xm="http://schemas.microsoft.com/office/excel/2006/main">
          <x14:cfRule type="containsText" priority="9574" operator="containsText" text="Hear" id="{74A862CD-0753-4F6F-B6B9-B5829E699323}">
            <xm:f>NOT(ISERROR(SEARCH("Hear",'TC26'!#REF!)))</xm:f>
            <x14:dxf>
              <font>
                <color theme="9" tint="-0.24994659260841701"/>
              </font>
              <fill>
                <patternFill>
                  <bgColor theme="9" tint="0.59996337778862885"/>
                </patternFill>
              </fill>
            </x14:dxf>
          </x14:cfRule>
          <xm:sqref>B39</xm:sqref>
        </x14:conditionalFormatting>
      </x14:conditionalFormattings>
    </ext>
  </extLst>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800-000000000000}">
  <sheetPr codeName="Sheet90"/>
  <dimension ref="A1:E59"/>
  <sheetViews>
    <sheetView zoomScaleNormal="100" workbookViewId="0">
      <selection activeCell="A2" sqref="A2"/>
    </sheetView>
  </sheetViews>
  <sheetFormatPr defaultRowHeight="14.5" x14ac:dyDescent="0.35"/>
  <cols>
    <col min="1" max="1" width="14.453125" style="97" bestFit="1" customWidth="1"/>
    <col min="2" max="2" width="42.6328125" style="97" customWidth="1"/>
    <col min="3" max="3" width="106.1796875" style="98" customWidth="1"/>
    <col min="4" max="4" width="21.81640625" style="111" bestFit="1" customWidth="1"/>
    <col min="5" max="5" width="20.6328125" style="97" customWidth="1"/>
  </cols>
  <sheetData>
    <row r="1" spans="1:5" ht="18.5" x14ac:dyDescent="0.35">
      <c r="A1" s="192" t="s">
        <v>4</v>
      </c>
      <c r="B1" s="192"/>
      <c r="C1" s="105"/>
    </row>
    <row r="2" spans="1:5" x14ac:dyDescent="0.35">
      <c r="A2" s="106" t="s">
        <v>5</v>
      </c>
      <c r="B2" s="107" t="str">
        <f ca="1">MID(CELL("filename",A1),FIND("]",CELL("filename",A1))+1,LEN(CELL("filename",A1))-FIND("]",CELL("filename",A1)))</f>
        <v>TC88</v>
      </c>
    </row>
    <row r="3" spans="1:5" x14ac:dyDescent="0.35">
      <c r="A3" s="104" t="s">
        <v>19</v>
      </c>
      <c r="B3" s="112">
        <f ca="1">VLOOKUP(B2,Table53[#All],2,FALSE)</f>
        <v>0</v>
      </c>
    </row>
    <row r="4" spans="1:5" ht="29" x14ac:dyDescent="0.35">
      <c r="A4" s="113" t="s">
        <v>20</v>
      </c>
      <c r="B4" s="99">
        <f ca="1">VLOOKUP(B2,Table53[#All],4,FALSE)</f>
        <v>0</v>
      </c>
    </row>
    <row r="5" spans="1:5" ht="29" customHeight="1" x14ac:dyDescent="0.35">
      <c r="A5" s="104" t="s">
        <v>6</v>
      </c>
      <c r="B5" s="77">
        <f ca="1">VLOOKUP(B2,Table53[#All],3,FALSE)</f>
        <v>0</v>
      </c>
    </row>
    <row r="7" spans="1:5" ht="15.5" x14ac:dyDescent="0.35">
      <c r="A7" s="100" t="s">
        <v>7</v>
      </c>
      <c r="B7" s="101" t="s">
        <v>8</v>
      </c>
      <c r="C7" s="102" t="s">
        <v>9</v>
      </c>
      <c r="D7" s="102" t="s">
        <v>14</v>
      </c>
      <c r="E7" s="103" t="s">
        <v>10</v>
      </c>
    </row>
    <row r="8" spans="1:5" x14ac:dyDescent="0.35">
      <c r="A8" s="118">
        <v>1</v>
      </c>
      <c r="B8" s="114" t="s">
        <v>114</v>
      </c>
      <c r="C8" s="109" t="s">
        <v>125</v>
      </c>
      <c r="D8" s="128"/>
      <c r="E8" s="125" t="s">
        <v>11</v>
      </c>
    </row>
    <row r="9" spans="1:5" s="97" customFormat="1" x14ac:dyDescent="0.35">
      <c r="A9" s="118">
        <v>2</v>
      </c>
      <c r="B9" s="114" t="s">
        <v>12</v>
      </c>
      <c r="C9" s="109" t="e">
        <f>VLOOKUP(Table25751975[[#This Row],[PEG]],Table1016[#All],2,FALSE)</f>
        <v>#N/A</v>
      </c>
      <c r="D9" s="128"/>
      <c r="E9" s="125" t="e">
        <f>VLOOKUP(Table25751975[[#This Row],[PEG]],Table1016[#All],3,FALSE)</f>
        <v>#N/A</v>
      </c>
    </row>
    <row r="10" spans="1:5" s="97" customFormat="1" x14ac:dyDescent="0.35">
      <c r="A10" s="118">
        <v>3</v>
      </c>
      <c r="B10" s="114" t="s">
        <v>115</v>
      </c>
      <c r="C10" s="109" t="e">
        <f>VLOOKUP(Table25751975[[#This Row],[PEG]],Table1016[#All],2,FALSE)</f>
        <v>#N/A</v>
      </c>
      <c r="D10" s="128"/>
      <c r="E10" s="125" t="e">
        <f>VLOOKUP(Table25751975[[#This Row],[PEG]],Table1016[#All],3,FALSE)</f>
        <v>#N/A</v>
      </c>
    </row>
    <row r="11" spans="1:5" s="97" customFormat="1" x14ac:dyDescent="0.35">
      <c r="A11" s="118">
        <v>4</v>
      </c>
      <c r="B11" s="114" t="s">
        <v>115</v>
      </c>
      <c r="C11" s="109" t="e">
        <f>VLOOKUP(Table25751975[[#This Row],[PEG]],Table1016[#All],2,FALSE)</f>
        <v>#N/A</v>
      </c>
      <c r="D11" s="128"/>
      <c r="E11" s="125" t="e">
        <f>VLOOKUP(Table25751975[[#This Row],[PEG]],Table1016[#All],3,FALSE)</f>
        <v>#N/A</v>
      </c>
    </row>
    <row r="12" spans="1:5" s="97" customFormat="1" x14ac:dyDescent="0.35">
      <c r="A12" s="118">
        <v>5</v>
      </c>
      <c r="B12" s="114" t="s">
        <v>114</v>
      </c>
      <c r="C12" s="109" t="e">
        <f>VLOOKUP(Table25751975[[#This Row],[PEG]],Table1016[#All],2,FALSE)</f>
        <v>#N/A</v>
      </c>
      <c r="D12" s="128"/>
      <c r="E12" s="125" t="e">
        <f>VLOOKUP(Table25751975[[#This Row],[PEG]],Table1016[#All],3,FALSE)</f>
        <v>#N/A</v>
      </c>
    </row>
    <row r="13" spans="1:5" s="97" customFormat="1" x14ac:dyDescent="0.35">
      <c r="A13" s="118">
        <v>6</v>
      </c>
      <c r="B13" s="114" t="s">
        <v>115</v>
      </c>
      <c r="C13" s="109" t="e">
        <f>VLOOKUP(Table25751975[[#This Row],[PEG]],Table1016[#All],2,FALSE)</f>
        <v>#N/A</v>
      </c>
      <c r="D13" s="128"/>
      <c r="E13" s="125" t="e">
        <f>VLOOKUP(Table25751975[[#This Row],[PEG]],Table1016[#All],3,FALSE)</f>
        <v>#N/A</v>
      </c>
    </row>
    <row r="14" spans="1:5" s="97" customFormat="1" x14ac:dyDescent="0.35">
      <c r="A14" s="118">
        <v>7</v>
      </c>
      <c r="B14" s="114" t="s">
        <v>114</v>
      </c>
      <c r="C14" s="109" t="e">
        <f>VLOOKUP(Table25751975[[#This Row],[PEG]],Table1016[#All],2,FALSE)</f>
        <v>#N/A</v>
      </c>
      <c r="D14" s="128"/>
      <c r="E14" s="125" t="e">
        <f>VLOOKUP(Table25751975[[#This Row],[PEG]],Table1016[#All],3,FALSE)</f>
        <v>#N/A</v>
      </c>
    </row>
    <row r="15" spans="1:5" x14ac:dyDescent="0.35">
      <c r="A15" s="118">
        <v>8</v>
      </c>
      <c r="B15" s="114" t="s">
        <v>115</v>
      </c>
      <c r="C15" s="109" t="e">
        <f>VLOOKUP(Table25751975[[#This Row],[PEG]],Table1016[#All],2,FALSE)</f>
        <v>#N/A</v>
      </c>
      <c r="D15" s="116"/>
      <c r="E15" s="125" t="e">
        <f>VLOOKUP(Table25751975[[#This Row],[PEG]],Table1016[#All],3,FALSE)</f>
        <v>#N/A</v>
      </c>
    </row>
    <row r="16" spans="1:5" x14ac:dyDescent="0.35">
      <c r="A16" s="118">
        <v>9</v>
      </c>
      <c r="B16" s="114" t="s">
        <v>12</v>
      </c>
      <c r="C16" s="109" t="e">
        <f>VLOOKUP(Table25751975[[#This Row],[PEG]],Table1016[#All],2,FALSE)</f>
        <v>#N/A</v>
      </c>
      <c r="D16" s="116"/>
      <c r="E16" s="125" t="e">
        <f>VLOOKUP(Table25751975[[#This Row],[PEG]],Table1016[#All],3,FALSE)</f>
        <v>#N/A</v>
      </c>
    </row>
    <row r="17" spans="1:5" x14ac:dyDescent="0.35">
      <c r="A17" s="118">
        <v>10</v>
      </c>
      <c r="B17" s="114" t="s">
        <v>12</v>
      </c>
      <c r="C17" s="109" t="e">
        <f>VLOOKUP(Table25751975[[#This Row],[PEG]],Table1016[#All],2,FALSE)</f>
        <v>#N/A</v>
      </c>
      <c r="D17" s="117"/>
      <c r="E17" s="125" t="e">
        <f>VLOOKUP(Table25751975[[#This Row],[PEG]],Table1016[#All],3,FALSE)</f>
        <v>#N/A</v>
      </c>
    </row>
    <row r="18" spans="1:5" x14ac:dyDescent="0.35">
      <c r="A18" s="118">
        <v>11</v>
      </c>
      <c r="B18" s="114" t="s">
        <v>115</v>
      </c>
      <c r="C18" s="109" t="e">
        <f>VLOOKUP(Table25751975[[#This Row],[PEG]],Table1016[#All],2,FALSE)</f>
        <v>#N/A</v>
      </c>
      <c r="D18" s="117"/>
      <c r="E18" s="125" t="e">
        <f>VLOOKUP(Table25751975[[#This Row],[PEG]],Table1016[#All],3,FALSE)</f>
        <v>#N/A</v>
      </c>
    </row>
    <row r="19" spans="1:5" x14ac:dyDescent="0.35">
      <c r="A19" s="118">
        <v>12</v>
      </c>
      <c r="B19" s="114" t="s">
        <v>115</v>
      </c>
      <c r="C19" s="109" t="e">
        <f>VLOOKUP(Table25751975[[#This Row],[PEG]],Table1016[#All],2,FALSE)</f>
        <v>#N/A</v>
      </c>
      <c r="D19" s="117"/>
      <c r="E19" s="125" t="e">
        <f>VLOOKUP(Table25751975[[#This Row],[PEG]],Table1016[#All],3,FALSE)</f>
        <v>#N/A</v>
      </c>
    </row>
    <row r="20" spans="1:5" x14ac:dyDescent="0.35">
      <c r="A20" s="118">
        <v>13</v>
      </c>
      <c r="B20" s="114" t="s">
        <v>114</v>
      </c>
      <c r="C20" s="109" t="e">
        <f>VLOOKUP(Table25751975[[#This Row],[PEG]],Table1016[#All],2,FALSE)</f>
        <v>#N/A</v>
      </c>
      <c r="D20" s="117"/>
      <c r="E20" s="125" t="e">
        <f>VLOOKUP(Table25751975[[#This Row],[PEG]],Table1016[#All],3,FALSE)</f>
        <v>#N/A</v>
      </c>
    </row>
    <row r="21" spans="1:5" x14ac:dyDescent="0.35">
      <c r="A21" s="118">
        <v>14</v>
      </c>
      <c r="B21" s="114" t="s">
        <v>12</v>
      </c>
      <c r="C21" s="109" t="e">
        <f>VLOOKUP(Table25751975[[#This Row],[PEG]],Table1016[#All],2,FALSE)</f>
        <v>#N/A</v>
      </c>
      <c r="D21" s="117"/>
      <c r="E21" s="125" t="e">
        <f>VLOOKUP(Table25751975[[#This Row],[PEG]],Table1016[#All],3,FALSE)</f>
        <v>#N/A</v>
      </c>
    </row>
    <row r="22" spans="1:5" x14ac:dyDescent="0.35">
      <c r="A22" s="118">
        <v>15</v>
      </c>
      <c r="B22" s="114" t="s">
        <v>12</v>
      </c>
      <c r="C22" s="109" t="e">
        <f>VLOOKUP(Table25751975[[#This Row],[PEG]],Table1016[#All],2,FALSE)</f>
        <v>#N/A</v>
      </c>
      <c r="D22" s="117"/>
      <c r="E22" s="125" t="e">
        <f>VLOOKUP(Table25751975[[#This Row],[PEG]],Table1016[#All],3,FALSE)</f>
        <v>#N/A</v>
      </c>
    </row>
    <row r="23" spans="1:5" x14ac:dyDescent="0.35">
      <c r="A23" s="118">
        <v>16</v>
      </c>
      <c r="B23" s="114" t="s">
        <v>115</v>
      </c>
      <c r="C23" s="109" t="e">
        <f>VLOOKUP(Table25751975[[#This Row],[PEG]],Table1016[#All],2,FALSE)</f>
        <v>#N/A</v>
      </c>
      <c r="D23" s="117"/>
      <c r="E23" s="125" t="e">
        <f>VLOOKUP(Table25751975[[#This Row],[PEG]],Table1016[#All],3,FALSE)</f>
        <v>#N/A</v>
      </c>
    </row>
    <row r="24" spans="1:5" x14ac:dyDescent="0.35">
      <c r="A24" s="118">
        <v>17</v>
      </c>
      <c r="B24" s="114" t="s">
        <v>114</v>
      </c>
      <c r="C24" s="109" t="e">
        <f>VLOOKUP(Table25751975[[#This Row],[PEG]],Table1016[#All],2,FALSE)</f>
        <v>#N/A</v>
      </c>
      <c r="D24" s="117"/>
      <c r="E24" s="125" t="e">
        <f>VLOOKUP(Table25751975[[#This Row],[PEG]],Table1016[#All],3,FALSE)</f>
        <v>#N/A</v>
      </c>
    </row>
    <row r="25" spans="1:5" s="97" customFormat="1" x14ac:dyDescent="0.35">
      <c r="A25" s="118">
        <v>18</v>
      </c>
      <c r="B25" s="114" t="s">
        <v>12</v>
      </c>
      <c r="C25" s="109" t="e">
        <f>VLOOKUP(Table25751975[[#This Row],[PEG]],Table1016[#All],2,FALSE)</f>
        <v>#N/A</v>
      </c>
      <c r="D25" s="117"/>
      <c r="E25" s="125" t="e">
        <f>VLOOKUP(Table25751975[[#This Row],[PEG]],Table1016[#All],3,FALSE)</f>
        <v>#N/A</v>
      </c>
    </row>
    <row r="26" spans="1:5" x14ac:dyDescent="0.35">
      <c r="A26" s="118">
        <v>19</v>
      </c>
      <c r="B26" s="114" t="s">
        <v>12</v>
      </c>
      <c r="C26" s="109" t="e">
        <f>VLOOKUP(Table25751975[[#This Row],[PEG]],Table1016[#All],2,FALSE)</f>
        <v>#N/A</v>
      </c>
      <c r="D26" s="117"/>
      <c r="E26" s="125" t="e">
        <f>VLOOKUP(Table25751975[[#This Row],[PEG]],Table1016[#All],3,FALSE)</f>
        <v>#N/A</v>
      </c>
    </row>
    <row r="27" spans="1:5" x14ac:dyDescent="0.35">
      <c r="A27" s="118">
        <v>20</v>
      </c>
      <c r="B27" s="114" t="s">
        <v>115</v>
      </c>
      <c r="C27" s="109" t="e">
        <f>VLOOKUP(Table25751975[[#This Row],[PEG]],Table1016[#All],2,FALSE)</f>
        <v>#N/A</v>
      </c>
      <c r="D27" s="117"/>
      <c r="E27" s="125" t="e">
        <f>VLOOKUP(Table25751975[[#This Row],[PEG]],Table1016[#All],3,FALSE)</f>
        <v>#N/A</v>
      </c>
    </row>
    <row r="28" spans="1:5" x14ac:dyDescent="0.35">
      <c r="A28" s="118">
        <v>21</v>
      </c>
      <c r="B28" s="114" t="s">
        <v>114</v>
      </c>
      <c r="C28" s="109" t="e">
        <f>VLOOKUP(Table25751975[[#This Row],[PEG]],Table1016[#All],2,FALSE)</f>
        <v>#N/A</v>
      </c>
      <c r="D28" s="117"/>
      <c r="E28" s="125" t="e">
        <f>VLOOKUP(Table25751975[[#This Row],[PEG]],Table1016[#All],3,FALSE)</f>
        <v>#N/A</v>
      </c>
    </row>
    <row r="29" spans="1:5" x14ac:dyDescent="0.35">
      <c r="A29" s="118">
        <v>22</v>
      </c>
      <c r="B29" s="114" t="s">
        <v>12</v>
      </c>
      <c r="C29" s="109" t="e">
        <f>VLOOKUP(Table25751975[[#This Row],[PEG]],Table1016[#All],2,FALSE)</f>
        <v>#N/A</v>
      </c>
      <c r="D29" s="117"/>
      <c r="E29" s="125" t="e">
        <f>VLOOKUP(Table25751975[[#This Row],[PEG]],Table1016[#All],3,FALSE)</f>
        <v>#N/A</v>
      </c>
    </row>
    <row r="30" spans="1:5" x14ac:dyDescent="0.35">
      <c r="A30" s="118">
        <v>23</v>
      </c>
      <c r="B30" s="114" t="s">
        <v>12</v>
      </c>
      <c r="C30" s="109" t="e">
        <f>VLOOKUP(Table25751975[[#This Row],[PEG]],Table1016[#All],2,FALSE)</f>
        <v>#N/A</v>
      </c>
      <c r="D30" s="117"/>
      <c r="E30" s="125" t="e">
        <f>VLOOKUP(Table25751975[[#This Row],[PEG]],Table1016[#All],3,FALSE)</f>
        <v>#N/A</v>
      </c>
    </row>
    <row r="31" spans="1:5" x14ac:dyDescent="0.35">
      <c r="A31" s="118">
        <v>24</v>
      </c>
      <c r="B31" s="114" t="s">
        <v>115</v>
      </c>
      <c r="C31" s="109" t="e">
        <f>VLOOKUP(Table25751975[[#This Row],[PEG]],Table1016[#All],2,FALSE)</f>
        <v>#N/A</v>
      </c>
      <c r="D31" s="117"/>
      <c r="E31" s="125" t="e">
        <f>VLOOKUP(Table25751975[[#This Row],[PEG]],Table1016[#All],3,FALSE)</f>
        <v>#N/A</v>
      </c>
    </row>
    <row r="32" spans="1:5" x14ac:dyDescent="0.35">
      <c r="A32" s="118">
        <v>25</v>
      </c>
      <c r="B32" s="114" t="s">
        <v>115</v>
      </c>
      <c r="C32" s="109" t="e">
        <f>VLOOKUP(Table25751975[[#This Row],[PEG]],Table1016[#All],2,FALSE)</f>
        <v>#N/A</v>
      </c>
      <c r="D32" s="117"/>
      <c r="E32" s="125" t="e">
        <f>VLOOKUP(Table25751975[[#This Row],[PEG]],Table1016[#All],3,FALSE)</f>
        <v>#N/A</v>
      </c>
    </row>
    <row r="33" spans="1:5" x14ac:dyDescent="0.35">
      <c r="A33" s="118">
        <v>26</v>
      </c>
      <c r="B33" s="114" t="s">
        <v>124</v>
      </c>
      <c r="C33" s="109" t="e">
        <f>VLOOKUP(Table25751975[[#This Row],[PEG]],Table1016[#All],2,FALSE)</f>
        <v>#N/A</v>
      </c>
      <c r="D33" s="117"/>
      <c r="E33" s="125" t="e">
        <f>VLOOKUP(Table25751975[[#This Row],[PEG]],Table1016[#All],3,FALSE)</f>
        <v>#N/A</v>
      </c>
    </row>
    <row r="34" spans="1:5" x14ac:dyDescent="0.35">
      <c r="A34" s="118">
        <v>27</v>
      </c>
      <c r="B34" s="114" t="s">
        <v>115</v>
      </c>
      <c r="C34" s="109" t="e">
        <f>VLOOKUP(Table25751975[[#This Row],[PEG]],Table1016[#All],2,FALSE)</f>
        <v>#N/A</v>
      </c>
      <c r="D34" s="117"/>
      <c r="E34" s="125" t="e">
        <f>VLOOKUP(Table25751975[[#This Row],[PEG]],Table1016[#All],3,FALSE)</f>
        <v>#N/A</v>
      </c>
    </row>
    <row r="35" spans="1:5" x14ac:dyDescent="0.35">
      <c r="A35" s="118">
        <v>28</v>
      </c>
      <c r="B35" s="114" t="s">
        <v>124</v>
      </c>
      <c r="C35" s="109" t="e">
        <f>VLOOKUP(Table25751975[[#This Row],[PEG]],Table1016[#All],2,FALSE)</f>
        <v>#N/A</v>
      </c>
      <c r="D35" s="117"/>
      <c r="E35" s="125" t="e">
        <f>VLOOKUP(Table25751975[[#This Row],[PEG]],Table1016[#All],3,FALSE)</f>
        <v>#N/A</v>
      </c>
    </row>
    <row r="36" spans="1:5" x14ac:dyDescent="0.35">
      <c r="A36" s="118">
        <v>29</v>
      </c>
      <c r="B36" s="114" t="s">
        <v>115</v>
      </c>
      <c r="C36" s="109" t="e">
        <f>VLOOKUP(Table25751975[[#This Row],[PEG]],Table1016[#All],2,FALSE)</f>
        <v>#N/A</v>
      </c>
      <c r="D36" s="117"/>
      <c r="E36" s="125" t="e">
        <f>VLOOKUP(Table25751975[[#This Row],[PEG]],Table1016[#All],3,FALSE)</f>
        <v>#N/A</v>
      </c>
    </row>
    <row r="37" spans="1:5" x14ac:dyDescent="0.35">
      <c r="A37" s="118">
        <v>30</v>
      </c>
      <c r="B37" s="114" t="s">
        <v>12</v>
      </c>
      <c r="C37" s="109" t="e">
        <f>VLOOKUP(Table25751975[[#This Row],[PEG]],Table1016[#All],2,FALSE)</f>
        <v>#N/A</v>
      </c>
      <c r="D37" s="117"/>
      <c r="E37" s="125" t="e">
        <f>VLOOKUP(Table25751975[[#This Row],[PEG]],Table1016[#All],3,FALSE)</f>
        <v>#N/A</v>
      </c>
    </row>
    <row r="38" spans="1:5" x14ac:dyDescent="0.35">
      <c r="A38" s="118">
        <v>31</v>
      </c>
      <c r="B38" s="114" t="s">
        <v>12</v>
      </c>
      <c r="C38" s="109" t="e">
        <f>VLOOKUP(Table25751975[[#This Row],[PEG]],Table1016[#All],2,FALSE)</f>
        <v>#N/A</v>
      </c>
      <c r="D38" s="117"/>
      <c r="E38" s="125" t="e">
        <f>VLOOKUP(Table25751975[[#This Row],[PEG]],Table1016[#All],3,FALSE)</f>
        <v>#N/A</v>
      </c>
    </row>
    <row r="39" spans="1:5" x14ac:dyDescent="0.35">
      <c r="A39" s="118">
        <v>32</v>
      </c>
      <c r="B39" s="114" t="s">
        <v>12</v>
      </c>
      <c r="C39" s="109" t="e">
        <f>VLOOKUP(Table25751975[[#This Row],[PEG]],Table1016[#All],2,FALSE)</f>
        <v>#N/A</v>
      </c>
      <c r="D39" s="117"/>
      <c r="E39" s="125" t="e">
        <f>VLOOKUP(Table25751975[[#This Row],[PEG]],Table1016[#All],3,FALSE)</f>
        <v>#N/A</v>
      </c>
    </row>
    <row r="40" spans="1:5" x14ac:dyDescent="0.35">
      <c r="A40" s="118">
        <v>33</v>
      </c>
      <c r="B40" s="114" t="s">
        <v>12</v>
      </c>
      <c r="C40" s="109" t="e">
        <f>VLOOKUP(Table25751975[[#This Row],[PEG]],Table1016[#All],2,FALSE)</f>
        <v>#N/A</v>
      </c>
      <c r="D40" s="117"/>
      <c r="E40" s="125" t="e">
        <f>VLOOKUP(Table25751975[[#This Row],[PEG]],Table1016[#All],3,FALSE)</f>
        <v>#N/A</v>
      </c>
    </row>
    <row r="41" spans="1:5" x14ac:dyDescent="0.35">
      <c r="A41" s="118">
        <v>34</v>
      </c>
      <c r="B41" s="114" t="s">
        <v>115</v>
      </c>
      <c r="C41" s="109" t="e">
        <f>VLOOKUP(Table25751975[[#This Row],[PEG]],Table1016[#All],2,FALSE)</f>
        <v>#N/A</v>
      </c>
      <c r="D41" s="117"/>
      <c r="E41" s="125" t="e">
        <f>VLOOKUP(Table25751975[[#This Row],[PEG]],Table1016[#All],3,FALSE)</f>
        <v>#N/A</v>
      </c>
    </row>
    <row r="42" spans="1:5" x14ac:dyDescent="0.35">
      <c r="A42" s="118">
        <v>35</v>
      </c>
      <c r="B42" s="114" t="s">
        <v>12</v>
      </c>
      <c r="C42" s="109" t="e">
        <f>VLOOKUP(Table25751975[[#This Row],[PEG]],Table1016[#All],2,FALSE)</f>
        <v>#N/A</v>
      </c>
      <c r="D42" s="115"/>
      <c r="E42" s="125" t="e">
        <f>VLOOKUP(Table25751975[[#This Row],[PEG]],Table1016[#All],3,FALSE)</f>
        <v>#N/A</v>
      </c>
    </row>
    <row r="43" spans="1:5" x14ac:dyDescent="0.35">
      <c r="A43" s="118">
        <v>36</v>
      </c>
      <c r="B43" s="114" t="s">
        <v>115</v>
      </c>
      <c r="C43" s="109" t="e">
        <f>VLOOKUP(Table25751975[[#This Row],[PEG]],Table1016[#All],2,FALSE)</f>
        <v>#N/A</v>
      </c>
      <c r="D43" s="115"/>
      <c r="E43" s="125" t="e">
        <f>VLOOKUP(Table25751975[[#This Row],[PEG]],Table1016[#All],3,FALSE)</f>
        <v>#N/A</v>
      </c>
    </row>
    <row r="44" spans="1:5" x14ac:dyDescent="0.35">
      <c r="A44" s="118">
        <v>37</v>
      </c>
      <c r="B44" s="114" t="s">
        <v>13</v>
      </c>
      <c r="C44" s="18" t="s">
        <v>13</v>
      </c>
      <c r="D44" s="115"/>
      <c r="E44" s="32"/>
    </row>
    <row r="45" spans="1:5" x14ac:dyDescent="0.35">
      <c r="C45" s="26"/>
    </row>
    <row r="46" spans="1:5" x14ac:dyDescent="0.35">
      <c r="C46" s="26"/>
    </row>
    <row r="47" spans="1:5" x14ac:dyDescent="0.35">
      <c r="C47" s="26"/>
    </row>
    <row r="48" spans="1:5" x14ac:dyDescent="0.35">
      <c r="C48" s="26"/>
    </row>
    <row r="49" spans="3:3" x14ac:dyDescent="0.35">
      <c r="C49" s="26"/>
    </row>
    <row r="50" spans="3:3" x14ac:dyDescent="0.35">
      <c r="C50" s="26"/>
    </row>
    <row r="51" spans="3:3" x14ac:dyDescent="0.35">
      <c r="C51" s="26"/>
    </row>
    <row r="52" spans="3:3" x14ac:dyDescent="0.35">
      <c r="C52" s="26"/>
    </row>
    <row r="53" spans="3:3" x14ac:dyDescent="0.35">
      <c r="C53" s="26"/>
    </row>
    <row r="54" spans="3:3" x14ac:dyDescent="0.35">
      <c r="C54" s="26"/>
    </row>
    <row r="55" spans="3:3" x14ac:dyDescent="0.35">
      <c r="C55" s="26"/>
    </row>
    <row r="56" spans="3:3" x14ac:dyDescent="0.35">
      <c r="C56" s="26"/>
    </row>
    <row r="57" spans="3:3" x14ac:dyDescent="0.35">
      <c r="C57" s="27"/>
    </row>
    <row r="58" spans="3:3" x14ac:dyDescent="0.35">
      <c r="C58" s="27"/>
    </row>
    <row r="59" spans="3:3" x14ac:dyDescent="0.35">
      <c r="C59" s="27"/>
    </row>
  </sheetData>
  <mergeCells count="1">
    <mergeCell ref="A1:B1"/>
  </mergeCells>
  <conditionalFormatting sqref="C45:C9998">
    <cfRule type="expression" dxfId="3297" priority="49">
      <formula>$B45="Dial"</formula>
    </cfRule>
    <cfRule type="expression" dxfId="3296" priority="51">
      <formula>$B45="HANGUP"</formula>
    </cfRule>
  </conditionalFormatting>
  <conditionalFormatting sqref="B30">
    <cfRule type="containsText" dxfId="3295" priority="4" operator="containsText" text="Hear">
      <formula>NOT(ISERROR(SEARCH("Hear",B30)))</formula>
    </cfRule>
  </conditionalFormatting>
  <conditionalFormatting sqref="B43:B44">
    <cfRule type="containsText" dxfId="3294" priority="14" operator="containsText" text="Hear">
      <formula>NOT(ISERROR(SEARCH("Hear",B43)))</formula>
    </cfRule>
  </conditionalFormatting>
  <conditionalFormatting sqref="E44">
    <cfRule type="containsText" dxfId="3293" priority="12" operator="containsText" text="WEB SERVICE">
      <formula>NOT(ISERROR(SEARCH("WEB SERVICE",E44)))</formula>
    </cfRule>
    <cfRule type="containsText" dxfId="3292" priority="13" operator="containsText" text="DB">
      <formula>NOT(ISERROR(SEARCH("DB",E44)))</formula>
    </cfRule>
  </conditionalFormatting>
  <conditionalFormatting sqref="C44">
    <cfRule type="expression" dxfId="3291" priority="15">
      <formula>$B44="Dial"</formula>
    </cfRule>
    <cfRule type="expression" dxfId="3290" priority="17">
      <formula>$B44="HANGUP"</formula>
    </cfRule>
  </conditionalFormatting>
  <conditionalFormatting sqref="C44">
    <cfRule type="expression" dxfId="3289" priority="16">
      <formula>$B44="Speak"</formula>
    </cfRule>
  </conditionalFormatting>
  <conditionalFormatting sqref="B8:B18">
    <cfRule type="containsText" dxfId="3288" priority="1" operator="containsText" text="Hear">
      <formula>NOT(ISERROR(SEARCH("Hear",B8)))</formula>
    </cfRule>
  </conditionalFormatting>
  <conditionalFormatting sqref="B36:B38 B40:B41">
    <cfRule type="containsText" dxfId="3287" priority="3" operator="containsText" text="Hear">
      <formula>NOT(ISERROR(SEARCH("Hear",B36)))</formula>
    </cfRule>
  </conditionalFormatting>
  <conditionalFormatting sqref="B19:B29 B31:B35 B42">
    <cfRule type="containsText" dxfId="3286" priority="5" operator="containsText" text="Hear">
      <formula>NOT(ISERROR(SEARCH("Hear",B19)))</formula>
    </cfRule>
  </conditionalFormatting>
  <hyperlinks>
    <hyperlink ref="A1" location="'Test Case Overview'!A1" display="Return to Test Case Overview" xr:uid="{00000000-0004-0000-5800-000000000000}"/>
  </hyperlinks>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expression" priority="27" id="{2B02D0FB-B74A-4530-8269-8AA641EFA972}">
            <xm:f>'TC1'!$B8="Speak"</xm:f>
            <x14:dxf>
              <font>
                <b/>
                <i val="0"/>
                <color rgb="FFFF0000"/>
              </font>
            </x14:dxf>
          </x14:cfRule>
          <xm:sqref>C8</xm:sqref>
        </x14:conditionalFormatting>
        <x14:conditionalFormatting xmlns:xm="http://schemas.microsoft.com/office/excel/2006/main">
          <x14:cfRule type="expression" priority="8" id="{121DF38D-D478-4241-95A6-0D5D9BCA7191}">
            <xm:f>'TC1'!$B8="HANGUP"</xm:f>
            <x14:dxf>
              <font>
                <b/>
                <i val="0"/>
              </font>
            </x14:dxf>
          </x14:cfRule>
          <x14:cfRule type="expression" priority="9" id="{E2EF9CCD-D029-43E4-8483-864DC3EFFC27}">
            <xm:f>'TC1'!$B8="Dial"</xm:f>
            <x14:dxf>
              <font>
                <b/>
                <i val="0"/>
                <color rgb="FFFF0000"/>
              </font>
            </x14:dxf>
          </x14:cfRule>
          <xm:sqref>C8</xm:sqref>
        </x14:conditionalFormatting>
        <x14:conditionalFormatting xmlns:xm="http://schemas.microsoft.com/office/excel/2006/main">
          <x14:cfRule type="containsText" priority="2" operator="containsText" text="Hear" id="{E759C865-DD24-4AFF-92F5-E2BF659719FA}">
            <xm:f>NOT(ISERROR(SEARCH("Hear",'TC3'!B34)))</xm:f>
            <x14:dxf>
              <font>
                <color theme="9" tint="-0.24994659260841701"/>
              </font>
              <fill>
                <patternFill>
                  <bgColor theme="9" tint="0.59996337778862885"/>
                </patternFill>
              </fill>
            </x14:dxf>
          </x14:cfRule>
          <xm:sqref>B41</xm:sqref>
        </x14:conditionalFormatting>
        <x14:conditionalFormatting xmlns:xm="http://schemas.microsoft.com/office/excel/2006/main">
          <x14:cfRule type="expression" priority="2022" id="{2B02D0FB-B74A-4530-8269-8AA641EFA972}">
            <xm:f>'TC1'!$B16="Speak"</xm:f>
            <x14:dxf>
              <font>
                <b/>
                <i val="0"/>
                <color rgb="FFFF0000"/>
              </font>
            </x14:dxf>
          </x14:cfRule>
          <xm:sqref>C34:C43</xm:sqref>
        </x14:conditionalFormatting>
        <x14:conditionalFormatting xmlns:xm="http://schemas.microsoft.com/office/excel/2006/main">
          <x14:cfRule type="expression" priority="2023" id="{2B02D0FB-B74A-4530-8269-8AA641EFA972}">
            <xm:f>'TC1'!#REF!="Speak"</xm:f>
            <x14:dxf>
              <font>
                <b/>
                <i val="0"/>
                <color rgb="FFFF0000"/>
              </font>
            </x14:dxf>
          </x14:cfRule>
          <xm:sqref>C17:C33</xm:sqref>
        </x14:conditionalFormatting>
        <x14:conditionalFormatting xmlns:xm="http://schemas.microsoft.com/office/excel/2006/main">
          <x14:cfRule type="expression" priority="2027" id="{121DF38D-D478-4241-95A6-0D5D9BCA7191}">
            <xm:f>'TC1'!$B16="HANGUP"</xm:f>
            <x14:dxf>
              <font>
                <b/>
                <i val="0"/>
              </font>
            </x14:dxf>
          </x14:cfRule>
          <x14:cfRule type="expression" priority="2028" id="{E2EF9CCD-D029-43E4-8483-864DC3EFFC27}">
            <xm:f>'TC1'!$B16="Dial"</xm:f>
            <x14:dxf>
              <font>
                <b/>
                <i val="0"/>
                <color rgb="FFFF0000"/>
              </font>
            </x14:dxf>
          </x14:cfRule>
          <xm:sqref>C34:C43</xm:sqref>
        </x14:conditionalFormatting>
        <x14:conditionalFormatting xmlns:xm="http://schemas.microsoft.com/office/excel/2006/main">
          <x14:cfRule type="expression" priority="2029" id="{121DF38D-D478-4241-95A6-0D5D9BCA7191}">
            <xm:f>'TC1'!#REF!="HANGUP"</xm:f>
            <x14:dxf>
              <font>
                <b/>
                <i val="0"/>
              </font>
            </x14:dxf>
          </x14:cfRule>
          <x14:cfRule type="expression" priority="2030" id="{E2EF9CCD-D029-43E4-8483-864DC3EFFC27}">
            <xm:f>'TC1'!#REF!="Dial"</xm:f>
            <x14:dxf>
              <font>
                <b/>
                <i val="0"/>
                <color rgb="FFFF0000"/>
              </font>
            </x14:dxf>
          </x14:cfRule>
          <xm:sqref>C17:C33</xm:sqref>
        </x14:conditionalFormatting>
        <x14:conditionalFormatting xmlns:xm="http://schemas.microsoft.com/office/excel/2006/main">
          <x14:cfRule type="containsText" priority="2035" operator="containsText" text="DB" id="{CEF0DD79-E528-4E25-A3F0-C0A2A6FAF742}">
            <xm:f>NOT(ISERROR(SEARCH("DB",'TC1'!E16)))</xm:f>
            <x14:dxf>
              <font>
                <color rgb="FF006100"/>
              </font>
              <fill>
                <patternFill>
                  <bgColor rgb="FFC6EFCE"/>
                </patternFill>
              </fill>
            </x14:dxf>
          </x14:cfRule>
          <x14:cfRule type="containsText" priority="2036" operator="containsText" text="WEB SERVICE" id="{D72A3CE4-7715-40C5-A548-81D5EDCEB7E3}">
            <xm:f>NOT(ISERROR(SEARCH("WEB SERVICE",'TC1'!E16)))</xm:f>
            <x14:dxf>
              <font>
                <color rgb="FF9C0006"/>
              </font>
              <fill>
                <patternFill>
                  <bgColor rgb="FFFFC7CE"/>
                </patternFill>
              </fill>
            </x14:dxf>
          </x14:cfRule>
          <xm:sqref>E34:E43</xm:sqref>
        </x14:conditionalFormatting>
        <x14:conditionalFormatting xmlns:xm="http://schemas.microsoft.com/office/excel/2006/main">
          <x14:cfRule type="containsText" priority="2037" operator="containsText" text="DB" id="{CEF0DD79-E528-4E25-A3F0-C0A2A6FAF742}">
            <xm:f>NOT(ISERROR(SEARCH("DB",'TC1'!#REF!)))</xm:f>
            <x14:dxf>
              <font>
                <color rgb="FF006100"/>
              </font>
              <fill>
                <patternFill>
                  <bgColor rgb="FFC6EFCE"/>
                </patternFill>
              </fill>
            </x14:dxf>
          </x14:cfRule>
          <x14:cfRule type="containsText" priority="2038" operator="containsText" text="WEB SERVICE" id="{D72A3CE4-7715-40C5-A548-81D5EDCEB7E3}">
            <xm:f>NOT(ISERROR(SEARCH("WEB SERVICE",'TC1'!#REF!)))</xm:f>
            <x14:dxf>
              <font>
                <color rgb="FF9C0006"/>
              </font>
              <fill>
                <patternFill>
                  <bgColor rgb="FFFFC7CE"/>
                </patternFill>
              </fill>
            </x14:dxf>
          </x14:cfRule>
          <xm:sqref>E17:E33</xm:sqref>
        </x14:conditionalFormatting>
        <x14:conditionalFormatting xmlns:xm="http://schemas.microsoft.com/office/excel/2006/main">
          <x14:cfRule type="expression" priority="4758" id="{2B02D0FB-B74A-4530-8269-8AA641EFA972}">
            <xm:f>'TC1'!$B9="Speak"</xm:f>
            <x14:dxf>
              <font>
                <b/>
                <i val="0"/>
                <color rgb="FFFF0000"/>
              </font>
            </x14:dxf>
          </x14:cfRule>
          <xm:sqref>C12:C15</xm:sqref>
        </x14:conditionalFormatting>
        <x14:conditionalFormatting xmlns:xm="http://schemas.microsoft.com/office/excel/2006/main">
          <x14:cfRule type="expression" priority="4759" id="{2B02D0FB-B74A-4530-8269-8AA641EFA972}">
            <xm:f>'TC1'!#REF!="Speak"</xm:f>
            <x14:dxf>
              <font>
                <b/>
                <i val="0"/>
                <color rgb="FFFF0000"/>
              </font>
            </x14:dxf>
          </x14:cfRule>
          <xm:sqref>C9:C11</xm:sqref>
        </x14:conditionalFormatting>
        <x14:conditionalFormatting xmlns:xm="http://schemas.microsoft.com/office/excel/2006/main">
          <x14:cfRule type="expression" priority="4763" id="{121DF38D-D478-4241-95A6-0D5D9BCA7191}">
            <xm:f>'TC1'!$B9="HANGUP"</xm:f>
            <x14:dxf>
              <font>
                <b/>
                <i val="0"/>
              </font>
            </x14:dxf>
          </x14:cfRule>
          <x14:cfRule type="expression" priority="4764" id="{E2EF9CCD-D029-43E4-8483-864DC3EFFC27}">
            <xm:f>'TC1'!$B9="Dial"</xm:f>
            <x14:dxf>
              <font>
                <b/>
                <i val="0"/>
                <color rgb="FFFF0000"/>
              </font>
            </x14:dxf>
          </x14:cfRule>
          <xm:sqref>C12:C15</xm:sqref>
        </x14:conditionalFormatting>
        <x14:conditionalFormatting xmlns:xm="http://schemas.microsoft.com/office/excel/2006/main">
          <x14:cfRule type="expression" priority="4765" id="{121DF38D-D478-4241-95A6-0D5D9BCA7191}">
            <xm:f>'TC1'!#REF!="HANGUP"</xm:f>
            <x14:dxf>
              <font>
                <b/>
                <i val="0"/>
              </font>
            </x14:dxf>
          </x14:cfRule>
          <x14:cfRule type="expression" priority="4766" id="{E2EF9CCD-D029-43E4-8483-864DC3EFFC27}">
            <xm:f>'TC1'!#REF!="Dial"</xm:f>
            <x14:dxf>
              <font>
                <b/>
                <i val="0"/>
                <color rgb="FFFF0000"/>
              </font>
            </x14:dxf>
          </x14:cfRule>
          <xm:sqref>C9:C11</xm:sqref>
        </x14:conditionalFormatting>
        <x14:conditionalFormatting xmlns:xm="http://schemas.microsoft.com/office/excel/2006/main">
          <x14:cfRule type="containsText" priority="4769" operator="containsText" text="DB" id="{CEF0DD79-E528-4E25-A3F0-C0A2A6FAF742}">
            <xm:f>NOT(ISERROR(SEARCH("DB",'TC1'!#REF!)))</xm:f>
            <x14:dxf>
              <font>
                <color rgb="FF006100"/>
              </font>
              <fill>
                <patternFill>
                  <bgColor rgb="FFC6EFCE"/>
                </patternFill>
              </fill>
            </x14:dxf>
          </x14:cfRule>
          <x14:cfRule type="containsText" priority="4770" operator="containsText" text="WEB SERVICE" id="{D72A3CE4-7715-40C5-A548-81D5EDCEB7E3}">
            <xm:f>NOT(ISERROR(SEARCH("WEB SERVICE",'TC1'!#REF!)))</xm:f>
            <x14:dxf>
              <font>
                <color rgb="FF9C0006"/>
              </font>
              <fill>
                <patternFill>
                  <bgColor rgb="FFFFC7CE"/>
                </patternFill>
              </fill>
            </x14:dxf>
          </x14:cfRule>
          <xm:sqref>E9:E11</xm:sqref>
        </x14:conditionalFormatting>
        <x14:conditionalFormatting xmlns:xm="http://schemas.microsoft.com/office/excel/2006/main">
          <x14:cfRule type="containsText" priority="4771" operator="containsText" text="DB" id="{CEF0DD79-E528-4E25-A3F0-C0A2A6FAF742}">
            <xm:f>NOT(ISERROR(SEARCH("DB",'TC1'!E9)))</xm:f>
            <x14:dxf>
              <font>
                <color rgb="FF006100"/>
              </font>
              <fill>
                <patternFill>
                  <bgColor rgb="FFC6EFCE"/>
                </patternFill>
              </fill>
            </x14:dxf>
          </x14:cfRule>
          <x14:cfRule type="containsText" priority="4772" operator="containsText" text="WEB SERVICE" id="{D72A3CE4-7715-40C5-A548-81D5EDCEB7E3}">
            <xm:f>NOT(ISERROR(SEARCH("WEB SERVICE",'TC1'!E9)))</xm:f>
            <x14:dxf>
              <font>
                <color rgb="FF9C0006"/>
              </font>
              <fill>
                <patternFill>
                  <bgColor rgb="FFFFC7CE"/>
                </patternFill>
              </fill>
            </x14:dxf>
          </x14:cfRule>
          <xm:sqref>E12:E15</xm:sqref>
        </x14:conditionalFormatting>
        <x14:conditionalFormatting xmlns:xm="http://schemas.microsoft.com/office/excel/2006/main">
          <x14:cfRule type="expression" priority="7144" id="{2B02D0FB-B74A-4530-8269-8AA641EFA972}">
            <xm:f>'TC1'!$B15="Speak"</xm:f>
            <x14:dxf>
              <font>
                <b/>
                <i val="0"/>
                <color rgb="FFFF0000"/>
              </font>
            </x14:dxf>
          </x14:cfRule>
          <xm:sqref>C16</xm:sqref>
        </x14:conditionalFormatting>
        <x14:conditionalFormatting xmlns:xm="http://schemas.microsoft.com/office/excel/2006/main">
          <x14:cfRule type="expression" priority="7147" id="{121DF38D-D478-4241-95A6-0D5D9BCA7191}">
            <xm:f>'TC1'!$B15="HANGUP"</xm:f>
            <x14:dxf>
              <font>
                <b/>
                <i val="0"/>
              </font>
            </x14:dxf>
          </x14:cfRule>
          <x14:cfRule type="expression" priority="7148" id="{E2EF9CCD-D029-43E4-8483-864DC3EFFC27}">
            <xm:f>'TC1'!$B15="Dial"</xm:f>
            <x14:dxf>
              <font>
                <b/>
                <i val="0"/>
                <color rgb="FFFF0000"/>
              </font>
            </x14:dxf>
          </x14:cfRule>
          <xm:sqref>C16</xm:sqref>
        </x14:conditionalFormatting>
        <x14:conditionalFormatting xmlns:xm="http://schemas.microsoft.com/office/excel/2006/main">
          <x14:cfRule type="containsText" priority="7151" operator="containsText" text="DB" id="{CEF0DD79-E528-4E25-A3F0-C0A2A6FAF742}">
            <xm:f>NOT(ISERROR(SEARCH("DB",'TC1'!E15)))</xm:f>
            <x14:dxf>
              <font>
                <color rgb="FF006100"/>
              </font>
              <fill>
                <patternFill>
                  <bgColor rgb="FFC6EFCE"/>
                </patternFill>
              </fill>
            </x14:dxf>
          </x14:cfRule>
          <x14:cfRule type="containsText" priority="7152" operator="containsText" text="WEB SERVICE" id="{D72A3CE4-7715-40C5-A548-81D5EDCEB7E3}">
            <xm:f>NOT(ISERROR(SEARCH("WEB SERVICE",'TC1'!E15)))</xm:f>
            <x14:dxf>
              <font>
                <color rgb="FF9C0006"/>
              </font>
              <fill>
                <patternFill>
                  <bgColor rgb="FFFFC7CE"/>
                </patternFill>
              </fill>
            </x14:dxf>
          </x14:cfRule>
          <xm:sqref>E16</xm:sqref>
        </x14:conditionalFormatting>
        <x14:conditionalFormatting xmlns:xm="http://schemas.microsoft.com/office/excel/2006/main">
          <x14:cfRule type="containsText" priority="9594" operator="containsText" text="Hear" id="{E6AD8B2B-7F98-4FCF-9EA3-AD326E7CFD08}">
            <xm:f>NOT(ISERROR(SEARCH("Hear",'TC26'!#REF!)))</xm:f>
            <x14:dxf>
              <font>
                <color theme="9" tint="-0.24994659260841701"/>
              </font>
              <fill>
                <patternFill>
                  <bgColor theme="9" tint="0.59996337778862885"/>
                </patternFill>
              </fill>
            </x14:dxf>
          </x14:cfRule>
          <xm:sqref>B39</xm:sqref>
        </x14:conditionalFormatting>
      </x14:conditionalFormatting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0"/>
  <dimension ref="A1:E47"/>
  <sheetViews>
    <sheetView topLeftCell="A12" zoomScaleNormal="100" workbookViewId="0">
      <selection activeCell="D23" sqref="D23"/>
    </sheetView>
  </sheetViews>
  <sheetFormatPr defaultRowHeight="14.5" x14ac:dyDescent="0.35"/>
  <cols>
    <col min="1" max="1" width="14.453125" style="97" bestFit="1" customWidth="1"/>
    <col min="2" max="2" width="42.6328125" style="97" customWidth="1"/>
    <col min="3" max="3" width="106.1796875" style="98" customWidth="1"/>
    <col min="4" max="4" width="21.81640625" style="111" bestFit="1" customWidth="1"/>
    <col min="5" max="5" width="20.6328125" style="97" customWidth="1"/>
  </cols>
  <sheetData>
    <row r="1" spans="1:5" ht="18.5" x14ac:dyDescent="0.35">
      <c r="A1" s="193" t="s">
        <v>4</v>
      </c>
      <c r="B1" s="194"/>
      <c r="C1" s="105"/>
    </row>
    <row r="2" spans="1:5" x14ac:dyDescent="0.35">
      <c r="A2" s="106" t="s">
        <v>5</v>
      </c>
      <c r="B2" s="107" t="str">
        <f ca="1">MID(CELL("filename",A1),FIND("]",CELL("filename",A1))+1,LEN(CELL("filename",A1))-FIND("]",CELL("filename",A1)))</f>
        <v>TC8</v>
      </c>
    </row>
    <row r="3" spans="1:5" x14ac:dyDescent="0.35">
      <c r="A3" s="104" t="s">
        <v>19</v>
      </c>
      <c r="B3" s="112">
        <f ca="1">VLOOKUP(B2,Table1[#All],2,FALSE)</f>
        <v>0</v>
      </c>
    </row>
    <row r="4" spans="1:5" ht="29" x14ac:dyDescent="0.35">
      <c r="A4" s="113" t="s">
        <v>20</v>
      </c>
      <c r="B4" s="99" t="str">
        <f ca="1">VLOOKUP(B2,Table1[#All],4,FALSE)</f>
        <v>Not declined, Last Pmt, Update Credit Card, Confirm YES</v>
      </c>
    </row>
    <row r="5" spans="1:5" x14ac:dyDescent="0.35">
      <c r="A5" s="104" t="s">
        <v>6</v>
      </c>
      <c r="B5" s="93" t="str">
        <f ca="1">VLOOKUP(B2,Table1[#All],3,FALSE)</f>
        <v>Recurring Update Information - Credit</v>
      </c>
    </row>
    <row r="7" spans="1:5" ht="15.5" x14ac:dyDescent="0.35">
      <c r="A7" s="100" t="s">
        <v>7</v>
      </c>
      <c r="B7" s="101" t="s">
        <v>8</v>
      </c>
      <c r="C7" s="102" t="s">
        <v>9</v>
      </c>
      <c r="D7" s="102" t="s">
        <v>14</v>
      </c>
      <c r="E7" s="103" t="s">
        <v>10</v>
      </c>
    </row>
    <row r="8" spans="1:5" x14ac:dyDescent="0.35">
      <c r="A8" s="118">
        <v>1</v>
      </c>
      <c r="B8" s="114" t="s">
        <v>114</v>
      </c>
      <c r="C8" s="127" t="s">
        <v>240</v>
      </c>
      <c r="D8" s="128"/>
      <c r="E8" s="125" t="s">
        <v>11</v>
      </c>
    </row>
    <row r="9" spans="1:5" x14ac:dyDescent="0.35">
      <c r="A9" s="118">
        <v>2</v>
      </c>
      <c r="B9" s="114" t="s">
        <v>115</v>
      </c>
      <c r="C9" s="109" t="str">
        <f>VLOOKUP(Table257552526911122021222361[[#This Row],[PEG]],Table1016[#All],2,FALSE)</f>
        <v>To get started, tell me your Account Number</v>
      </c>
      <c r="D9" s="141" t="s">
        <v>245</v>
      </c>
      <c r="E9" s="125" t="str">
        <f>VLOOKUP(Table257552526911122021222361[[#This Row],[PEG]],Table1016[#All],3,FALSE)</f>
        <v>Prompt</v>
      </c>
    </row>
    <row r="10" spans="1:5" x14ac:dyDescent="0.35">
      <c r="A10" s="118">
        <v>3</v>
      </c>
      <c r="B10" s="114" t="s">
        <v>124</v>
      </c>
      <c r="C10" s="109" t="s">
        <v>394</v>
      </c>
      <c r="D10" s="151"/>
      <c r="E10" s="125" t="e">
        <f>VLOOKUP(Table257552526911122021222361[[#This Row],[PEG]],Table1016[#All],3,FALSE)</f>
        <v>#N/A</v>
      </c>
    </row>
    <row r="11" spans="1:5" ht="174" x14ac:dyDescent="0.35">
      <c r="A11" s="118">
        <v>4</v>
      </c>
      <c r="B11" s="114" t="s">
        <v>12</v>
      </c>
      <c r="C11" s="109" t="str">
        <f>VLOOKUP(Table257552526911122021222361[[#This Row],[PEG]],Table1016[#All],2,FALSE)</f>
        <v>SAP HANA – SAP01_GetMember
inputs:
idnumber = iIdnumber	T
idtype 	= iIdtype
outputs:
~ Billing Reference
~ Enrollment Details
~ Billing Details
~ Last Payment
~ Recurring Payment Method
~ Stored Payment Method</v>
      </c>
      <c r="D11" s="152" t="s">
        <v>371</v>
      </c>
      <c r="E11" s="125" t="str">
        <f>VLOOKUP(Table257552526911122021222361[[#This Row],[PEG]],Table1016[#All],3,FALSE)</f>
        <v>DB</v>
      </c>
    </row>
    <row r="12" spans="1:5" x14ac:dyDescent="0.35">
      <c r="A12" s="118">
        <v>5</v>
      </c>
      <c r="B12" s="114" t="s">
        <v>115</v>
      </c>
      <c r="C12" s="109" t="str">
        <f>VLOOKUP(Table257552526911122021222361[[#This Row],[PEG]],Table1016[#All],2,FALSE)</f>
        <v>Thanks, I found your account!</v>
      </c>
      <c r="D12" s="141" t="s">
        <v>248</v>
      </c>
      <c r="E12" s="125" t="str">
        <f>VLOOKUP(Table257552526911122021222361[[#This Row],[PEG]],Table1016[#All],3,FALSE)</f>
        <v>Prompt</v>
      </c>
    </row>
    <row r="13" spans="1:5" ht="29" x14ac:dyDescent="0.35">
      <c r="A13" s="118">
        <v>6</v>
      </c>
      <c r="B13" s="114" t="s">
        <v>115</v>
      </c>
      <c r="C13" s="109" t="str">
        <f>VLOOKUP(Table257552526911122021222361[[#This Row],[PEG]],Table1016[#All],2,FALSE)</f>
        <v>You are already setup for recurring payments in the amount of &lt;SAP01_CurrentDue&gt; to be deducted on the last day of each month.</v>
      </c>
      <c r="D13" s="142" t="s">
        <v>266</v>
      </c>
      <c r="E13" s="125" t="str">
        <f>VLOOKUP(Table257552526911122021222361[[#This Row],[PEG]],Table1016[#All],3,FALSE)</f>
        <v>Prompt</v>
      </c>
    </row>
    <row r="14" spans="1:5" x14ac:dyDescent="0.35">
      <c r="A14" s="118">
        <v>7</v>
      </c>
      <c r="B14" s="114" t="s">
        <v>115</v>
      </c>
      <c r="C14" s="130" t="str">
        <f>VLOOKUP(Table257552526911122021222361[[#This Row],[PEG]],Table1016[#All],2,FALSE)</f>
        <v>Your last payment was posted on &lt;SAP01_ivrLastPaymentDate&gt;.</v>
      </c>
      <c r="D14" s="143" t="s">
        <v>271</v>
      </c>
      <c r="E14" s="125" t="str">
        <f>VLOOKUP(Table257552526911122021222361[[#This Row],[PEG]],Table1016[#All],3,FALSE)</f>
        <v>Prompt</v>
      </c>
    </row>
    <row r="15" spans="1:5" x14ac:dyDescent="0.35">
      <c r="A15" s="118">
        <v>8</v>
      </c>
      <c r="B15" s="114" t="s">
        <v>115</v>
      </c>
      <c r="C15" s="109" t="str">
        <f>VLOOKUP(Table257552526911122021222361[[#This Row],[PEG]],Table1016[#All],2,FALSE)</f>
        <v>Do you need to update your payment information?</v>
      </c>
      <c r="D15" s="143" t="s">
        <v>272</v>
      </c>
      <c r="E15" s="125" t="str">
        <f>VLOOKUP(Table257552526911122021222361[[#This Row],[PEG]],Table1016[#All],3,FALSE)</f>
        <v>Prompt</v>
      </c>
    </row>
    <row r="16" spans="1:5" x14ac:dyDescent="0.35">
      <c r="A16" s="118">
        <v>9</v>
      </c>
      <c r="B16" s="114" t="s">
        <v>124</v>
      </c>
      <c r="C16" s="127" t="s">
        <v>388</v>
      </c>
      <c r="D16" s="143"/>
      <c r="E16" s="125" t="e">
        <f>VLOOKUP(Table257552526911122021222361[[#This Row],[PEG]],Table1016[#All],3,FALSE)</f>
        <v>#N/A</v>
      </c>
    </row>
    <row r="17" spans="1:5" x14ac:dyDescent="0.35">
      <c r="A17" s="118">
        <v>10</v>
      </c>
      <c r="B17" s="114" t="s">
        <v>115</v>
      </c>
      <c r="C17" s="109" t="str">
        <f>VLOOKUP(Table257552526911122021222361[[#This Row],[PEG]],Table1016[#All],2,FALSE)</f>
        <v>Ok, are you using Credit, Debit, Checking or Savings?</v>
      </c>
      <c r="D17" s="143" t="s">
        <v>286</v>
      </c>
      <c r="E17" s="125" t="str">
        <f>VLOOKUP(Table257552526911122021222361[[#This Row],[PEG]],Table1016[#All],3,FALSE)</f>
        <v>Prompt</v>
      </c>
    </row>
    <row r="18" spans="1:5" x14ac:dyDescent="0.35">
      <c r="A18" s="118">
        <v>11</v>
      </c>
      <c r="B18" s="114" t="s">
        <v>124</v>
      </c>
      <c r="C18" s="109" t="s">
        <v>397</v>
      </c>
      <c r="D18" s="143"/>
      <c r="E18" s="125" t="e">
        <f>VLOOKUP(Table257552526911122021222361[[#This Row],[PEG]],Table1016[#All],3,FALSE)</f>
        <v>#N/A</v>
      </c>
    </row>
    <row r="19" spans="1:5" x14ac:dyDescent="0.35">
      <c r="A19" s="118">
        <v>12</v>
      </c>
      <c r="B19" s="114" t="s">
        <v>115</v>
      </c>
      <c r="C19" s="109" t="str">
        <f>VLOOKUP(Table257552526911122021222361[[#This Row],[PEG]],Table1016[#All],2,FALSE)</f>
        <v>Tell me the card number you wish to use.</v>
      </c>
      <c r="D19" s="143" t="s">
        <v>318</v>
      </c>
      <c r="E19" s="125" t="str">
        <f>VLOOKUP(Table257552526911122021222361[[#This Row],[PEG]],Table1016[#All],3,FALSE)</f>
        <v>Prompt</v>
      </c>
    </row>
    <row r="20" spans="1:5" x14ac:dyDescent="0.35">
      <c r="A20" s="118">
        <v>13</v>
      </c>
      <c r="B20" s="114" t="s">
        <v>124</v>
      </c>
      <c r="C20" s="109" t="s">
        <v>398</v>
      </c>
      <c r="D20" s="143"/>
      <c r="E20" s="125" t="e">
        <f>VLOOKUP(Table257552526911122021222361[[#This Row],[PEG]],Table1016[#All],3,FALSE)</f>
        <v>#N/A</v>
      </c>
    </row>
    <row r="21" spans="1:5" x14ac:dyDescent="0.35">
      <c r="A21" s="118">
        <v>14</v>
      </c>
      <c r="B21" s="114" t="s">
        <v>115</v>
      </c>
      <c r="C21" s="109" t="str">
        <f>VLOOKUP(Table257552526911122021222361[[#This Row],[PEG]],Table1016[#All],2,FALSE)</f>
        <v>Is &lt;ivrCardNbr&gt; the right number?</v>
      </c>
      <c r="D21" s="143" t="s">
        <v>320</v>
      </c>
      <c r="E21" s="125">
        <f>VLOOKUP(Table257552526911122021222361[[#This Row],[PEG]],Table1016[#All],3,FALSE)</f>
        <v>0</v>
      </c>
    </row>
    <row r="22" spans="1:5" x14ac:dyDescent="0.35">
      <c r="A22" s="118">
        <v>15</v>
      </c>
      <c r="B22" s="114" t="s">
        <v>124</v>
      </c>
      <c r="C22" s="109" t="s">
        <v>388</v>
      </c>
      <c r="D22" s="143"/>
      <c r="E22" s="125" t="e">
        <f>VLOOKUP(Table257552526911122021222361[[#This Row],[PEG]],Table1016[#All],3,FALSE)</f>
        <v>#N/A</v>
      </c>
    </row>
    <row r="23" spans="1:5" ht="29" x14ac:dyDescent="0.35">
      <c r="A23" s="118">
        <v>16</v>
      </c>
      <c r="B23" s="114" t="s">
        <v>115</v>
      </c>
      <c r="C23" s="109" t="str">
        <f>VLOOKUP(Table257552526911122021222361[[#This Row],[PEG]],Table1016[#All],2,FALSE)</f>
        <v>Now, what is the expiration date?  Just say it like this, March &lt;Current Year +3&gt; 
Now go ahead.</v>
      </c>
      <c r="D23" s="143" t="s">
        <v>323</v>
      </c>
      <c r="E23" s="125" t="str">
        <f>VLOOKUP(Table257552526911122021222361[[#This Row],[PEG]],Table1016[#All],3,FALSE)</f>
        <v>Prompt</v>
      </c>
    </row>
    <row r="24" spans="1:5" s="97" customFormat="1" ht="14.5" customHeight="1" x14ac:dyDescent="0.35">
      <c r="A24" s="118">
        <v>17</v>
      </c>
      <c r="B24" s="114" t="s">
        <v>124</v>
      </c>
      <c r="C24" s="109" t="s">
        <v>399</v>
      </c>
      <c r="D24" s="143"/>
      <c r="E24" s="125" t="e">
        <f>VLOOKUP(Table257552526911122021222361[[#This Row],[PEG]],Table1016[#All],3,FALSE)</f>
        <v>#N/A</v>
      </c>
    </row>
    <row r="25" spans="1:5" s="97" customFormat="1" ht="29" x14ac:dyDescent="0.35">
      <c r="A25" s="118">
        <v>18</v>
      </c>
      <c r="B25" s="114" t="s">
        <v>115</v>
      </c>
      <c r="C25" s="130" t="str">
        <f>VLOOKUP(Table257552526911122021222361[[#This Row],[PEG]],Table1016[#All],2,FALSE)</f>
        <v>To confirm, you want to update your account with a card ending in &lt;last 4 digits of ivrCardNbr&gt;.
Is that right?</v>
      </c>
      <c r="D25" s="143" t="s">
        <v>334</v>
      </c>
      <c r="E25" s="125" t="str">
        <f>VLOOKUP(Table257552526911122021222361[[#This Row],[PEG]],Table1016[#All],3,FALSE)</f>
        <v>Prompt</v>
      </c>
    </row>
    <row r="26" spans="1:5" s="97" customFormat="1" x14ac:dyDescent="0.35">
      <c r="A26" s="118">
        <v>19</v>
      </c>
      <c r="B26" s="114" t="s">
        <v>124</v>
      </c>
      <c r="C26" s="127" t="s">
        <v>388</v>
      </c>
      <c r="D26" s="143"/>
      <c r="E26" s="125" t="e">
        <f>VLOOKUP(Table257552526911122021222361[[#This Row],[PEG]],Table1016[#All],3,FALSE)</f>
        <v>#N/A</v>
      </c>
    </row>
    <row r="27" spans="1:5" s="97" customFormat="1" ht="116" x14ac:dyDescent="0.35">
      <c r="A27" s="118">
        <v>20</v>
      </c>
      <c r="B27" s="114" t="s">
        <v>12</v>
      </c>
      <c r="C27" s="109" t="str">
        <f>VLOOKUP(Table257552526911122021222361[[#This Row],[PEG]],Table1016[#All],2,FALSE)</f>
        <v xml:space="preserve">CyberSource – CYB03_CreateInstrumentIdentifier
Input a card number and receive an instrumentIdentifier.
inputs:
card_number = ivrCardNbr		
outputs:
CYB03_cardTokenId			</v>
      </c>
      <c r="D27" s="143" t="s">
        <v>383</v>
      </c>
      <c r="E27" s="125" t="str">
        <f>VLOOKUP(Table257552526911122021222361[[#This Row],[PEG]],Table1016[#All],3,FALSE)</f>
        <v>DB</v>
      </c>
    </row>
    <row r="28" spans="1:5" s="97" customFormat="1" ht="232" x14ac:dyDescent="0.35">
      <c r="A28" s="118">
        <v>21</v>
      </c>
      <c r="B28" s="114" t="s">
        <v>12</v>
      </c>
      <c r="C28" s="109" t="str">
        <f>VLOOKUP(Table257552526911122021222361[[#This Row],[PEG]],Table1016[#All],2,FALSE)</f>
        <v xml:space="preserve">SAP HANA – SAP05_CreateCardPaymentMethod
inputs:
Businesspartner = SAP01_Partner
Insobject = SAP01_Insobject
CardNumber = CYB03_cardTokenId	
CreditcardnameName  = ivrFirstName + ' ' + ivrLastName
CardType = ivrCardType	
CardExpiration	= ivrExpiration 	
Last4Digits = ivrLast4Digits    
RecurringCarD  = "X"          	
StoredCard = "X"           
DeleteCard = " "	
outputs:
SAP05_ConfirmationNum	
</v>
      </c>
      <c r="D28" s="143" t="s">
        <v>379</v>
      </c>
      <c r="E28" s="125" t="str">
        <f>VLOOKUP(Table257552526911122021222361[[#This Row],[PEG]],Table1016[#All],3,FALSE)</f>
        <v>DB</v>
      </c>
    </row>
    <row r="29" spans="1:5" s="97" customFormat="1" ht="43.5" x14ac:dyDescent="0.35">
      <c r="A29" s="118">
        <v>22</v>
      </c>
      <c r="B29" s="114" t="s">
        <v>115</v>
      </c>
      <c r="C29" s="109" t="str">
        <f>VLOOKUP(Table257552526911122021222361[[#This Row],[PEG]],Table1016[#All],2,FALSE)</f>
        <v>Your payment method has been updated.
Your confirmation number is &lt;SAP04_ConfirmationNum&gt;.
Again, that confirmation number is &lt;SAP04_ConfirmationNum&gt;.</v>
      </c>
      <c r="D29" s="143" t="s">
        <v>337</v>
      </c>
      <c r="E29" s="125" t="str">
        <f>VLOOKUP(Table257552526911122021222361[[#This Row],[PEG]],Table1016[#All],3,FALSE)</f>
        <v>Prompt</v>
      </c>
    </row>
    <row r="30" spans="1:5" s="97" customFormat="1" x14ac:dyDescent="0.35">
      <c r="A30" s="118">
        <v>23</v>
      </c>
      <c r="B30" s="114" t="s">
        <v>13</v>
      </c>
      <c r="C30" s="109" t="s">
        <v>13</v>
      </c>
      <c r="D30" s="143"/>
      <c r="E30" s="125" t="e">
        <f>VLOOKUP(Table257552526911122021222361[[#This Row],[PEG]],Table1016[#All],3,FALSE)</f>
        <v>#N/A</v>
      </c>
    </row>
    <row r="31" spans="1:5" x14ac:dyDescent="0.35">
      <c r="C31" s="26"/>
    </row>
    <row r="32" spans="1:5" x14ac:dyDescent="0.35">
      <c r="C32" s="26"/>
    </row>
    <row r="33" spans="3:3" x14ac:dyDescent="0.35">
      <c r="C33" s="26"/>
    </row>
    <row r="34" spans="3:3" x14ac:dyDescent="0.35">
      <c r="C34" s="26"/>
    </row>
    <row r="35" spans="3:3" x14ac:dyDescent="0.35">
      <c r="C35" s="26"/>
    </row>
    <row r="36" spans="3:3" x14ac:dyDescent="0.35">
      <c r="C36" s="26"/>
    </row>
    <row r="37" spans="3:3" x14ac:dyDescent="0.35">
      <c r="C37" s="26"/>
    </row>
    <row r="38" spans="3:3" x14ac:dyDescent="0.35">
      <c r="C38" s="26"/>
    </row>
    <row r="39" spans="3:3" x14ac:dyDescent="0.35">
      <c r="C39" s="26"/>
    </row>
    <row r="40" spans="3:3" x14ac:dyDescent="0.35">
      <c r="C40" s="26"/>
    </row>
    <row r="41" spans="3:3" x14ac:dyDescent="0.35">
      <c r="C41" s="26"/>
    </row>
    <row r="42" spans="3:3" x14ac:dyDescent="0.35">
      <c r="C42" s="26"/>
    </row>
    <row r="43" spans="3:3" x14ac:dyDescent="0.35">
      <c r="C43" s="26"/>
    </row>
    <row r="44" spans="3:3" x14ac:dyDescent="0.35">
      <c r="C44" s="26"/>
    </row>
    <row r="45" spans="3:3" x14ac:dyDescent="0.35">
      <c r="C45" s="27"/>
    </row>
    <row r="46" spans="3:3" x14ac:dyDescent="0.35">
      <c r="C46" s="27"/>
    </row>
    <row r="47" spans="3:3" x14ac:dyDescent="0.35">
      <c r="C47" s="27"/>
    </row>
  </sheetData>
  <mergeCells count="1">
    <mergeCell ref="A1:B1"/>
  </mergeCells>
  <conditionalFormatting sqref="C27:C9986 C9:C13">
    <cfRule type="expression" dxfId="5812" priority="34">
      <formula>$B9="Dial"</formula>
    </cfRule>
    <cfRule type="expression" dxfId="5811" priority="36">
      <formula>$B9="HANGUP"</formula>
    </cfRule>
  </conditionalFormatting>
  <conditionalFormatting sqref="C26 C16">
    <cfRule type="expression" dxfId="5810" priority="3">
      <formula>$B16="Dial"</formula>
    </cfRule>
    <cfRule type="expression" dxfId="5809" priority="4">
      <formula>$B16="HANGUP"</formula>
    </cfRule>
  </conditionalFormatting>
  <conditionalFormatting sqref="B8:B30">
    <cfRule type="containsText" dxfId="5808" priority="7" operator="containsText" text="Hear">
      <formula>NOT(ISERROR(SEARCH("Hear",B8)))</formula>
    </cfRule>
  </conditionalFormatting>
  <conditionalFormatting sqref="C15 C17:C24">
    <cfRule type="expression" dxfId="5807" priority="8">
      <formula>$B15="Dial"</formula>
    </cfRule>
    <cfRule type="expression" dxfId="5806" priority="10">
      <formula>$B15="HANGUP"</formula>
    </cfRule>
  </conditionalFormatting>
  <conditionalFormatting sqref="C15 C17:C24 C27:C30 C9:C13">
    <cfRule type="expression" dxfId="5805" priority="9">
      <formula>$B9="Speak"</formula>
    </cfRule>
  </conditionalFormatting>
  <conditionalFormatting sqref="C14 C25">
    <cfRule type="expression" dxfId="5804" priority="5">
      <formula>$B14="Dial"</formula>
    </cfRule>
    <cfRule type="expression" dxfId="5803" priority="6">
      <formula>$B14="HANGUP"</formula>
    </cfRule>
  </conditionalFormatting>
  <conditionalFormatting sqref="C8">
    <cfRule type="expression" dxfId="5802" priority="1">
      <formula>$B8="Dial"</formula>
    </cfRule>
    <cfRule type="expression" dxfId="5801" priority="2">
      <formula>$B8="HANGUP"</formula>
    </cfRule>
  </conditionalFormatting>
  <hyperlinks>
    <hyperlink ref="A1" location="'Test Case Overview'!A1" display="Return to Test Case Overview" xr:uid="{00000000-0004-0000-0800-000000000000}"/>
  </hyperlinks>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containsText" priority="716" operator="containsText" text="WEB SERVICE" id="{867AFBA1-C2F4-49BF-BDC1-DAF4E7A3E3A8}">
            <xm:f>NOT(ISERROR(SEARCH("WEB SERVICE",'TC1'!#REF!)))</xm:f>
            <x14:dxf>
              <font>
                <color rgb="FF9C0006"/>
              </font>
              <fill>
                <patternFill>
                  <bgColor rgb="FFFFC7CE"/>
                </patternFill>
              </fill>
            </x14:dxf>
          </x14:cfRule>
          <x14:cfRule type="containsText" priority="717" operator="containsText" text="DB" id="{27EB0D34-7870-4C2B-9C4D-5594A71DA986}">
            <xm:f>NOT(ISERROR(SEARCH("DB",'TC1'!#REF!)))</xm:f>
            <x14:dxf>
              <font>
                <color rgb="FF006100"/>
              </font>
              <fill>
                <patternFill>
                  <bgColor rgb="FFC6EFCE"/>
                </patternFill>
              </fill>
            </x14:dxf>
          </x14:cfRule>
          <xm:sqref>E14:E30</xm:sqref>
        </x14:conditionalFormatting>
        <x14:conditionalFormatting xmlns:xm="http://schemas.microsoft.com/office/excel/2006/main">
          <x14:cfRule type="containsText" priority="3581" operator="containsText" text="WEB SERVICE" id="{867AFBA1-C2F4-49BF-BDC1-DAF4E7A3E3A8}">
            <xm:f>NOT(ISERROR(SEARCH("WEB SERVICE",'TC1'!E9)))</xm:f>
            <x14:dxf>
              <font>
                <color rgb="FF9C0006"/>
              </font>
              <fill>
                <patternFill>
                  <bgColor rgb="FFFFC7CE"/>
                </patternFill>
              </fill>
            </x14:dxf>
          </x14:cfRule>
          <x14:cfRule type="containsText" priority="3582" operator="containsText" text="DB" id="{27EB0D34-7870-4C2B-9C4D-5594A71DA986}">
            <xm:f>NOT(ISERROR(SEARCH("DB",'TC1'!E9)))</xm:f>
            <x14:dxf>
              <font>
                <color rgb="FF006100"/>
              </font>
              <fill>
                <patternFill>
                  <bgColor rgb="FFC6EFCE"/>
                </patternFill>
              </fill>
            </x14:dxf>
          </x14:cfRule>
          <xm:sqref>E9:E12</xm:sqref>
        </x14:conditionalFormatting>
        <x14:conditionalFormatting xmlns:xm="http://schemas.microsoft.com/office/excel/2006/main">
          <x14:cfRule type="containsText" priority="6153" operator="containsText" text="WEB SERVICE" id="{867AFBA1-C2F4-49BF-BDC1-DAF4E7A3E3A8}">
            <xm:f>NOT(ISERROR(SEARCH("WEB SERVICE",'TC1'!E15)))</xm:f>
            <x14:dxf>
              <font>
                <color rgb="FF9C0006"/>
              </font>
              <fill>
                <patternFill>
                  <bgColor rgb="FFFFC7CE"/>
                </patternFill>
              </fill>
            </x14:dxf>
          </x14:cfRule>
          <x14:cfRule type="containsText" priority="6154" operator="containsText" text="DB" id="{27EB0D34-7870-4C2B-9C4D-5594A71DA986}">
            <xm:f>NOT(ISERROR(SEARCH("DB",'TC1'!E15)))</xm:f>
            <x14:dxf>
              <font>
                <color rgb="FF006100"/>
              </font>
              <fill>
                <patternFill>
                  <bgColor rgb="FFC6EFCE"/>
                </patternFill>
              </fill>
            </x14:dxf>
          </x14:cfRule>
          <xm:sqref>E13</xm:sqref>
        </x14:conditionalFormatting>
      </x14:conditionalFormattings>
    </ext>
  </extLst>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900-000000000000}">
  <sheetPr codeName="Sheet91"/>
  <dimension ref="A1:E59"/>
  <sheetViews>
    <sheetView zoomScaleNormal="100" workbookViewId="0">
      <selection activeCell="A2" sqref="A2"/>
    </sheetView>
  </sheetViews>
  <sheetFormatPr defaultRowHeight="14.5" x14ac:dyDescent="0.35"/>
  <cols>
    <col min="1" max="1" width="14.453125" style="97" bestFit="1" customWidth="1"/>
    <col min="2" max="2" width="42.6328125" style="97" customWidth="1"/>
    <col min="3" max="3" width="106.1796875" style="98" customWidth="1"/>
    <col min="4" max="4" width="21.81640625" style="111" bestFit="1" customWidth="1"/>
    <col min="5" max="5" width="20.6328125" style="97" customWidth="1"/>
  </cols>
  <sheetData>
    <row r="1" spans="1:5" ht="18.5" x14ac:dyDescent="0.35">
      <c r="A1" s="192" t="s">
        <v>4</v>
      </c>
      <c r="B1" s="192"/>
      <c r="C1" s="105"/>
    </row>
    <row r="2" spans="1:5" x14ac:dyDescent="0.35">
      <c r="A2" s="106" t="s">
        <v>5</v>
      </c>
      <c r="B2" s="107" t="str">
        <f ca="1">MID(CELL("filename",A1),FIND("]",CELL("filename",A1))+1,LEN(CELL("filename",A1))-FIND("]",CELL("filename",A1)))</f>
        <v>TC89</v>
      </c>
    </row>
    <row r="3" spans="1:5" x14ac:dyDescent="0.35">
      <c r="A3" s="104" t="s">
        <v>19</v>
      </c>
      <c r="B3" s="112">
        <f ca="1">VLOOKUP(B2,Table53[#All],2,FALSE)</f>
        <v>0</v>
      </c>
    </row>
    <row r="4" spans="1:5" ht="29" x14ac:dyDescent="0.35">
      <c r="A4" s="113" t="s">
        <v>20</v>
      </c>
      <c r="B4" s="99">
        <f ca="1">VLOOKUP(B2,Table53[#All],4,FALSE)</f>
        <v>0</v>
      </c>
    </row>
    <row r="5" spans="1:5" ht="29" customHeight="1" x14ac:dyDescent="0.35">
      <c r="A5" s="104" t="s">
        <v>6</v>
      </c>
      <c r="B5" s="77">
        <f ca="1">VLOOKUP(B2,Table53[#All],3,FALSE)</f>
        <v>0</v>
      </c>
    </row>
    <row r="7" spans="1:5" ht="15.5" x14ac:dyDescent="0.35">
      <c r="A7" s="100" t="s">
        <v>7</v>
      </c>
      <c r="B7" s="101" t="s">
        <v>8</v>
      </c>
      <c r="C7" s="102" t="s">
        <v>9</v>
      </c>
      <c r="D7" s="102" t="s">
        <v>14</v>
      </c>
      <c r="E7" s="103" t="s">
        <v>10</v>
      </c>
    </row>
    <row r="8" spans="1:5" x14ac:dyDescent="0.35">
      <c r="A8" s="118">
        <v>1</v>
      </c>
      <c r="B8" s="114" t="s">
        <v>114</v>
      </c>
      <c r="C8" s="109" t="s">
        <v>125</v>
      </c>
      <c r="D8" s="128"/>
      <c r="E8" s="125" t="s">
        <v>11</v>
      </c>
    </row>
    <row r="9" spans="1:5" s="97" customFormat="1" x14ac:dyDescent="0.35">
      <c r="A9" s="118">
        <v>2</v>
      </c>
      <c r="B9" s="114" t="s">
        <v>12</v>
      </c>
      <c r="C9" s="109" t="e">
        <f>VLOOKUP(Table25751977[[#This Row],[PEG]],Table1016[#All],2,FALSE)</f>
        <v>#N/A</v>
      </c>
      <c r="D9" s="128"/>
      <c r="E9" s="125" t="e">
        <f>VLOOKUP(Table25751977[[#This Row],[PEG]],Table1016[#All],3,FALSE)</f>
        <v>#N/A</v>
      </c>
    </row>
    <row r="10" spans="1:5" s="97" customFormat="1" x14ac:dyDescent="0.35">
      <c r="A10" s="118">
        <v>3</v>
      </c>
      <c r="B10" s="114" t="s">
        <v>115</v>
      </c>
      <c r="C10" s="109" t="e">
        <f>VLOOKUP(Table25751977[[#This Row],[PEG]],Table1016[#All],2,FALSE)</f>
        <v>#N/A</v>
      </c>
      <c r="D10" s="128"/>
      <c r="E10" s="125" t="e">
        <f>VLOOKUP(Table25751977[[#This Row],[PEG]],Table1016[#All],3,FALSE)</f>
        <v>#N/A</v>
      </c>
    </row>
    <row r="11" spans="1:5" s="97" customFormat="1" x14ac:dyDescent="0.35">
      <c r="A11" s="118">
        <v>4</v>
      </c>
      <c r="B11" s="114" t="s">
        <v>115</v>
      </c>
      <c r="C11" s="109" t="e">
        <f>VLOOKUP(Table25751977[[#This Row],[PEG]],Table1016[#All],2,FALSE)</f>
        <v>#N/A</v>
      </c>
      <c r="D11" s="128"/>
      <c r="E11" s="125" t="e">
        <f>VLOOKUP(Table25751977[[#This Row],[PEG]],Table1016[#All],3,FALSE)</f>
        <v>#N/A</v>
      </c>
    </row>
    <row r="12" spans="1:5" s="97" customFormat="1" x14ac:dyDescent="0.35">
      <c r="A12" s="118">
        <v>5</v>
      </c>
      <c r="B12" s="114" t="s">
        <v>114</v>
      </c>
      <c r="C12" s="109" t="e">
        <f>VLOOKUP(Table25751977[[#This Row],[PEG]],Table1016[#All],2,FALSE)</f>
        <v>#N/A</v>
      </c>
      <c r="D12" s="128"/>
      <c r="E12" s="125" t="e">
        <f>VLOOKUP(Table25751977[[#This Row],[PEG]],Table1016[#All],3,FALSE)</f>
        <v>#N/A</v>
      </c>
    </row>
    <row r="13" spans="1:5" s="97" customFormat="1" x14ac:dyDescent="0.35">
      <c r="A13" s="118">
        <v>6</v>
      </c>
      <c r="B13" s="114" t="s">
        <v>115</v>
      </c>
      <c r="C13" s="109" t="e">
        <f>VLOOKUP(Table25751977[[#This Row],[PEG]],Table1016[#All],2,FALSE)</f>
        <v>#N/A</v>
      </c>
      <c r="D13" s="128"/>
      <c r="E13" s="125" t="e">
        <f>VLOOKUP(Table25751977[[#This Row],[PEG]],Table1016[#All],3,FALSE)</f>
        <v>#N/A</v>
      </c>
    </row>
    <row r="14" spans="1:5" s="97" customFormat="1" x14ac:dyDescent="0.35">
      <c r="A14" s="118">
        <v>7</v>
      </c>
      <c r="B14" s="114" t="s">
        <v>114</v>
      </c>
      <c r="C14" s="109" t="e">
        <f>VLOOKUP(Table25751977[[#This Row],[PEG]],Table1016[#All],2,FALSE)</f>
        <v>#N/A</v>
      </c>
      <c r="D14" s="128"/>
      <c r="E14" s="125" t="e">
        <f>VLOOKUP(Table25751977[[#This Row],[PEG]],Table1016[#All],3,FALSE)</f>
        <v>#N/A</v>
      </c>
    </row>
    <row r="15" spans="1:5" x14ac:dyDescent="0.35">
      <c r="A15" s="118">
        <v>8</v>
      </c>
      <c r="B15" s="114" t="s">
        <v>115</v>
      </c>
      <c r="C15" s="109" t="e">
        <f>VLOOKUP(Table25751977[[#This Row],[PEG]],Table1016[#All],2,FALSE)</f>
        <v>#N/A</v>
      </c>
      <c r="D15" s="116"/>
      <c r="E15" s="125" t="e">
        <f>VLOOKUP(Table25751977[[#This Row],[PEG]],Table1016[#All],3,FALSE)</f>
        <v>#N/A</v>
      </c>
    </row>
    <row r="16" spans="1:5" x14ac:dyDescent="0.35">
      <c r="A16" s="118">
        <v>9</v>
      </c>
      <c r="B16" s="114" t="s">
        <v>12</v>
      </c>
      <c r="C16" s="109" t="e">
        <f>VLOOKUP(Table25751977[[#This Row],[PEG]],Table1016[#All],2,FALSE)</f>
        <v>#N/A</v>
      </c>
      <c r="D16" s="116"/>
      <c r="E16" s="125" t="e">
        <f>VLOOKUP(Table25751977[[#This Row],[PEG]],Table1016[#All],3,FALSE)</f>
        <v>#N/A</v>
      </c>
    </row>
    <row r="17" spans="1:5" x14ac:dyDescent="0.35">
      <c r="A17" s="118">
        <v>10</v>
      </c>
      <c r="B17" s="114" t="s">
        <v>12</v>
      </c>
      <c r="C17" s="109" t="e">
        <f>VLOOKUP(Table25751977[[#This Row],[PEG]],Table1016[#All],2,FALSE)</f>
        <v>#N/A</v>
      </c>
      <c r="D17" s="117"/>
      <c r="E17" s="125" t="e">
        <f>VLOOKUP(Table25751977[[#This Row],[PEG]],Table1016[#All],3,FALSE)</f>
        <v>#N/A</v>
      </c>
    </row>
    <row r="18" spans="1:5" x14ac:dyDescent="0.35">
      <c r="A18" s="118">
        <v>11</v>
      </c>
      <c r="B18" s="114" t="s">
        <v>115</v>
      </c>
      <c r="C18" s="109" t="e">
        <f>VLOOKUP(Table25751977[[#This Row],[PEG]],Table1016[#All],2,FALSE)</f>
        <v>#N/A</v>
      </c>
      <c r="D18" s="117"/>
      <c r="E18" s="125" t="e">
        <f>VLOOKUP(Table25751977[[#This Row],[PEG]],Table1016[#All],3,FALSE)</f>
        <v>#N/A</v>
      </c>
    </row>
    <row r="19" spans="1:5" x14ac:dyDescent="0.35">
      <c r="A19" s="118">
        <v>12</v>
      </c>
      <c r="B19" s="114" t="s">
        <v>115</v>
      </c>
      <c r="C19" s="109" t="e">
        <f>VLOOKUP(Table25751977[[#This Row],[PEG]],Table1016[#All],2,FALSE)</f>
        <v>#N/A</v>
      </c>
      <c r="D19" s="117"/>
      <c r="E19" s="125" t="e">
        <f>VLOOKUP(Table25751977[[#This Row],[PEG]],Table1016[#All],3,FALSE)</f>
        <v>#N/A</v>
      </c>
    </row>
    <row r="20" spans="1:5" x14ac:dyDescent="0.35">
      <c r="A20" s="118">
        <v>13</v>
      </c>
      <c r="B20" s="114" t="s">
        <v>114</v>
      </c>
      <c r="C20" s="109" t="e">
        <f>VLOOKUP(Table25751977[[#This Row],[PEG]],Table1016[#All],2,FALSE)</f>
        <v>#N/A</v>
      </c>
      <c r="D20" s="117"/>
      <c r="E20" s="125" t="e">
        <f>VLOOKUP(Table25751977[[#This Row],[PEG]],Table1016[#All],3,FALSE)</f>
        <v>#N/A</v>
      </c>
    </row>
    <row r="21" spans="1:5" x14ac:dyDescent="0.35">
      <c r="A21" s="118">
        <v>14</v>
      </c>
      <c r="B21" s="114" t="s">
        <v>12</v>
      </c>
      <c r="C21" s="109" t="e">
        <f>VLOOKUP(Table25751977[[#This Row],[PEG]],Table1016[#All],2,FALSE)</f>
        <v>#N/A</v>
      </c>
      <c r="D21" s="117"/>
      <c r="E21" s="125" t="e">
        <f>VLOOKUP(Table25751977[[#This Row],[PEG]],Table1016[#All],3,FALSE)</f>
        <v>#N/A</v>
      </c>
    </row>
    <row r="22" spans="1:5" x14ac:dyDescent="0.35">
      <c r="A22" s="118">
        <v>15</v>
      </c>
      <c r="B22" s="114" t="s">
        <v>12</v>
      </c>
      <c r="C22" s="109" t="e">
        <f>VLOOKUP(Table25751977[[#This Row],[PEG]],Table1016[#All],2,FALSE)</f>
        <v>#N/A</v>
      </c>
      <c r="D22" s="117"/>
      <c r="E22" s="125" t="e">
        <f>VLOOKUP(Table25751977[[#This Row],[PEG]],Table1016[#All],3,FALSE)</f>
        <v>#N/A</v>
      </c>
    </row>
    <row r="23" spans="1:5" x14ac:dyDescent="0.35">
      <c r="A23" s="118">
        <v>16</v>
      </c>
      <c r="B23" s="114" t="s">
        <v>115</v>
      </c>
      <c r="C23" s="109" t="e">
        <f>VLOOKUP(Table25751977[[#This Row],[PEG]],Table1016[#All],2,FALSE)</f>
        <v>#N/A</v>
      </c>
      <c r="D23" s="117"/>
      <c r="E23" s="125" t="e">
        <f>VLOOKUP(Table25751977[[#This Row],[PEG]],Table1016[#All],3,FALSE)</f>
        <v>#N/A</v>
      </c>
    </row>
    <row r="24" spans="1:5" x14ac:dyDescent="0.35">
      <c r="A24" s="118">
        <v>17</v>
      </c>
      <c r="B24" s="114" t="s">
        <v>114</v>
      </c>
      <c r="C24" s="109" t="e">
        <f>VLOOKUP(Table25751977[[#This Row],[PEG]],Table1016[#All],2,FALSE)</f>
        <v>#N/A</v>
      </c>
      <c r="D24" s="117"/>
      <c r="E24" s="125" t="e">
        <f>VLOOKUP(Table25751977[[#This Row],[PEG]],Table1016[#All],3,FALSE)</f>
        <v>#N/A</v>
      </c>
    </row>
    <row r="25" spans="1:5" s="97" customFormat="1" x14ac:dyDescent="0.35">
      <c r="A25" s="118">
        <v>18</v>
      </c>
      <c r="B25" s="114" t="s">
        <v>12</v>
      </c>
      <c r="C25" s="109" t="e">
        <f>VLOOKUP(Table25751977[[#This Row],[PEG]],Table1016[#All],2,FALSE)</f>
        <v>#N/A</v>
      </c>
      <c r="D25" s="117"/>
      <c r="E25" s="125" t="e">
        <f>VLOOKUP(Table25751977[[#This Row],[PEG]],Table1016[#All],3,FALSE)</f>
        <v>#N/A</v>
      </c>
    </row>
    <row r="26" spans="1:5" x14ac:dyDescent="0.35">
      <c r="A26" s="118">
        <v>19</v>
      </c>
      <c r="B26" s="114" t="s">
        <v>12</v>
      </c>
      <c r="C26" s="109" t="e">
        <f>VLOOKUP(Table25751977[[#This Row],[PEG]],Table1016[#All],2,FALSE)</f>
        <v>#N/A</v>
      </c>
      <c r="D26" s="117"/>
      <c r="E26" s="125" t="e">
        <f>VLOOKUP(Table25751977[[#This Row],[PEG]],Table1016[#All],3,FALSE)</f>
        <v>#N/A</v>
      </c>
    </row>
    <row r="27" spans="1:5" x14ac:dyDescent="0.35">
      <c r="A27" s="118">
        <v>20</v>
      </c>
      <c r="B27" s="114" t="s">
        <v>115</v>
      </c>
      <c r="C27" s="109" t="e">
        <f>VLOOKUP(Table25751977[[#This Row],[PEG]],Table1016[#All],2,FALSE)</f>
        <v>#N/A</v>
      </c>
      <c r="D27" s="117"/>
      <c r="E27" s="125" t="e">
        <f>VLOOKUP(Table25751977[[#This Row],[PEG]],Table1016[#All],3,FALSE)</f>
        <v>#N/A</v>
      </c>
    </row>
    <row r="28" spans="1:5" x14ac:dyDescent="0.35">
      <c r="A28" s="118">
        <v>21</v>
      </c>
      <c r="B28" s="114" t="s">
        <v>114</v>
      </c>
      <c r="C28" s="109" t="e">
        <f>VLOOKUP(Table25751977[[#This Row],[PEG]],Table1016[#All],2,FALSE)</f>
        <v>#N/A</v>
      </c>
      <c r="D28" s="117"/>
      <c r="E28" s="125" t="e">
        <f>VLOOKUP(Table25751977[[#This Row],[PEG]],Table1016[#All],3,FALSE)</f>
        <v>#N/A</v>
      </c>
    </row>
    <row r="29" spans="1:5" x14ac:dyDescent="0.35">
      <c r="A29" s="118">
        <v>22</v>
      </c>
      <c r="B29" s="114" t="s">
        <v>12</v>
      </c>
      <c r="C29" s="109" t="e">
        <f>VLOOKUP(Table25751977[[#This Row],[PEG]],Table1016[#All],2,FALSE)</f>
        <v>#N/A</v>
      </c>
      <c r="D29" s="117"/>
      <c r="E29" s="125" t="e">
        <f>VLOOKUP(Table25751977[[#This Row],[PEG]],Table1016[#All],3,FALSE)</f>
        <v>#N/A</v>
      </c>
    </row>
    <row r="30" spans="1:5" x14ac:dyDescent="0.35">
      <c r="A30" s="118">
        <v>23</v>
      </c>
      <c r="B30" s="114" t="s">
        <v>12</v>
      </c>
      <c r="C30" s="109" t="e">
        <f>VLOOKUP(Table25751977[[#This Row],[PEG]],Table1016[#All],2,FALSE)</f>
        <v>#N/A</v>
      </c>
      <c r="D30" s="117"/>
      <c r="E30" s="125" t="e">
        <f>VLOOKUP(Table25751977[[#This Row],[PEG]],Table1016[#All],3,FALSE)</f>
        <v>#N/A</v>
      </c>
    </row>
    <row r="31" spans="1:5" x14ac:dyDescent="0.35">
      <c r="A31" s="118">
        <v>24</v>
      </c>
      <c r="B31" s="114" t="s">
        <v>115</v>
      </c>
      <c r="C31" s="109" t="e">
        <f>VLOOKUP(Table25751977[[#This Row],[PEG]],Table1016[#All],2,FALSE)</f>
        <v>#N/A</v>
      </c>
      <c r="D31" s="117"/>
      <c r="E31" s="125" t="e">
        <f>VLOOKUP(Table25751977[[#This Row],[PEG]],Table1016[#All],3,FALSE)</f>
        <v>#N/A</v>
      </c>
    </row>
    <row r="32" spans="1:5" x14ac:dyDescent="0.35">
      <c r="A32" s="118">
        <v>25</v>
      </c>
      <c r="B32" s="114" t="s">
        <v>115</v>
      </c>
      <c r="C32" s="109" t="e">
        <f>VLOOKUP(Table25751977[[#This Row],[PEG]],Table1016[#All],2,FALSE)</f>
        <v>#N/A</v>
      </c>
      <c r="D32" s="117"/>
      <c r="E32" s="125" t="e">
        <f>VLOOKUP(Table25751977[[#This Row],[PEG]],Table1016[#All],3,FALSE)</f>
        <v>#N/A</v>
      </c>
    </row>
    <row r="33" spans="1:5" x14ac:dyDescent="0.35">
      <c r="A33" s="118">
        <v>26</v>
      </c>
      <c r="B33" s="114" t="s">
        <v>124</v>
      </c>
      <c r="C33" s="109" t="e">
        <f>VLOOKUP(Table25751977[[#This Row],[PEG]],Table1016[#All],2,FALSE)</f>
        <v>#N/A</v>
      </c>
      <c r="D33" s="117"/>
      <c r="E33" s="125" t="e">
        <f>VLOOKUP(Table25751977[[#This Row],[PEG]],Table1016[#All],3,FALSE)</f>
        <v>#N/A</v>
      </c>
    </row>
    <row r="34" spans="1:5" x14ac:dyDescent="0.35">
      <c r="A34" s="118">
        <v>27</v>
      </c>
      <c r="B34" s="114" t="s">
        <v>115</v>
      </c>
      <c r="C34" s="109" t="e">
        <f>VLOOKUP(Table25751977[[#This Row],[PEG]],Table1016[#All],2,FALSE)</f>
        <v>#N/A</v>
      </c>
      <c r="D34" s="117"/>
      <c r="E34" s="125" t="e">
        <f>VLOOKUP(Table25751977[[#This Row],[PEG]],Table1016[#All],3,FALSE)</f>
        <v>#N/A</v>
      </c>
    </row>
    <row r="35" spans="1:5" x14ac:dyDescent="0.35">
      <c r="A35" s="118">
        <v>28</v>
      </c>
      <c r="B35" s="114" t="s">
        <v>124</v>
      </c>
      <c r="C35" s="109" t="e">
        <f>VLOOKUP(Table25751977[[#This Row],[PEG]],Table1016[#All],2,FALSE)</f>
        <v>#N/A</v>
      </c>
      <c r="D35" s="117"/>
      <c r="E35" s="125" t="e">
        <f>VLOOKUP(Table25751977[[#This Row],[PEG]],Table1016[#All],3,FALSE)</f>
        <v>#N/A</v>
      </c>
    </row>
    <row r="36" spans="1:5" x14ac:dyDescent="0.35">
      <c r="A36" s="118">
        <v>29</v>
      </c>
      <c r="B36" s="114" t="s">
        <v>115</v>
      </c>
      <c r="C36" s="109" t="e">
        <f>VLOOKUP(Table25751977[[#This Row],[PEG]],Table1016[#All],2,FALSE)</f>
        <v>#N/A</v>
      </c>
      <c r="D36" s="117"/>
      <c r="E36" s="125" t="e">
        <f>VLOOKUP(Table25751977[[#This Row],[PEG]],Table1016[#All],3,FALSE)</f>
        <v>#N/A</v>
      </c>
    </row>
    <row r="37" spans="1:5" x14ac:dyDescent="0.35">
      <c r="A37" s="118">
        <v>30</v>
      </c>
      <c r="B37" s="114" t="s">
        <v>12</v>
      </c>
      <c r="C37" s="109" t="e">
        <f>VLOOKUP(Table25751977[[#This Row],[PEG]],Table1016[#All],2,FALSE)</f>
        <v>#N/A</v>
      </c>
      <c r="D37" s="117"/>
      <c r="E37" s="125" t="e">
        <f>VLOOKUP(Table25751977[[#This Row],[PEG]],Table1016[#All],3,FALSE)</f>
        <v>#N/A</v>
      </c>
    </row>
    <row r="38" spans="1:5" x14ac:dyDescent="0.35">
      <c r="A38" s="118">
        <v>31</v>
      </c>
      <c r="B38" s="114" t="s">
        <v>12</v>
      </c>
      <c r="C38" s="109" t="e">
        <f>VLOOKUP(Table25751977[[#This Row],[PEG]],Table1016[#All],2,FALSE)</f>
        <v>#N/A</v>
      </c>
      <c r="D38" s="117"/>
      <c r="E38" s="125" t="e">
        <f>VLOOKUP(Table25751977[[#This Row],[PEG]],Table1016[#All],3,FALSE)</f>
        <v>#N/A</v>
      </c>
    </row>
    <row r="39" spans="1:5" x14ac:dyDescent="0.35">
      <c r="A39" s="118">
        <v>32</v>
      </c>
      <c r="B39" s="114" t="s">
        <v>12</v>
      </c>
      <c r="C39" s="109" t="e">
        <f>VLOOKUP(Table25751977[[#This Row],[PEG]],Table1016[#All],2,FALSE)</f>
        <v>#N/A</v>
      </c>
      <c r="D39" s="117"/>
      <c r="E39" s="125" t="e">
        <f>VLOOKUP(Table25751977[[#This Row],[PEG]],Table1016[#All],3,FALSE)</f>
        <v>#N/A</v>
      </c>
    </row>
    <row r="40" spans="1:5" x14ac:dyDescent="0.35">
      <c r="A40" s="118">
        <v>33</v>
      </c>
      <c r="B40" s="114" t="s">
        <v>12</v>
      </c>
      <c r="C40" s="109" t="e">
        <f>VLOOKUP(Table25751977[[#This Row],[PEG]],Table1016[#All],2,FALSE)</f>
        <v>#N/A</v>
      </c>
      <c r="D40" s="117"/>
      <c r="E40" s="125" t="e">
        <f>VLOOKUP(Table25751977[[#This Row],[PEG]],Table1016[#All],3,FALSE)</f>
        <v>#N/A</v>
      </c>
    </row>
    <row r="41" spans="1:5" x14ac:dyDescent="0.35">
      <c r="A41" s="118">
        <v>34</v>
      </c>
      <c r="B41" s="114" t="s">
        <v>115</v>
      </c>
      <c r="C41" s="109" t="e">
        <f>VLOOKUP(Table25751977[[#This Row],[PEG]],Table1016[#All],2,FALSE)</f>
        <v>#N/A</v>
      </c>
      <c r="D41" s="117"/>
      <c r="E41" s="125" t="e">
        <f>VLOOKUP(Table25751977[[#This Row],[PEG]],Table1016[#All],3,FALSE)</f>
        <v>#N/A</v>
      </c>
    </row>
    <row r="42" spans="1:5" x14ac:dyDescent="0.35">
      <c r="A42" s="118">
        <v>35</v>
      </c>
      <c r="B42" s="114" t="s">
        <v>12</v>
      </c>
      <c r="C42" s="109" t="e">
        <f>VLOOKUP(Table25751977[[#This Row],[PEG]],Table1016[#All],2,FALSE)</f>
        <v>#N/A</v>
      </c>
      <c r="D42" s="115"/>
      <c r="E42" s="125" t="e">
        <f>VLOOKUP(Table25751977[[#This Row],[PEG]],Table1016[#All],3,FALSE)</f>
        <v>#N/A</v>
      </c>
    </row>
    <row r="43" spans="1:5" x14ac:dyDescent="0.35">
      <c r="A43" s="118">
        <v>36</v>
      </c>
      <c r="B43" s="114" t="s">
        <v>115</v>
      </c>
      <c r="C43" s="109" t="e">
        <f>VLOOKUP(Table25751977[[#This Row],[PEG]],Table1016[#All],2,FALSE)</f>
        <v>#N/A</v>
      </c>
      <c r="D43" s="115"/>
      <c r="E43" s="125" t="e">
        <f>VLOOKUP(Table25751977[[#This Row],[PEG]],Table1016[#All],3,FALSE)</f>
        <v>#N/A</v>
      </c>
    </row>
    <row r="44" spans="1:5" x14ac:dyDescent="0.35">
      <c r="A44" s="118">
        <v>37</v>
      </c>
      <c r="B44" s="114" t="s">
        <v>13</v>
      </c>
      <c r="C44" s="18" t="s">
        <v>13</v>
      </c>
      <c r="D44" s="115"/>
      <c r="E44" s="32"/>
    </row>
    <row r="45" spans="1:5" x14ac:dyDescent="0.35">
      <c r="C45" s="26"/>
    </row>
    <row r="46" spans="1:5" x14ac:dyDescent="0.35">
      <c r="C46" s="26"/>
    </row>
    <row r="47" spans="1:5" x14ac:dyDescent="0.35">
      <c r="C47" s="26"/>
    </row>
    <row r="48" spans="1:5" x14ac:dyDescent="0.35">
      <c r="C48" s="26"/>
    </row>
    <row r="49" spans="3:3" x14ac:dyDescent="0.35">
      <c r="C49" s="26"/>
    </row>
    <row r="50" spans="3:3" x14ac:dyDescent="0.35">
      <c r="C50" s="26"/>
    </row>
    <row r="51" spans="3:3" x14ac:dyDescent="0.35">
      <c r="C51" s="26"/>
    </row>
    <row r="52" spans="3:3" x14ac:dyDescent="0.35">
      <c r="C52" s="26"/>
    </row>
    <row r="53" spans="3:3" x14ac:dyDescent="0.35">
      <c r="C53" s="26"/>
    </row>
    <row r="54" spans="3:3" x14ac:dyDescent="0.35">
      <c r="C54" s="26"/>
    </row>
    <row r="55" spans="3:3" x14ac:dyDescent="0.35">
      <c r="C55" s="26"/>
    </row>
    <row r="56" spans="3:3" x14ac:dyDescent="0.35">
      <c r="C56" s="26"/>
    </row>
    <row r="57" spans="3:3" x14ac:dyDescent="0.35">
      <c r="C57" s="27"/>
    </row>
    <row r="58" spans="3:3" x14ac:dyDescent="0.35">
      <c r="C58" s="27"/>
    </row>
    <row r="59" spans="3:3" x14ac:dyDescent="0.35">
      <c r="C59" s="27"/>
    </row>
  </sheetData>
  <mergeCells count="1">
    <mergeCell ref="A1:B1"/>
  </mergeCells>
  <conditionalFormatting sqref="C45:C9998">
    <cfRule type="expression" dxfId="3255" priority="49">
      <formula>$B45="Dial"</formula>
    </cfRule>
    <cfRule type="expression" dxfId="3254" priority="51">
      <formula>$B45="HANGUP"</formula>
    </cfRule>
  </conditionalFormatting>
  <conditionalFormatting sqref="B30">
    <cfRule type="containsText" dxfId="3253" priority="4" operator="containsText" text="Hear">
      <formula>NOT(ISERROR(SEARCH("Hear",B30)))</formula>
    </cfRule>
  </conditionalFormatting>
  <conditionalFormatting sqref="B43:B44">
    <cfRule type="containsText" dxfId="3252" priority="14" operator="containsText" text="Hear">
      <formula>NOT(ISERROR(SEARCH("Hear",B43)))</formula>
    </cfRule>
  </conditionalFormatting>
  <conditionalFormatting sqref="E44">
    <cfRule type="containsText" dxfId="3251" priority="12" operator="containsText" text="WEB SERVICE">
      <formula>NOT(ISERROR(SEARCH("WEB SERVICE",E44)))</formula>
    </cfRule>
    <cfRule type="containsText" dxfId="3250" priority="13" operator="containsText" text="DB">
      <formula>NOT(ISERROR(SEARCH("DB",E44)))</formula>
    </cfRule>
  </conditionalFormatting>
  <conditionalFormatting sqref="C44">
    <cfRule type="expression" dxfId="3249" priority="15">
      <formula>$B44="Dial"</formula>
    </cfRule>
    <cfRule type="expression" dxfId="3248" priority="17">
      <formula>$B44="HANGUP"</formula>
    </cfRule>
  </conditionalFormatting>
  <conditionalFormatting sqref="C44">
    <cfRule type="expression" dxfId="3247" priority="16">
      <formula>$B44="Speak"</formula>
    </cfRule>
  </conditionalFormatting>
  <conditionalFormatting sqref="B8:B18">
    <cfRule type="containsText" dxfId="3246" priority="1" operator="containsText" text="Hear">
      <formula>NOT(ISERROR(SEARCH("Hear",B8)))</formula>
    </cfRule>
  </conditionalFormatting>
  <conditionalFormatting sqref="B36:B38 B40:B41">
    <cfRule type="containsText" dxfId="3245" priority="3" operator="containsText" text="Hear">
      <formula>NOT(ISERROR(SEARCH("Hear",B36)))</formula>
    </cfRule>
  </conditionalFormatting>
  <conditionalFormatting sqref="B19:B29 B31:B35 B42">
    <cfRule type="containsText" dxfId="3244" priority="5" operator="containsText" text="Hear">
      <formula>NOT(ISERROR(SEARCH("Hear",B19)))</formula>
    </cfRule>
  </conditionalFormatting>
  <hyperlinks>
    <hyperlink ref="A1" location="'Test Case Overview'!A1" display="Return to Test Case Overview" xr:uid="{00000000-0004-0000-5900-000000000000}"/>
  </hyperlinks>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expression" priority="27" id="{752E70E0-99B1-4F12-8D91-11FB4113D8B2}">
            <xm:f>'TC1'!$B8="Speak"</xm:f>
            <x14:dxf>
              <font>
                <b/>
                <i val="0"/>
                <color rgb="FFFF0000"/>
              </font>
            </x14:dxf>
          </x14:cfRule>
          <xm:sqref>C8</xm:sqref>
        </x14:conditionalFormatting>
        <x14:conditionalFormatting xmlns:xm="http://schemas.microsoft.com/office/excel/2006/main">
          <x14:cfRule type="expression" priority="8" id="{2FB16D23-0358-4C21-BAEE-0A84AEF782F0}">
            <xm:f>'TC1'!$B8="HANGUP"</xm:f>
            <x14:dxf>
              <font>
                <b/>
                <i val="0"/>
              </font>
            </x14:dxf>
          </x14:cfRule>
          <x14:cfRule type="expression" priority="9" id="{4375392C-511C-413D-99DD-CBF49B32677A}">
            <xm:f>'TC1'!$B8="Dial"</xm:f>
            <x14:dxf>
              <font>
                <b/>
                <i val="0"/>
                <color rgb="FFFF0000"/>
              </font>
            </x14:dxf>
          </x14:cfRule>
          <xm:sqref>C8</xm:sqref>
        </x14:conditionalFormatting>
        <x14:conditionalFormatting xmlns:xm="http://schemas.microsoft.com/office/excel/2006/main">
          <x14:cfRule type="containsText" priority="2" operator="containsText" text="Hear" id="{59344CB4-3A02-4653-BF2C-1F25098F991A}">
            <xm:f>NOT(ISERROR(SEARCH("Hear",'TC3'!B34)))</xm:f>
            <x14:dxf>
              <font>
                <color theme="9" tint="-0.24994659260841701"/>
              </font>
              <fill>
                <patternFill>
                  <bgColor theme="9" tint="0.59996337778862885"/>
                </patternFill>
              </fill>
            </x14:dxf>
          </x14:cfRule>
          <xm:sqref>B41</xm:sqref>
        </x14:conditionalFormatting>
        <x14:conditionalFormatting xmlns:xm="http://schemas.microsoft.com/office/excel/2006/main">
          <x14:cfRule type="expression" priority="2042" id="{752E70E0-99B1-4F12-8D91-11FB4113D8B2}">
            <xm:f>'TC1'!$B16="Speak"</xm:f>
            <x14:dxf>
              <font>
                <b/>
                <i val="0"/>
                <color rgb="FFFF0000"/>
              </font>
            </x14:dxf>
          </x14:cfRule>
          <xm:sqref>C34:C43</xm:sqref>
        </x14:conditionalFormatting>
        <x14:conditionalFormatting xmlns:xm="http://schemas.microsoft.com/office/excel/2006/main">
          <x14:cfRule type="expression" priority="2043" id="{752E70E0-99B1-4F12-8D91-11FB4113D8B2}">
            <xm:f>'TC1'!#REF!="Speak"</xm:f>
            <x14:dxf>
              <font>
                <b/>
                <i val="0"/>
                <color rgb="FFFF0000"/>
              </font>
            </x14:dxf>
          </x14:cfRule>
          <xm:sqref>C17:C33</xm:sqref>
        </x14:conditionalFormatting>
        <x14:conditionalFormatting xmlns:xm="http://schemas.microsoft.com/office/excel/2006/main">
          <x14:cfRule type="expression" priority="2047" id="{2FB16D23-0358-4C21-BAEE-0A84AEF782F0}">
            <xm:f>'TC1'!$B16="HANGUP"</xm:f>
            <x14:dxf>
              <font>
                <b/>
                <i val="0"/>
              </font>
            </x14:dxf>
          </x14:cfRule>
          <x14:cfRule type="expression" priority="2048" id="{4375392C-511C-413D-99DD-CBF49B32677A}">
            <xm:f>'TC1'!$B16="Dial"</xm:f>
            <x14:dxf>
              <font>
                <b/>
                <i val="0"/>
                <color rgb="FFFF0000"/>
              </font>
            </x14:dxf>
          </x14:cfRule>
          <xm:sqref>C34:C43</xm:sqref>
        </x14:conditionalFormatting>
        <x14:conditionalFormatting xmlns:xm="http://schemas.microsoft.com/office/excel/2006/main">
          <x14:cfRule type="expression" priority="2049" id="{2FB16D23-0358-4C21-BAEE-0A84AEF782F0}">
            <xm:f>'TC1'!#REF!="HANGUP"</xm:f>
            <x14:dxf>
              <font>
                <b/>
                <i val="0"/>
              </font>
            </x14:dxf>
          </x14:cfRule>
          <x14:cfRule type="expression" priority="2050" id="{4375392C-511C-413D-99DD-CBF49B32677A}">
            <xm:f>'TC1'!#REF!="Dial"</xm:f>
            <x14:dxf>
              <font>
                <b/>
                <i val="0"/>
                <color rgb="FFFF0000"/>
              </font>
            </x14:dxf>
          </x14:cfRule>
          <xm:sqref>C17:C33</xm:sqref>
        </x14:conditionalFormatting>
        <x14:conditionalFormatting xmlns:xm="http://schemas.microsoft.com/office/excel/2006/main">
          <x14:cfRule type="containsText" priority="2055" operator="containsText" text="DB" id="{A04DFD58-05DF-40D0-9D49-E20234436714}">
            <xm:f>NOT(ISERROR(SEARCH("DB",'TC1'!E16)))</xm:f>
            <x14:dxf>
              <font>
                <color rgb="FF006100"/>
              </font>
              <fill>
                <patternFill>
                  <bgColor rgb="FFC6EFCE"/>
                </patternFill>
              </fill>
            </x14:dxf>
          </x14:cfRule>
          <x14:cfRule type="containsText" priority="2056" operator="containsText" text="WEB SERVICE" id="{07458129-3AD7-4D4B-AB78-F2DFF9C0BDA6}">
            <xm:f>NOT(ISERROR(SEARCH("WEB SERVICE",'TC1'!E16)))</xm:f>
            <x14:dxf>
              <font>
                <color rgb="FF9C0006"/>
              </font>
              <fill>
                <patternFill>
                  <bgColor rgb="FFFFC7CE"/>
                </patternFill>
              </fill>
            </x14:dxf>
          </x14:cfRule>
          <xm:sqref>E34:E43</xm:sqref>
        </x14:conditionalFormatting>
        <x14:conditionalFormatting xmlns:xm="http://schemas.microsoft.com/office/excel/2006/main">
          <x14:cfRule type="containsText" priority="2057" operator="containsText" text="DB" id="{A04DFD58-05DF-40D0-9D49-E20234436714}">
            <xm:f>NOT(ISERROR(SEARCH("DB",'TC1'!#REF!)))</xm:f>
            <x14:dxf>
              <font>
                <color rgb="FF006100"/>
              </font>
              <fill>
                <patternFill>
                  <bgColor rgb="FFC6EFCE"/>
                </patternFill>
              </fill>
            </x14:dxf>
          </x14:cfRule>
          <x14:cfRule type="containsText" priority="2058" operator="containsText" text="WEB SERVICE" id="{07458129-3AD7-4D4B-AB78-F2DFF9C0BDA6}">
            <xm:f>NOT(ISERROR(SEARCH("WEB SERVICE",'TC1'!#REF!)))</xm:f>
            <x14:dxf>
              <font>
                <color rgb="FF9C0006"/>
              </font>
              <fill>
                <patternFill>
                  <bgColor rgb="FFFFC7CE"/>
                </patternFill>
              </fill>
            </x14:dxf>
          </x14:cfRule>
          <xm:sqref>E17:E33</xm:sqref>
        </x14:conditionalFormatting>
        <x14:conditionalFormatting xmlns:xm="http://schemas.microsoft.com/office/excel/2006/main">
          <x14:cfRule type="expression" priority="4776" id="{752E70E0-99B1-4F12-8D91-11FB4113D8B2}">
            <xm:f>'TC1'!$B9="Speak"</xm:f>
            <x14:dxf>
              <font>
                <b/>
                <i val="0"/>
                <color rgb="FFFF0000"/>
              </font>
            </x14:dxf>
          </x14:cfRule>
          <xm:sqref>C12:C15</xm:sqref>
        </x14:conditionalFormatting>
        <x14:conditionalFormatting xmlns:xm="http://schemas.microsoft.com/office/excel/2006/main">
          <x14:cfRule type="expression" priority="4777" id="{752E70E0-99B1-4F12-8D91-11FB4113D8B2}">
            <xm:f>'TC1'!#REF!="Speak"</xm:f>
            <x14:dxf>
              <font>
                <b/>
                <i val="0"/>
                <color rgb="FFFF0000"/>
              </font>
            </x14:dxf>
          </x14:cfRule>
          <xm:sqref>C9:C11</xm:sqref>
        </x14:conditionalFormatting>
        <x14:conditionalFormatting xmlns:xm="http://schemas.microsoft.com/office/excel/2006/main">
          <x14:cfRule type="expression" priority="4781" id="{2FB16D23-0358-4C21-BAEE-0A84AEF782F0}">
            <xm:f>'TC1'!$B9="HANGUP"</xm:f>
            <x14:dxf>
              <font>
                <b/>
                <i val="0"/>
              </font>
            </x14:dxf>
          </x14:cfRule>
          <x14:cfRule type="expression" priority="4782" id="{4375392C-511C-413D-99DD-CBF49B32677A}">
            <xm:f>'TC1'!$B9="Dial"</xm:f>
            <x14:dxf>
              <font>
                <b/>
                <i val="0"/>
                <color rgb="FFFF0000"/>
              </font>
            </x14:dxf>
          </x14:cfRule>
          <xm:sqref>C12:C15</xm:sqref>
        </x14:conditionalFormatting>
        <x14:conditionalFormatting xmlns:xm="http://schemas.microsoft.com/office/excel/2006/main">
          <x14:cfRule type="expression" priority="4783" id="{2FB16D23-0358-4C21-BAEE-0A84AEF782F0}">
            <xm:f>'TC1'!#REF!="HANGUP"</xm:f>
            <x14:dxf>
              <font>
                <b/>
                <i val="0"/>
              </font>
            </x14:dxf>
          </x14:cfRule>
          <x14:cfRule type="expression" priority="4784" id="{4375392C-511C-413D-99DD-CBF49B32677A}">
            <xm:f>'TC1'!#REF!="Dial"</xm:f>
            <x14:dxf>
              <font>
                <b/>
                <i val="0"/>
                <color rgb="FFFF0000"/>
              </font>
            </x14:dxf>
          </x14:cfRule>
          <xm:sqref>C9:C11</xm:sqref>
        </x14:conditionalFormatting>
        <x14:conditionalFormatting xmlns:xm="http://schemas.microsoft.com/office/excel/2006/main">
          <x14:cfRule type="containsText" priority="4787" operator="containsText" text="DB" id="{A04DFD58-05DF-40D0-9D49-E20234436714}">
            <xm:f>NOT(ISERROR(SEARCH("DB",'TC1'!#REF!)))</xm:f>
            <x14:dxf>
              <font>
                <color rgb="FF006100"/>
              </font>
              <fill>
                <patternFill>
                  <bgColor rgb="FFC6EFCE"/>
                </patternFill>
              </fill>
            </x14:dxf>
          </x14:cfRule>
          <x14:cfRule type="containsText" priority="4788" operator="containsText" text="WEB SERVICE" id="{07458129-3AD7-4D4B-AB78-F2DFF9C0BDA6}">
            <xm:f>NOT(ISERROR(SEARCH("WEB SERVICE",'TC1'!#REF!)))</xm:f>
            <x14:dxf>
              <font>
                <color rgb="FF9C0006"/>
              </font>
              <fill>
                <patternFill>
                  <bgColor rgb="FFFFC7CE"/>
                </patternFill>
              </fill>
            </x14:dxf>
          </x14:cfRule>
          <xm:sqref>E9:E11</xm:sqref>
        </x14:conditionalFormatting>
        <x14:conditionalFormatting xmlns:xm="http://schemas.microsoft.com/office/excel/2006/main">
          <x14:cfRule type="containsText" priority="4789" operator="containsText" text="DB" id="{A04DFD58-05DF-40D0-9D49-E20234436714}">
            <xm:f>NOT(ISERROR(SEARCH("DB",'TC1'!E9)))</xm:f>
            <x14:dxf>
              <font>
                <color rgb="FF006100"/>
              </font>
              <fill>
                <patternFill>
                  <bgColor rgb="FFC6EFCE"/>
                </patternFill>
              </fill>
            </x14:dxf>
          </x14:cfRule>
          <x14:cfRule type="containsText" priority="4790" operator="containsText" text="WEB SERVICE" id="{07458129-3AD7-4D4B-AB78-F2DFF9C0BDA6}">
            <xm:f>NOT(ISERROR(SEARCH("WEB SERVICE",'TC1'!E9)))</xm:f>
            <x14:dxf>
              <font>
                <color rgb="FF9C0006"/>
              </font>
              <fill>
                <patternFill>
                  <bgColor rgb="FFFFC7CE"/>
                </patternFill>
              </fill>
            </x14:dxf>
          </x14:cfRule>
          <xm:sqref>E12:E15</xm:sqref>
        </x14:conditionalFormatting>
        <x14:conditionalFormatting xmlns:xm="http://schemas.microsoft.com/office/excel/2006/main">
          <x14:cfRule type="expression" priority="7159" id="{752E70E0-99B1-4F12-8D91-11FB4113D8B2}">
            <xm:f>'TC1'!$B15="Speak"</xm:f>
            <x14:dxf>
              <font>
                <b/>
                <i val="0"/>
                <color rgb="FFFF0000"/>
              </font>
            </x14:dxf>
          </x14:cfRule>
          <xm:sqref>C16</xm:sqref>
        </x14:conditionalFormatting>
        <x14:conditionalFormatting xmlns:xm="http://schemas.microsoft.com/office/excel/2006/main">
          <x14:cfRule type="expression" priority="7162" id="{2FB16D23-0358-4C21-BAEE-0A84AEF782F0}">
            <xm:f>'TC1'!$B15="HANGUP"</xm:f>
            <x14:dxf>
              <font>
                <b/>
                <i val="0"/>
              </font>
            </x14:dxf>
          </x14:cfRule>
          <x14:cfRule type="expression" priority="7163" id="{4375392C-511C-413D-99DD-CBF49B32677A}">
            <xm:f>'TC1'!$B15="Dial"</xm:f>
            <x14:dxf>
              <font>
                <b/>
                <i val="0"/>
                <color rgb="FFFF0000"/>
              </font>
            </x14:dxf>
          </x14:cfRule>
          <xm:sqref>C16</xm:sqref>
        </x14:conditionalFormatting>
        <x14:conditionalFormatting xmlns:xm="http://schemas.microsoft.com/office/excel/2006/main">
          <x14:cfRule type="containsText" priority="7166" operator="containsText" text="DB" id="{A04DFD58-05DF-40D0-9D49-E20234436714}">
            <xm:f>NOT(ISERROR(SEARCH("DB",'TC1'!E15)))</xm:f>
            <x14:dxf>
              <font>
                <color rgb="FF006100"/>
              </font>
              <fill>
                <patternFill>
                  <bgColor rgb="FFC6EFCE"/>
                </patternFill>
              </fill>
            </x14:dxf>
          </x14:cfRule>
          <x14:cfRule type="containsText" priority="7167" operator="containsText" text="WEB SERVICE" id="{07458129-3AD7-4D4B-AB78-F2DFF9C0BDA6}">
            <xm:f>NOT(ISERROR(SEARCH("WEB SERVICE",'TC1'!E15)))</xm:f>
            <x14:dxf>
              <font>
                <color rgb="FF9C0006"/>
              </font>
              <fill>
                <patternFill>
                  <bgColor rgb="FFFFC7CE"/>
                </patternFill>
              </fill>
            </x14:dxf>
          </x14:cfRule>
          <xm:sqref>E16</xm:sqref>
        </x14:conditionalFormatting>
        <x14:conditionalFormatting xmlns:xm="http://schemas.microsoft.com/office/excel/2006/main">
          <x14:cfRule type="containsText" priority="9614" operator="containsText" text="Hear" id="{6EDD4B72-76E8-4D02-AAC5-5D5494816E42}">
            <xm:f>NOT(ISERROR(SEARCH("Hear",'TC26'!#REF!)))</xm:f>
            <x14:dxf>
              <font>
                <color theme="9" tint="-0.24994659260841701"/>
              </font>
              <fill>
                <patternFill>
                  <bgColor theme="9" tint="0.59996337778862885"/>
                </patternFill>
              </fill>
            </x14:dxf>
          </x14:cfRule>
          <xm:sqref>B39</xm:sqref>
        </x14:conditionalFormatting>
      </x14:conditionalFormattings>
    </ext>
  </extLst>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A00-000000000000}">
  <sheetPr codeName="Sheet92"/>
  <dimension ref="A1:E59"/>
  <sheetViews>
    <sheetView zoomScaleNormal="100" workbookViewId="0">
      <selection activeCell="A2" sqref="A2"/>
    </sheetView>
  </sheetViews>
  <sheetFormatPr defaultRowHeight="14.5" x14ac:dyDescent="0.35"/>
  <cols>
    <col min="1" max="1" width="14.453125" style="97" bestFit="1" customWidth="1"/>
    <col min="2" max="2" width="42.6328125" style="97" customWidth="1"/>
    <col min="3" max="3" width="106.1796875" style="98" customWidth="1"/>
    <col min="4" max="4" width="21.81640625" style="111" bestFit="1" customWidth="1"/>
    <col min="5" max="5" width="20.6328125" style="97" customWidth="1"/>
  </cols>
  <sheetData>
    <row r="1" spans="1:5" ht="18.5" x14ac:dyDescent="0.35">
      <c r="A1" s="192" t="s">
        <v>4</v>
      </c>
      <c r="B1" s="192"/>
      <c r="C1" s="105"/>
    </row>
    <row r="2" spans="1:5" x14ac:dyDescent="0.35">
      <c r="A2" s="106" t="s">
        <v>5</v>
      </c>
      <c r="B2" s="107" t="str">
        <f ca="1">MID(CELL("filename",A1),FIND("]",CELL("filename",A1))+1,LEN(CELL("filename",A1))-FIND("]",CELL("filename",A1)))</f>
        <v>TC90</v>
      </c>
    </row>
    <row r="3" spans="1:5" x14ac:dyDescent="0.35">
      <c r="A3" s="104" t="s">
        <v>19</v>
      </c>
      <c r="B3" s="112">
        <f ca="1">VLOOKUP(B2,Table53[#All],2,FALSE)</f>
        <v>0</v>
      </c>
    </row>
    <row r="4" spans="1:5" ht="29" x14ac:dyDescent="0.35">
      <c r="A4" s="113" t="s">
        <v>20</v>
      </c>
      <c r="B4" s="99">
        <f ca="1">VLOOKUP(B2,Table53[#All],4,FALSE)</f>
        <v>0</v>
      </c>
    </row>
    <row r="5" spans="1:5" ht="29" customHeight="1" x14ac:dyDescent="0.35">
      <c r="A5" s="104" t="s">
        <v>6</v>
      </c>
      <c r="B5" s="77">
        <f ca="1">VLOOKUP(B2,Table53[#All],3,FALSE)</f>
        <v>0</v>
      </c>
    </row>
    <row r="7" spans="1:5" ht="15.5" x14ac:dyDescent="0.35">
      <c r="A7" s="100" t="s">
        <v>7</v>
      </c>
      <c r="B7" s="101" t="s">
        <v>8</v>
      </c>
      <c r="C7" s="102" t="s">
        <v>9</v>
      </c>
      <c r="D7" s="102" t="s">
        <v>14</v>
      </c>
      <c r="E7" s="103" t="s">
        <v>10</v>
      </c>
    </row>
    <row r="8" spans="1:5" x14ac:dyDescent="0.35">
      <c r="A8" s="118">
        <v>1</v>
      </c>
      <c r="B8" s="114" t="s">
        <v>114</v>
      </c>
      <c r="C8" s="109" t="s">
        <v>125</v>
      </c>
      <c r="D8" s="128"/>
      <c r="E8" s="125" t="s">
        <v>11</v>
      </c>
    </row>
    <row r="9" spans="1:5" s="97" customFormat="1" x14ac:dyDescent="0.35">
      <c r="A9" s="118">
        <v>2</v>
      </c>
      <c r="B9" s="114" t="s">
        <v>12</v>
      </c>
      <c r="C9" s="109" t="e">
        <f>VLOOKUP(Table25751978[[#This Row],[PEG]],Table1016[#All],2,FALSE)</f>
        <v>#N/A</v>
      </c>
      <c r="D9" s="128"/>
      <c r="E9" s="125" t="e">
        <f>VLOOKUP(Table25751978[[#This Row],[PEG]],Table1016[#All],3,FALSE)</f>
        <v>#N/A</v>
      </c>
    </row>
    <row r="10" spans="1:5" s="97" customFormat="1" x14ac:dyDescent="0.35">
      <c r="A10" s="118">
        <v>3</v>
      </c>
      <c r="B10" s="114" t="s">
        <v>115</v>
      </c>
      <c r="C10" s="109" t="e">
        <f>VLOOKUP(Table25751978[[#This Row],[PEG]],Table1016[#All],2,FALSE)</f>
        <v>#N/A</v>
      </c>
      <c r="D10" s="128"/>
      <c r="E10" s="125" t="e">
        <f>VLOOKUP(Table25751978[[#This Row],[PEG]],Table1016[#All],3,FALSE)</f>
        <v>#N/A</v>
      </c>
    </row>
    <row r="11" spans="1:5" s="97" customFormat="1" x14ac:dyDescent="0.35">
      <c r="A11" s="118">
        <v>4</v>
      </c>
      <c r="B11" s="114" t="s">
        <v>115</v>
      </c>
      <c r="C11" s="109" t="e">
        <f>VLOOKUP(Table25751978[[#This Row],[PEG]],Table1016[#All],2,FALSE)</f>
        <v>#N/A</v>
      </c>
      <c r="D11" s="128"/>
      <c r="E11" s="125" t="e">
        <f>VLOOKUP(Table25751978[[#This Row],[PEG]],Table1016[#All],3,FALSE)</f>
        <v>#N/A</v>
      </c>
    </row>
    <row r="12" spans="1:5" s="97" customFormat="1" x14ac:dyDescent="0.35">
      <c r="A12" s="118">
        <v>5</v>
      </c>
      <c r="B12" s="114" t="s">
        <v>114</v>
      </c>
      <c r="C12" s="109" t="e">
        <f>VLOOKUP(Table25751978[[#This Row],[PEG]],Table1016[#All],2,FALSE)</f>
        <v>#N/A</v>
      </c>
      <c r="D12" s="128"/>
      <c r="E12" s="125" t="e">
        <f>VLOOKUP(Table25751978[[#This Row],[PEG]],Table1016[#All],3,FALSE)</f>
        <v>#N/A</v>
      </c>
    </row>
    <row r="13" spans="1:5" s="97" customFormat="1" x14ac:dyDescent="0.35">
      <c r="A13" s="118">
        <v>6</v>
      </c>
      <c r="B13" s="114" t="s">
        <v>115</v>
      </c>
      <c r="C13" s="109" t="e">
        <f>VLOOKUP(Table25751978[[#This Row],[PEG]],Table1016[#All],2,FALSE)</f>
        <v>#N/A</v>
      </c>
      <c r="D13" s="128"/>
      <c r="E13" s="125" t="e">
        <f>VLOOKUP(Table25751978[[#This Row],[PEG]],Table1016[#All],3,FALSE)</f>
        <v>#N/A</v>
      </c>
    </row>
    <row r="14" spans="1:5" s="97" customFormat="1" x14ac:dyDescent="0.35">
      <c r="A14" s="118">
        <v>7</v>
      </c>
      <c r="B14" s="114" t="s">
        <v>114</v>
      </c>
      <c r="C14" s="109" t="e">
        <f>VLOOKUP(Table25751978[[#This Row],[PEG]],Table1016[#All],2,FALSE)</f>
        <v>#N/A</v>
      </c>
      <c r="D14" s="128"/>
      <c r="E14" s="125" t="e">
        <f>VLOOKUP(Table25751978[[#This Row],[PEG]],Table1016[#All],3,FALSE)</f>
        <v>#N/A</v>
      </c>
    </row>
    <row r="15" spans="1:5" x14ac:dyDescent="0.35">
      <c r="A15" s="118">
        <v>8</v>
      </c>
      <c r="B15" s="114" t="s">
        <v>115</v>
      </c>
      <c r="C15" s="109" t="e">
        <f>VLOOKUP(Table25751978[[#This Row],[PEG]],Table1016[#All],2,FALSE)</f>
        <v>#N/A</v>
      </c>
      <c r="D15" s="116"/>
      <c r="E15" s="125" t="e">
        <f>VLOOKUP(Table25751978[[#This Row],[PEG]],Table1016[#All],3,FALSE)</f>
        <v>#N/A</v>
      </c>
    </row>
    <row r="16" spans="1:5" x14ac:dyDescent="0.35">
      <c r="A16" s="118">
        <v>9</v>
      </c>
      <c r="B16" s="114" t="s">
        <v>12</v>
      </c>
      <c r="C16" s="109" t="e">
        <f>VLOOKUP(Table25751978[[#This Row],[PEG]],Table1016[#All],2,FALSE)</f>
        <v>#N/A</v>
      </c>
      <c r="D16" s="116"/>
      <c r="E16" s="125" t="e">
        <f>VLOOKUP(Table25751978[[#This Row],[PEG]],Table1016[#All],3,FALSE)</f>
        <v>#N/A</v>
      </c>
    </row>
    <row r="17" spans="1:5" x14ac:dyDescent="0.35">
      <c r="A17" s="118">
        <v>10</v>
      </c>
      <c r="B17" s="114" t="s">
        <v>12</v>
      </c>
      <c r="C17" s="109" t="e">
        <f>VLOOKUP(Table25751978[[#This Row],[PEG]],Table1016[#All],2,FALSE)</f>
        <v>#N/A</v>
      </c>
      <c r="D17" s="117"/>
      <c r="E17" s="125" t="e">
        <f>VLOOKUP(Table25751978[[#This Row],[PEG]],Table1016[#All],3,FALSE)</f>
        <v>#N/A</v>
      </c>
    </row>
    <row r="18" spans="1:5" x14ac:dyDescent="0.35">
      <c r="A18" s="118">
        <v>11</v>
      </c>
      <c r="B18" s="114" t="s">
        <v>115</v>
      </c>
      <c r="C18" s="109" t="e">
        <f>VLOOKUP(Table25751978[[#This Row],[PEG]],Table1016[#All],2,FALSE)</f>
        <v>#N/A</v>
      </c>
      <c r="D18" s="117"/>
      <c r="E18" s="125" t="e">
        <f>VLOOKUP(Table25751978[[#This Row],[PEG]],Table1016[#All],3,FALSE)</f>
        <v>#N/A</v>
      </c>
    </row>
    <row r="19" spans="1:5" x14ac:dyDescent="0.35">
      <c r="A19" s="118">
        <v>12</v>
      </c>
      <c r="B19" s="114" t="s">
        <v>115</v>
      </c>
      <c r="C19" s="109" t="e">
        <f>VLOOKUP(Table25751978[[#This Row],[PEG]],Table1016[#All],2,FALSE)</f>
        <v>#N/A</v>
      </c>
      <c r="D19" s="117"/>
      <c r="E19" s="125" t="e">
        <f>VLOOKUP(Table25751978[[#This Row],[PEG]],Table1016[#All],3,FALSE)</f>
        <v>#N/A</v>
      </c>
    </row>
    <row r="20" spans="1:5" x14ac:dyDescent="0.35">
      <c r="A20" s="118">
        <v>13</v>
      </c>
      <c r="B20" s="114" t="s">
        <v>114</v>
      </c>
      <c r="C20" s="109" t="e">
        <f>VLOOKUP(Table25751978[[#This Row],[PEG]],Table1016[#All],2,FALSE)</f>
        <v>#N/A</v>
      </c>
      <c r="D20" s="117"/>
      <c r="E20" s="125" t="e">
        <f>VLOOKUP(Table25751978[[#This Row],[PEG]],Table1016[#All],3,FALSE)</f>
        <v>#N/A</v>
      </c>
    </row>
    <row r="21" spans="1:5" x14ac:dyDescent="0.35">
      <c r="A21" s="118">
        <v>14</v>
      </c>
      <c r="B21" s="114" t="s">
        <v>12</v>
      </c>
      <c r="C21" s="109" t="e">
        <f>VLOOKUP(Table25751978[[#This Row],[PEG]],Table1016[#All],2,FALSE)</f>
        <v>#N/A</v>
      </c>
      <c r="D21" s="117"/>
      <c r="E21" s="125" t="e">
        <f>VLOOKUP(Table25751978[[#This Row],[PEG]],Table1016[#All],3,FALSE)</f>
        <v>#N/A</v>
      </c>
    </row>
    <row r="22" spans="1:5" x14ac:dyDescent="0.35">
      <c r="A22" s="118">
        <v>15</v>
      </c>
      <c r="B22" s="114" t="s">
        <v>12</v>
      </c>
      <c r="C22" s="109" t="e">
        <f>VLOOKUP(Table25751978[[#This Row],[PEG]],Table1016[#All],2,FALSE)</f>
        <v>#N/A</v>
      </c>
      <c r="D22" s="117"/>
      <c r="E22" s="125" t="e">
        <f>VLOOKUP(Table25751978[[#This Row],[PEG]],Table1016[#All],3,FALSE)</f>
        <v>#N/A</v>
      </c>
    </row>
    <row r="23" spans="1:5" x14ac:dyDescent="0.35">
      <c r="A23" s="118">
        <v>16</v>
      </c>
      <c r="B23" s="114" t="s">
        <v>115</v>
      </c>
      <c r="C23" s="109" t="e">
        <f>VLOOKUP(Table25751978[[#This Row],[PEG]],Table1016[#All],2,FALSE)</f>
        <v>#N/A</v>
      </c>
      <c r="D23" s="117"/>
      <c r="E23" s="125" t="e">
        <f>VLOOKUP(Table25751978[[#This Row],[PEG]],Table1016[#All],3,FALSE)</f>
        <v>#N/A</v>
      </c>
    </row>
    <row r="24" spans="1:5" x14ac:dyDescent="0.35">
      <c r="A24" s="118">
        <v>17</v>
      </c>
      <c r="B24" s="114" t="s">
        <v>114</v>
      </c>
      <c r="C24" s="109" t="e">
        <f>VLOOKUP(Table25751978[[#This Row],[PEG]],Table1016[#All],2,FALSE)</f>
        <v>#N/A</v>
      </c>
      <c r="D24" s="117"/>
      <c r="E24" s="125" t="e">
        <f>VLOOKUP(Table25751978[[#This Row],[PEG]],Table1016[#All],3,FALSE)</f>
        <v>#N/A</v>
      </c>
    </row>
    <row r="25" spans="1:5" s="97" customFormat="1" x14ac:dyDescent="0.35">
      <c r="A25" s="118">
        <v>18</v>
      </c>
      <c r="B25" s="114" t="s">
        <v>12</v>
      </c>
      <c r="C25" s="109" t="e">
        <f>VLOOKUP(Table25751978[[#This Row],[PEG]],Table1016[#All],2,FALSE)</f>
        <v>#N/A</v>
      </c>
      <c r="D25" s="117"/>
      <c r="E25" s="125" t="e">
        <f>VLOOKUP(Table25751978[[#This Row],[PEG]],Table1016[#All],3,FALSE)</f>
        <v>#N/A</v>
      </c>
    </row>
    <row r="26" spans="1:5" x14ac:dyDescent="0.35">
      <c r="A26" s="118">
        <v>19</v>
      </c>
      <c r="B26" s="114" t="s">
        <v>12</v>
      </c>
      <c r="C26" s="109" t="e">
        <f>VLOOKUP(Table25751978[[#This Row],[PEG]],Table1016[#All],2,FALSE)</f>
        <v>#N/A</v>
      </c>
      <c r="D26" s="117"/>
      <c r="E26" s="125" t="e">
        <f>VLOOKUP(Table25751978[[#This Row],[PEG]],Table1016[#All],3,FALSE)</f>
        <v>#N/A</v>
      </c>
    </row>
    <row r="27" spans="1:5" x14ac:dyDescent="0.35">
      <c r="A27" s="118">
        <v>20</v>
      </c>
      <c r="B27" s="114" t="s">
        <v>115</v>
      </c>
      <c r="C27" s="109" t="e">
        <f>VLOOKUP(Table25751978[[#This Row],[PEG]],Table1016[#All],2,FALSE)</f>
        <v>#N/A</v>
      </c>
      <c r="D27" s="117"/>
      <c r="E27" s="125" t="e">
        <f>VLOOKUP(Table25751978[[#This Row],[PEG]],Table1016[#All],3,FALSE)</f>
        <v>#N/A</v>
      </c>
    </row>
    <row r="28" spans="1:5" x14ac:dyDescent="0.35">
      <c r="A28" s="118">
        <v>21</v>
      </c>
      <c r="B28" s="114" t="s">
        <v>114</v>
      </c>
      <c r="C28" s="109" t="e">
        <f>VLOOKUP(Table25751978[[#This Row],[PEG]],Table1016[#All],2,FALSE)</f>
        <v>#N/A</v>
      </c>
      <c r="D28" s="117"/>
      <c r="E28" s="125" t="e">
        <f>VLOOKUP(Table25751978[[#This Row],[PEG]],Table1016[#All],3,FALSE)</f>
        <v>#N/A</v>
      </c>
    </row>
    <row r="29" spans="1:5" x14ac:dyDescent="0.35">
      <c r="A29" s="118">
        <v>22</v>
      </c>
      <c r="B29" s="114" t="s">
        <v>12</v>
      </c>
      <c r="C29" s="109" t="e">
        <f>VLOOKUP(Table25751978[[#This Row],[PEG]],Table1016[#All],2,FALSE)</f>
        <v>#N/A</v>
      </c>
      <c r="D29" s="117"/>
      <c r="E29" s="125" t="e">
        <f>VLOOKUP(Table25751978[[#This Row],[PEG]],Table1016[#All],3,FALSE)</f>
        <v>#N/A</v>
      </c>
    </row>
    <row r="30" spans="1:5" x14ac:dyDescent="0.35">
      <c r="A30" s="118">
        <v>23</v>
      </c>
      <c r="B30" s="114" t="s">
        <v>12</v>
      </c>
      <c r="C30" s="109" t="e">
        <f>VLOOKUP(Table25751978[[#This Row],[PEG]],Table1016[#All],2,FALSE)</f>
        <v>#N/A</v>
      </c>
      <c r="D30" s="117"/>
      <c r="E30" s="125" t="e">
        <f>VLOOKUP(Table25751978[[#This Row],[PEG]],Table1016[#All],3,FALSE)</f>
        <v>#N/A</v>
      </c>
    </row>
    <row r="31" spans="1:5" x14ac:dyDescent="0.35">
      <c r="A31" s="118">
        <v>24</v>
      </c>
      <c r="B31" s="114" t="s">
        <v>115</v>
      </c>
      <c r="C31" s="109" t="e">
        <f>VLOOKUP(Table25751978[[#This Row],[PEG]],Table1016[#All],2,FALSE)</f>
        <v>#N/A</v>
      </c>
      <c r="D31" s="117"/>
      <c r="E31" s="125" t="e">
        <f>VLOOKUP(Table25751978[[#This Row],[PEG]],Table1016[#All],3,FALSE)</f>
        <v>#N/A</v>
      </c>
    </row>
    <row r="32" spans="1:5" x14ac:dyDescent="0.35">
      <c r="A32" s="118">
        <v>25</v>
      </c>
      <c r="B32" s="114" t="s">
        <v>115</v>
      </c>
      <c r="C32" s="109" t="e">
        <f>VLOOKUP(Table25751978[[#This Row],[PEG]],Table1016[#All],2,FALSE)</f>
        <v>#N/A</v>
      </c>
      <c r="D32" s="117"/>
      <c r="E32" s="125" t="e">
        <f>VLOOKUP(Table25751978[[#This Row],[PEG]],Table1016[#All],3,FALSE)</f>
        <v>#N/A</v>
      </c>
    </row>
    <row r="33" spans="1:5" x14ac:dyDescent="0.35">
      <c r="A33" s="118">
        <v>26</v>
      </c>
      <c r="B33" s="114" t="s">
        <v>124</v>
      </c>
      <c r="C33" s="109" t="e">
        <f>VLOOKUP(Table25751978[[#This Row],[PEG]],Table1016[#All],2,FALSE)</f>
        <v>#N/A</v>
      </c>
      <c r="D33" s="117"/>
      <c r="E33" s="125" t="e">
        <f>VLOOKUP(Table25751978[[#This Row],[PEG]],Table1016[#All],3,FALSE)</f>
        <v>#N/A</v>
      </c>
    </row>
    <row r="34" spans="1:5" x14ac:dyDescent="0.35">
      <c r="A34" s="118">
        <v>27</v>
      </c>
      <c r="B34" s="114" t="s">
        <v>115</v>
      </c>
      <c r="C34" s="109" t="e">
        <f>VLOOKUP(Table25751978[[#This Row],[PEG]],Table1016[#All],2,FALSE)</f>
        <v>#N/A</v>
      </c>
      <c r="D34" s="117"/>
      <c r="E34" s="125" t="e">
        <f>VLOOKUP(Table25751978[[#This Row],[PEG]],Table1016[#All],3,FALSE)</f>
        <v>#N/A</v>
      </c>
    </row>
    <row r="35" spans="1:5" x14ac:dyDescent="0.35">
      <c r="A35" s="118">
        <v>28</v>
      </c>
      <c r="B35" s="114" t="s">
        <v>124</v>
      </c>
      <c r="C35" s="109" t="e">
        <f>VLOOKUP(Table25751978[[#This Row],[PEG]],Table1016[#All],2,FALSE)</f>
        <v>#N/A</v>
      </c>
      <c r="D35" s="117"/>
      <c r="E35" s="125" t="e">
        <f>VLOOKUP(Table25751978[[#This Row],[PEG]],Table1016[#All],3,FALSE)</f>
        <v>#N/A</v>
      </c>
    </row>
    <row r="36" spans="1:5" x14ac:dyDescent="0.35">
      <c r="A36" s="118">
        <v>29</v>
      </c>
      <c r="B36" s="114" t="s">
        <v>115</v>
      </c>
      <c r="C36" s="109" t="e">
        <f>VLOOKUP(Table25751978[[#This Row],[PEG]],Table1016[#All],2,FALSE)</f>
        <v>#N/A</v>
      </c>
      <c r="D36" s="117"/>
      <c r="E36" s="125" t="e">
        <f>VLOOKUP(Table25751978[[#This Row],[PEG]],Table1016[#All],3,FALSE)</f>
        <v>#N/A</v>
      </c>
    </row>
    <row r="37" spans="1:5" x14ac:dyDescent="0.35">
      <c r="A37" s="118">
        <v>30</v>
      </c>
      <c r="B37" s="114" t="s">
        <v>12</v>
      </c>
      <c r="C37" s="109" t="e">
        <f>VLOOKUP(Table25751978[[#This Row],[PEG]],Table1016[#All],2,FALSE)</f>
        <v>#N/A</v>
      </c>
      <c r="D37" s="117"/>
      <c r="E37" s="125" t="e">
        <f>VLOOKUP(Table25751978[[#This Row],[PEG]],Table1016[#All],3,FALSE)</f>
        <v>#N/A</v>
      </c>
    </row>
    <row r="38" spans="1:5" x14ac:dyDescent="0.35">
      <c r="A38" s="118">
        <v>31</v>
      </c>
      <c r="B38" s="114" t="s">
        <v>12</v>
      </c>
      <c r="C38" s="109" t="e">
        <f>VLOOKUP(Table25751978[[#This Row],[PEG]],Table1016[#All],2,FALSE)</f>
        <v>#N/A</v>
      </c>
      <c r="D38" s="117"/>
      <c r="E38" s="125" t="e">
        <f>VLOOKUP(Table25751978[[#This Row],[PEG]],Table1016[#All],3,FALSE)</f>
        <v>#N/A</v>
      </c>
    </row>
    <row r="39" spans="1:5" x14ac:dyDescent="0.35">
      <c r="A39" s="118">
        <v>32</v>
      </c>
      <c r="B39" s="114" t="s">
        <v>12</v>
      </c>
      <c r="C39" s="109" t="e">
        <f>VLOOKUP(Table25751978[[#This Row],[PEG]],Table1016[#All],2,FALSE)</f>
        <v>#N/A</v>
      </c>
      <c r="D39" s="117"/>
      <c r="E39" s="125" t="e">
        <f>VLOOKUP(Table25751978[[#This Row],[PEG]],Table1016[#All],3,FALSE)</f>
        <v>#N/A</v>
      </c>
    </row>
    <row r="40" spans="1:5" x14ac:dyDescent="0.35">
      <c r="A40" s="118">
        <v>33</v>
      </c>
      <c r="B40" s="114" t="s">
        <v>12</v>
      </c>
      <c r="C40" s="109" t="e">
        <f>VLOOKUP(Table25751978[[#This Row],[PEG]],Table1016[#All],2,FALSE)</f>
        <v>#N/A</v>
      </c>
      <c r="D40" s="117"/>
      <c r="E40" s="125" t="e">
        <f>VLOOKUP(Table25751978[[#This Row],[PEG]],Table1016[#All],3,FALSE)</f>
        <v>#N/A</v>
      </c>
    </row>
    <row r="41" spans="1:5" x14ac:dyDescent="0.35">
      <c r="A41" s="118">
        <v>34</v>
      </c>
      <c r="B41" s="114" t="s">
        <v>115</v>
      </c>
      <c r="C41" s="109" t="e">
        <f>VLOOKUP(Table25751978[[#This Row],[PEG]],Table1016[#All],2,FALSE)</f>
        <v>#N/A</v>
      </c>
      <c r="D41" s="117"/>
      <c r="E41" s="125" t="e">
        <f>VLOOKUP(Table25751978[[#This Row],[PEG]],Table1016[#All],3,FALSE)</f>
        <v>#N/A</v>
      </c>
    </row>
    <row r="42" spans="1:5" x14ac:dyDescent="0.35">
      <c r="A42" s="118">
        <v>35</v>
      </c>
      <c r="B42" s="114" t="s">
        <v>12</v>
      </c>
      <c r="C42" s="109" t="e">
        <f>VLOOKUP(Table25751978[[#This Row],[PEG]],Table1016[#All],2,FALSE)</f>
        <v>#N/A</v>
      </c>
      <c r="D42" s="115"/>
      <c r="E42" s="125" t="e">
        <f>VLOOKUP(Table25751978[[#This Row],[PEG]],Table1016[#All],3,FALSE)</f>
        <v>#N/A</v>
      </c>
    </row>
    <row r="43" spans="1:5" x14ac:dyDescent="0.35">
      <c r="A43" s="118">
        <v>36</v>
      </c>
      <c r="B43" s="114" t="s">
        <v>115</v>
      </c>
      <c r="C43" s="109" t="e">
        <f>VLOOKUP(Table25751978[[#This Row],[PEG]],Table1016[#All],2,FALSE)</f>
        <v>#N/A</v>
      </c>
      <c r="D43" s="115"/>
      <c r="E43" s="125" t="e">
        <f>VLOOKUP(Table25751978[[#This Row],[PEG]],Table1016[#All],3,FALSE)</f>
        <v>#N/A</v>
      </c>
    </row>
    <row r="44" spans="1:5" x14ac:dyDescent="0.35">
      <c r="A44" s="118">
        <v>37</v>
      </c>
      <c r="B44" s="114" t="s">
        <v>13</v>
      </c>
      <c r="C44" s="18" t="s">
        <v>13</v>
      </c>
      <c r="D44" s="115"/>
      <c r="E44" s="32"/>
    </row>
    <row r="45" spans="1:5" x14ac:dyDescent="0.35">
      <c r="C45" s="26"/>
    </row>
    <row r="46" spans="1:5" x14ac:dyDescent="0.35">
      <c r="C46" s="26"/>
    </row>
    <row r="47" spans="1:5" x14ac:dyDescent="0.35">
      <c r="C47" s="26"/>
    </row>
    <row r="48" spans="1:5" x14ac:dyDescent="0.35">
      <c r="C48" s="26"/>
    </row>
    <row r="49" spans="3:3" x14ac:dyDescent="0.35">
      <c r="C49" s="26"/>
    </row>
    <row r="50" spans="3:3" x14ac:dyDescent="0.35">
      <c r="C50" s="26"/>
    </row>
    <row r="51" spans="3:3" x14ac:dyDescent="0.35">
      <c r="C51" s="26"/>
    </row>
    <row r="52" spans="3:3" x14ac:dyDescent="0.35">
      <c r="C52" s="26"/>
    </row>
    <row r="53" spans="3:3" x14ac:dyDescent="0.35">
      <c r="C53" s="26"/>
    </row>
    <row r="54" spans="3:3" x14ac:dyDescent="0.35">
      <c r="C54" s="26"/>
    </row>
    <row r="55" spans="3:3" x14ac:dyDescent="0.35">
      <c r="C55" s="26"/>
    </row>
    <row r="56" spans="3:3" x14ac:dyDescent="0.35">
      <c r="C56" s="26"/>
    </row>
    <row r="57" spans="3:3" x14ac:dyDescent="0.35">
      <c r="C57" s="27"/>
    </row>
    <row r="58" spans="3:3" x14ac:dyDescent="0.35">
      <c r="C58" s="27"/>
    </row>
    <row r="59" spans="3:3" x14ac:dyDescent="0.35">
      <c r="C59" s="27"/>
    </row>
  </sheetData>
  <mergeCells count="1">
    <mergeCell ref="A1:B1"/>
  </mergeCells>
  <conditionalFormatting sqref="C45:C9998">
    <cfRule type="expression" dxfId="3213" priority="49">
      <formula>$B45="Dial"</formula>
    </cfRule>
    <cfRule type="expression" dxfId="3212" priority="51">
      <formula>$B45="HANGUP"</formula>
    </cfRule>
  </conditionalFormatting>
  <conditionalFormatting sqref="B30">
    <cfRule type="containsText" dxfId="3211" priority="4" operator="containsText" text="Hear">
      <formula>NOT(ISERROR(SEARCH("Hear",B30)))</formula>
    </cfRule>
  </conditionalFormatting>
  <conditionalFormatting sqref="B43:B44">
    <cfRule type="containsText" dxfId="3210" priority="14" operator="containsText" text="Hear">
      <formula>NOT(ISERROR(SEARCH("Hear",B43)))</formula>
    </cfRule>
  </conditionalFormatting>
  <conditionalFormatting sqref="E44">
    <cfRule type="containsText" dxfId="3209" priority="12" operator="containsText" text="WEB SERVICE">
      <formula>NOT(ISERROR(SEARCH("WEB SERVICE",E44)))</formula>
    </cfRule>
    <cfRule type="containsText" dxfId="3208" priority="13" operator="containsText" text="DB">
      <formula>NOT(ISERROR(SEARCH("DB",E44)))</formula>
    </cfRule>
  </conditionalFormatting>
  <conditionalFormatting sqref="C44">
    <cfRule type="expression" dxfId="3207" priority="15">
      <formula>$B44="Dial"</formula>
    </cfRule>
    <cfRule type="expression" dxfId="3206" priority="17">
      <formula>$B44="HANGUP"</formula>
    </cfRule>
  </conditionalFormatting>
  <conditionalFormatting sqref="C44">
    <cfRule type="expression" dxfId="3205" priority="16">
      <formula>$B44="Speak"</formula>
    </cfRule>
  </conditionalFormatting>
  <conditionalFormatting sqref="B8:B18">
    <cfRule type="containsText" dxfId="3204" priority="1" operator="containsText" text="Hear">
      <formula>NOT(ISERROR(SEARCH("Hear",B8)))</formula>
    </cfRule>
  </conditionalFormatting>
  <conditionalFormatting sqref="B36:B38 B40:B41">
    <cfRule type="containsText" dxfId="3203" priority="3" operator="containsText" text="Hear">
      <formula>NOT(ISERROR(SEARCH("Hear",B36)))</formula>
    </cfRule>
  </conditionalFormatting>
  <conditionalFormatting sqref="B19:B29 B31:B35 B42">
    <cfRule type="containsText" dxfId="3202" priority="5" operator="containsText" text="Hear">
      <formula>NOT(ISERROR(SEARCH("Hear",B19)))</formula>
    </cfRule>
  </conditionalFormatting>
  <hyperlinks>
    <hyperlink ref="A1" location="'Test Case Overview'!A1" display="Return to Test Case Overview" xr:uid="{00000000-0004-0000-5A00-000000000000}"/>
  </hyperlinks>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expression" priority="27" id="{22EA3FF3-3894-488A-B461-F088073EE119}">
            <xm:f>'TC1'!$B8="Speak"</xm:f>
            <x14:dxf>
              <font>
                <b/>
                <i val="0"/>
                <color rgb="FFFF0000"/>
              </font>
            </x14:dxf>
          </x14:cfRule>
          <xm:sqref>C8</xm:sqref>
        </x14:conditionalFormatting>
        <x14:conditionalFormatting xmlns:xm="http://schemas.microsoft.com/office/excel/2006/main">
          <x14:cfRule type="expression" priority="8" id="{DC041851-8253-4EC2-B596-542EF1AE07C9}">
            <xm:f>'TC1'!$B8="HANGUP"</xm:f>
            <x14:dxf>
              <font>
                <b/>
                <i val="0"/>
              </font>
            </x14:dxf>
          </x14:cfRule>
          <x14:cfRule type="expression" priority="9" id="{4943CA47-FF93-488D-923F-8309A98C75CC}">
            <xm:f>'TC1'!$B8="Dial"</xm:f>
            <x14:dxf>
              <font>
                <b/>
                <i val="0"/>
                <color rgb="FFFF0000"/>
              </font>
            </x14:dxf>
          </x14:cfRule>
          <xm:sqref>C8</xm:sqref>
        </x14:conditionalFormatting>
        <x14:conditionalFormatting xmlns:xm="http://schemas.microsoft.com/office/excel/2006/main">
          <x14:cfRule type="containsText" priority="2" operator="containsText" text="Hear" id="{5F945B7E-BB0B-4472-AB53-AC256C67B253}">
            <xm:f>NOT(ISERROR(SEARCH("Hear",'TC3'!B34)))</xm:f>
            <x14:dxf>
              <font>
                <color theme="9" tint="-0.24994659260841701"/>
              </font>
              <fill>
                <patternFill>
                  <bgColor theme="9" tint="0.59996337778862885"/>
                </patternFill>
              </fill>
            </x14:dxf>
          </x14:cfRule>
          <xm:sqref>B41</xm:sqref>
        </x14:conditionalFormatting>
        <x14:conditionalFormatting xmlns:xm="http://schemas.microsoft.com/office/excel/2006/main">
          <x14:cfRule type="expression" priority="2062" id="{22EA3FF3-3894-488A-B461-F088073EE119}">
            <xm:f>'TC1'!$B16="Speak"</xm:f>
            <x14:dxf>
              <font>
                <b/>
                <i val="0"/>
                <color rgb="FFFF0000"/>
              </font>
            </x14:dxf>
          </x14:cfRule>
          <xm:sqref>C34:C43</xm:sqref>
        </x14:conditionalFormatting>
        <x14:conditionalFormatting xmlns:xm="http://schemas.microsoft.com/office/excel/2006/main">
          <x14:cfRule type="expression" priority="2063" id="{22EA3FF3-3894-488A-B461-F088073EE119}">
            <xm:f>'TC1'!#REF!="Speak"</xm:f>
            <x14:dxf>
              <font>
                <b/>
                <i val="0"/>
                <color rgb="FFFF0000"/>
              </font>
            </x14:dxf>
          </x14:cfRule>
          <xm:sqref>C17:C33</xm:sqref>
        </x14:conditionalFormatting>
        <x14:conditionalFormatting xmlns:xm="http://schemas.microsoft.com/office/excel/2006/main">
          <x14:cfRule type="expression" priority="2067" id="{DC041851-8253-4EC2-B596-542EF1AE07C9}">
            <xm:f>'TC1'!$B16="HANGUP"</xm:f>
            <x14:dxf>
              <font>
                <b/>
                <i val="0"/>
              </font>
            </x14:dxf>
          </x14:cfRule>
          <x14:cfRule type="expression" priority="2068" id="{4943CA47-FF93-488D-923F-8309A98C75CC}">
            <xm:f>'TC1'!$B16="Dial"</xm:f>
            <x14:dxf>
              <font>
                <b/>
                <i val="0"/>
                <color rgb="FFFF0000"/>
              </font>
            </x14:dxf>
          </x14:cfRule>
          <xm:sqref>C34:C43</xm:sqref>
        </x14:conditionalFormatting>
        <x14:conditionalFormatting xmlns:xm="http://schemas.microsoft.com/office/excel/2006/main">
          <x14:cfRule type="expression" priority="2069" id="{DC041851-8253-4EC2-B596-542EF1AE07C9}">
            <xm:f>'TC1'!#REF!="HANGUP"</xm:f>
            <x14:dxf>
              <font>
                <b/>
                <i val="0"/>
              </font>
            </x14:dxf>
          </x14:cfRule>
          <x14:cfRule type="expression" priority="2070" id="{4943CA47-FF93-488D-923F-8309A98C75CC}">
            <xm:f>'TC1'!#REF!="Dial"</xm:f>
            <x14:dxf>
              <font>
                <b/>
                <i val="0"/>
                <color rgb="FFFF0000"/>
              </font>
            </x14:dxf>
          </x14:cfRule>
          <xm:sqref>C17:C33</xm:sqref>
        </x14:conditionalFormatting>
        <x14:conditionalFormatting xmlns:xm="http://schemas.microsoft.com/office/excel/2006/main">
          <x14:cfRule type="containsText" priority="2075" operator="containsText" text="DB" id="{254AD68F-E053-4418-B81F-72C5CD4F4D1F}">
            <xm:f>NOT(ISERROR(SEARCH("DB",'TC1'!E16)))</xm:f>
            <x14:dxf>
              <font>
                <color rgb="FF006100"/>
              </font>
              <fill>
                <patternFill>
                  <bgColor rgb="FFC6EFCE"/>
                </patternFill>
              </fill>
            </x14:dxf>
          </x14:cfRule>
          <x14:cfRule type="containsText" priority="2076" operator="containsText" text="WEB SERVICE" id="{B307EA0B-C8F1-4CB6-8F2C-22AC603E7E39}">
            <xm:f>NOT(ISERROR(SEARCH("WEB SERVICE",'TC1'!E16)))</xm:f>
            <x14:dxf>
              <font>
                <color rgb="FF9C0006"/>
              </font>
              <fill>
                <patternFill>
                  <bgColor rgb="FFFFC7CE"/>
                </patternFill>
              </fill>
            </x14:dxf>
          </x14:cfRule>
          <xm:sqref>E34:E43</xm:sqref>
        </x14:conditionalFormatting>
        <x14:conditionalFormatting xmlns:xm="http://schemas.microsoft.com/office/excel/2006/main">
          <x14:cfRule type="containsText" priority="2077" operator="containsText" text="DB" id="{254AD68F-E053-4418-B81F-72C5CD4F4D1F}">
            <xm:f>NOT(ISERROR(SEARCH("DB",'TC1'!#REF!)))</xm:f>
            <x14:dxf>
              <font>
                <color rgb="FF006100"/>
              </font>
              <fill>
                <patternFill>
                  <bgColor rgb="FFC6EFCE"/>
                </patternFill>
              </fill>
            </x14:dxf>
          </x14:cfRule>
          <x14:cfRule type="containsText" priority="2078" operator="containsText" text="WEB SERVICE" id="{B307EA0B-C8F1-4CB6-8F2C-22AC603E7E39}">
            <xm:f>NOT(ISERROR(SEARCH("WEB SERVICE",'TC1'!#REF!)))</xm:f>
            <x14:dxf>
              <font>
                <color rgb="FF9C0006"/>
              </font>
              <fill>
                <patternFill>
                  <bgColor rgb="FFFFC7CE"/>
                </patternFill>
              </fill>
            </x14:dxf>
          </x14:cfRule>
          <xm:sqref>E17:E33</xm:sqref>
        </x14:conditionalFormatting>
        <x14:conditionalFormatting xmlns:xm="http://schemas.microsoft.com/office/excel/2006/main">
          <x14:cfRule type="expression" priority="4794" id="{22EA3FF3-3894-488A-B461-F088073EE119}">
            <xm:f>'TC1'!$B9="Speak"</xm:f>
            <x14:dxf>
              <font>
                <b/>
                <i val="0"/>
                <color rgb="FFFF0000"/>
              </font>
            </x14:dxf>
          </x14:cfRule>
          <xm:sqref>C12:C15</xm:sqref>
        </x14:conditionalFormatting>
        <x14:conditionalFormatting xmlns:xm="http://schemas.microsoft.com/office/excel/2006/main">
          <x14:cfRule type="expression" priority="4795" id="{22EA3FF3-3894-488A-B461-F088073EE119}">
            <xm:f>'TC1'!#REF!="Speak"</xm:f>
            <x14:dxf>
              <font>
                <b/>
                <i val="0"/>
                <color rgb="FFFF0000"/>
              </font>
            </x14:dxf>
          </x14:cfRule>
          <xm:sqref>C9:C11</xm:sqref>
        </x14:conditionalFormatting>
        <x14:conditionalFormatting xmlns:xm="http://schemas.microsoft.com/office/excel/2006/main">
          <x14:cfRule type="expression" priority="4799" id="{DC041851-8253-4EC2-B596-542EF1AE07C9}">
            <xm:f>'TC1'!$B9="HANGUP"</xm:f>
            <x14:dxf>
              <font>
                <b/>
                <i val="0"/>
              </font>
            </x14:dxf>
          </x14:cfRule>
          <x14:cfRule type="expression" priority="4800" id="{4943CA47-FF93-488D-923F-8309A98C75CC}">
            <xm:f>'TC1'!$B9="Dial"</xm:f>
            <x14:dxf>
              <font>
                <b/>
                <i val="0"/>
                <color rgb="FFFF0000"/>
              </font>
            </x14:dxf>
          </x14:cfRule>
          <xm:sqref>C12:C15</xm:sqref>
        </x14:conditionalFormatting>
        <x14:conditionalFormatting xmlns:xm="http://schemas.microsoft.com/office/excel/2006/main">
          <x14:cfRule type="expression" priority="4801" id="{DC041851-8253-4EC2-B596-542EF1AE07C9}">
            <xm:f>'TC1'!#REF!="HANGUP"</xm:f>
            <x14:dxf>
              <font>
                <b/>
                <i val="0"/>
              </font>
            </x14:dxf>
          </x14:cfRule>
          <x14:cfRule type="expression" priority="4802" id="{4943CA47-FF93-488D-923F-8309A98C75CC}">
            <xm:f>'TC1'!#REF!="Dial"</xm:f>
            <x14:dxf>
              <font>
                <b/>
                <i val="0"/>
                <color rgb="FFFF0000"/>
              </font>
            </x14:dxf>
          </x14:cfRule>
          <xm:sqref>C9:C11</xm:sqref>
        </x14:conditionalFormatting>
        <x14:conditionalFormatting xmlns:xm="http://schemas.microsoft.com/office/excel/2006/main">
          <x14:cfRule type="containsText" priority="4805" operator="containsText" text="DB" id="{254AD68F-E053-4418-B81F-72C5CD4F4D1F}">
            <xm:f>NOT(ISERROR(SEARCH("DB",'TC1'!#REF!)))</xm:f>
            <x14:dxf>
              <font>
                <color rgb="FF006100"/>
              </font>
              <fill>
                <patternFill>
                  <bgColor rgb="FFC6EFCE"/>
                </patternFill>
              </fill>
            </x14:dxf>
          </x14:cfRule>
          <x14:cfRule type="containsText" priority="4806" operator="containsText" text="WEB SERVICE" id="{B307EA0B-C8F1-4CB6-8F2C-22AC603E7E39}">
            <xm:f>NOT(ISERROR(SEARCH("WEB SERVICE",'TC1'!#REF!)))</xm:f>
            <x14:dxf>
              <font>
                <color rgb="FF9C0006"/>
              </font>
              <fill>
                <patternFill>
                  <bgColor rgb="FFFFC7CE"/>
                </patternFill>
              </fill>
            </x14:dxf>
          </x14:cfRule>
          <xm:sqref>E9:E11</xm:sqref>
        </x14:conditionalFormatting>
        <x14:conditionalFormatting xmlns:xm="http://schemas.microsoft.com/office/excel/2006/main">
          <x14:cfRule type="containsText" priority="4807" operator="containsText" text="DB" id="{254AD68F-E053-4418-B81F-72C5CD4F4D1F}">
            <xm:f>NOT(ISERROR(SEARCH("DB",'TC1'!E9)))</xm:f>
            <x14:dxf>
              <font>
                <color rgb="FF006100"/>
              </font>
              <fill>
                <patternFill>
                  <bgColor rgb="FFC6EFCE"/>
                </patternFill>
              </fill>
            </x14:dxf>
          </x14:cfRule>
          <x14:cfRule type="containsText" priority="4808" operator="containsText" text="WEB SERVICE" id="{B307EA0B-C8F1-4CB6-8F2C-22AC603E7E39}">
            <xm:f>NOT(ISERROR(SEARCH("WEB SERVICE",'TC1'!E9)))</xm:f>
            <x14:dxf>
              <font>
                <color rgb="FF9C0006"/>
              </font>
              <fill>
                <patternFill>
                  <bgColor rgb="FFFFC7CE"/>
                </patternFill>
              </fill>
            </x14:dxf>
          </x14:cfRule>
          <xm:sqref>E12:E15</xm:sqref>
        </x14:conditionalFormatting>
        <x14:conditionalFormatting xmlns:xm="http://schemas.microsoft.com/office/excel/2006/main">
          <x14:cfRule type="expression" priority="7174" id="{22EA3FF3-3894-488A-B461-F088073EE119}">
            <xm:f>'TC1'!$B15="Speak"</xm:f>
            <x14:dxf>
              <font>
                <b/>
                <i val="0"/>
                <color rgb="FFFF0000"/>
              </font>
            </x14:dxf>
          </x14:cfRule>
          <xm:sqref>C16</xm:sqref>
        </x14:conditionalFormatting>
        <x14:conditionalFormatting xmlns:xm="http://schemas.microsoft.com/office/excel/2006/main">
          <x14:cfRule type="expression" priority="7177" id="{DC041851-8253-4EC2-B596-542EF1AE07C9}">
            <xm:f>'TC1'!$B15="HANGUP"</xm:f>
            <x14:dxf>
              <font>
                <b/>
                <i val="0"/>
              </font>
            </x14:dxf>
          </x14:cfRule>
          <x14:cfRule type="expression" priority="7178" id="{4943CA47-FF93-488D-923F-8309A98C75CC}">
            <xm:f>'TC1'!$B15="Dial"</xm:f>
            <x14:dxf>
              <font>
                <b/>
                <i val="0"/>
                <color rgb="FFFF0000"/>
              </font>
            </x14:dxf>
          </x14:cfRule>
          <xm:sqref>C16</xm:sqref>
        </x14:conditionalFormatting>
        <x14:conditionalFormatting xmlns:xm="http://schemas.microsoft.com/office/excel/2006/main">
          <x14:cfRule type="containsText" priority="7181" operator="containsText" text="DB" id="{254AD68F-E053-4418-B81F-72C5CD4F4D1F}">
            <xm:f>NOT(ISERROR(SEARCH("DB",'TC1'!E15)))</xm:f>
            <x14:dxf>
              <font>
                <color rgb="FF006100"/>
              </font>
              <fill>
                <patternFill>
                  <bgColor rgb="FFC6EFCE"/>
                </patternFill>
              </fill>
            </x14:dxf>
          </x14:cfRule>
          <x14:cfRule type="containsText" priority="7182" operator="containsText" text="WEB SERVICE" id="{B307EA0B-C8F1-4CB6-8F2C-22AC603E7E39}">
            <xm:f>NOT(ISERROR(SEARCH("WEB SERVICE",'TC1'!E15)))</xm:f>
            <x14:dxf>
              <font>
                <color rgb="FF9C0006"/>
              </font>
              <fill>
                <patternFill>
                  <bgColor rgb="FFFFC7CE"/>
                </patternFill>
              </fill>
            </x14:dxf>
          </x14:cfRule>
          <xm:sqref>E16</xm:sqref>
        </x14:conditionalFormatting>
        <x14:conditionalFormatting xmlns:xm="http://schemas.microsoft.com/office/excel/2006/main">
          <x14:cfRule type="containsText" priority="9634" operator="containsText" text="Hear" id="{E8BC3D1C-9062-4C96-9A77-DB988843145A}">
            <xm:f>NOT(ISERROR(SEARCH("Hear",'TC26'!#REF!)))</xm:f>
            <x14:dxf>
              <font>
                <color theme="9" tint="-0.24994659260841701"/>
              </font>
              <fill>
                <patternFill>
                  <bgColor theme="9" tint="0.59996337778862885"/>
                </patternFill>
              </fill>
            </x14:dxf>
          </x14:cfRule>
          <xm:sqref>B39</xm:sqref>
        </x14:conditionalFormatting>
      </x14:conditionalFormattings>
    </ext>
  </extLst>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B00-000000000000}">
  <sheetPr codeName="Sheet93"/>
  <dimension ref="A1:E60"/>
  <sheetViews>
    <sheetView zoomScaleNormal="100" workbookViewId="0">
      <selection activeCell="A2" sqref="A2"/>
    </sheetView>
  </sheetViews>
  <sheetFormatPr defaultRowHeight="14.5" x14ac:dyDescent="0.35"/>
  <cols>
    <col min="1" max="1" width="14.453125" style="97" bestFit="1" customWidth="1"/>
    <col min="2" max="2" width="42.6328125" style="97" customWidth="1"/>
    <col min="3" max="3" width="106.1796875" style="98" customWidth="1"/>
    <col min="4" max="4" width="21.81640625" style="111" bestFit="1" customWidth="1"/>
    <col min="5" max="5" width="20.6328125" style="97" customWidth="1"/>
  </cols>
  <sheetData>
    <row r="1" spans="1:5" ht="18.5" x14ac:dyDescent="0.35">
      <c r="A1" s="192" t="s">
        <v>4</v>
      </c>
      <c r="B1" s="192"/>
      <c r="C1" s="105"/>
    </row>
    <row r="2" spans="1:5" x14ac:dyDescent="0.35">
      <c r="A2" s="106" t="s">
        <v>5</v>
      </c>
      <c r="B2" s="107" t="str">
        <f ca="1">MID(CELL("filename",A1),FIND("]",CELL("filename",A1))+1,LEN(CELL("filename",A1))-FIND("]",CELL("filename",A1)))</f>
        <v>TC91</v>
      </c>
    </row>
    <row r="3" spans="1:5" x14ac:dyDescent="0.35">
      <c r="A3" s="104" t="s">
        <v>19</v>
      </c>
      <c r="B3" s="112">
        <f ca="1">VLOOKUP(B2,Table53[#All],2,FALSE)</f>
        <v>0</v>
      </c>
    </row>
    <row r="4" spans="1:5" ht="29" x14ac:dyDescent="0.35">
      <c r="A4" s="113" t="s">
        <v>20</v>
      </c>
      <c r="B4" s="99">
        <f ca="1">VLOOKUP(B2,Table53[#All],4,FALSE)</f>
        <v>0</v>
      </c>
    </row>
    <row r="5" spans="1:5" ht="29" customHeight="1" x14ac:dyDescent="0.35">
      <c r="A5" s="104" t="s">
        <v>6</v>
      </c>
      <c r="B5" s="77">
        <f ca="1">VLOOKUP(B2,Table53[#All],3,FALSE)</f>
        <v>0</v>
      </c>
    </row>
    <row r="7" spans="1:5" ht="15.5" x14ac:dyDescent="0.35">
      <c r="A7" s="100" t="s">
        <v>7</v>
      </c>
      <c r="B7" s="101" t="s">
        <v>8</v>
      </c>
      <c r="C7" s="102" t="s">
        <v>9</v>
      </c>
      <c r="D7" s="102" t="s">
        <v>14</v>
      </c>
      <c r="E7" s="103" t="s">
        <v>10</v>
      </c>
    </row>
    <row r="8" spans="1:5" x14ac:dyDescent="0.35">
      <c r="A8" s="118">
        <v>1</v>
      </c>
      <c r="B8" s="114" t="s">
        <v>114</v>
      </c>
      <c r="C8" s="109" t="s">
        <v>125</v>
      </c>
      <c r="D8" s="128"/>
      <c r="E8" s="125" t="s">
        <v>11</v>
      </c>
    </row>
    <row r="9" spans="1:5" s="97" customFormat="1" x14ac:dyDescent="0.35">
      <c r="A9" s="118">
        <v>2</v>
      </c>
      <c r="B9" s="114" t="s">
        <v>12</v>
      </c>
      <c r="C9" s="109" t="e">
        <f>VLOOKUP(Table25751980[[#This Row],[PEG]],Table1016[#All],2,FALSE)</f>
        <v>#N/A</v>
      </c>
      <c r="D9" s="128"/>
      <c r="E9" s="125" t="e">
        <f>VLOOKUP(Table25751980[[#This Row],[PEG]],Table1016[#All],3,FALSE)</f>
        <v>#N/A</v>
      </c>
    </row>
    <row r="10" spans="1:5" s="97" customFormat="1" x14ac:dyDescent="0.35">
      <c r="A10" s="118">
        <v>3</v>
      </c>
      <c r="B10" s="114" t="s">
        <v>115</v>
      </c>
      <c r="C10" s="109" t="e">
        <f>VLOOKUP(Table25751980[[#This Row],[PEG]],Table1016[#All],2,FALSE)</f>
        <v>#N/A</v>
      </c>
      <c r="D10" s="128"/>
      <c r="E10" s="125" t="e">
        <f>VLOOKUP(Table25751980[[#This Row],[PEG]],Table1016[#All],3,FALSE)</f>
        <v>#N/A</v>
      </c>
    </row>
    <row r="11" spans="1:5" s="97" customFormat="1" x14ac:dyDescent="0.35">
      <c r="A11" s="118">
        <v>4</v>
      </c>
      <c r="B11" s="114" t="s">
        <v>115</v>
      </c>
      <c r="C11" s="109" t="e">
        <f>VLOOKUP(Table25751980[[#This Row],[PEG]],Table1016[#All],2,FALSE)</f>
        <v>#N/A</v>
      </c>
      <c r="D11" s="128"/>
      <c r="E11" s="125" t="e">
        <f>VLOOKUP(Table25751980[[#This Row],[PEG]],Table1016[#All],3,FALSE)</f>
        <v>#N/A</v>
      </c>
    </row>
    <row r="12" spans="1:5" s="97" customFormat="1" x14ac:dyDescent="0.35">
      <c r="A12" s="118">
        <v>5</v>
      </c>
      <c r="B12" s="114" t="s">
        <v>114</v>
      </c>
      <c r="C12" s="109" t="e">
        <f>VLOOKUP(Table25751980[[#This Row],[PEG]],Table1016[#All],2,FALSE)</f>
        <v>#N/A</v>
      </c>
      <c r="D12" s="128"/>
      <c r="E12" s="125" t="e">
        <f>VLOOKUP(Table25751980[[#This Row],[PEG]],Table1016[#All],3,FALSE)</f>
        <v>#N/A</v>
      </c>
    </row>
    <row r="13" spans="1:5" s="97" customFormat="1" x14ac:dyDescent="0.35">
      <c r="A13" s="118">
        <v>6</v>
      </c>
      <c r="B13" s="114" t="s">
        <v>115</v>
      </c>
      <c r="C13" s="109" t="e">
        <f>VLOOKUP(Table25751980[[#This Row],[PEG]],Table1016[#All],2,FALSE)</f>
        <v>#N/A</v>
      </c>
      <c r="D13" s="128"/>
      <c r="E13" s="125" t="e">
        <f>VLOOKUP(Table25751980[[#This Row],[PEG]],Table1016[#All],3,FALSE)</f>
        <v>#N/A</v>
      </c>
    </row>
    <row r="14" spans="1:5" s="97" customFormat="1" x14ac:dyDescent="0.35">
      <c r="A14" s="118">
        <v>7</v>
      </c>
      <c r="B14" s="114" t="s">
        <v>114</v>
      </c>
      <c r="C14" s="109" t="e">
        <f>VLOOKUP(Table25751980[[#This Row],[PEG]],Table1016[#All],2,FALSE)</f>
        <v>#N/A</v>
      </c>
      <c r="D14" s="128"/>
      <c r="E14" s="125" t="e">
        <f>VLOOKUP(Table25751980[[#This Row],[PEG]],Table1016[#All],3,FALSE)</f>
        <v>#N/A</v>
      </c>
    </row>
    <row r="15" spans="1:5" x14ac:dyDescent="0.35">
      <c r="A15" s="118">
        <v>8</v>
      </c>
      <c r="B15" s="114" t="s">
        <v>115</v>
      </c>
      <c r="C15" s="109" t="e">
        <f>VLOOKUP(Table25751980[[#This Row],[PEG]],Table1016[#All],2,FALSE)</f>
        <v>#N/A</v>
      </c>
      <c r="D15" s="116"/>
      <c r="E15" s="125" t="e">
        <f>VLOOKUP(Table25751980[[#This Row],[PEG]],Table1016[#All],3,FALSE)</f>
        <v>#N/A</v>
      </c>
    </row>
    <row r="16" spans="1:5" x14ac:dyDescent="0.35">
      <c r="A16" s="118">
        <v>9</v>
      </c>
      <c r="B16" s="114" t="s">
        <v>12</v>
      </c>
      <c r="C16" s="109" t="e">
        <f>VLOOKUP(Table25751980[[#This Row],[PEG]],Table1016[#All],2,FALSE)</f>
        <v>#N/A</v>
      </c>
      <c r="D16" s="116"/>
      <c r="E16" s="125" t="e">
        <f>VLOOKUP(Table25751980[[#This Row],[PEG]],Table1016[#All],3,FALSE)</f>
        <v>#N/A</v>
      </c>
    </row>
    <row r="17" spans="1:5" x14ac:dyDescent="0.35">
      <c r="A17" s="118">
        <v>10</v>
      </c>
      <c r="B17" s="114" t="s">
        <v>12</v>
      </c>
      <c r="C17" s="109" t="e">
        <f>VLOOKUP(Table25751980[[#This Row],[PEG]],Table1016[#All],2,FALSE)</f>
        <v>#N/A</v>
      </c>
      <c r="D17" s="117"/>
      <c r="E17" s="125" t="e">
        <f>VLOOKUP(Table25751980[[#This Row],[PEG]],Table1016[#All],3,FALSE)</f>
        <v>#N/A</v>
      </c>
    </row>
    <row r="18" spans="1:5" x14ac:dyDescent="0.35">
      <c r="A18" s="118">
        <v>11</v>
      </c>
      <c r="B18" s="114" t="s">
        <v>115</v>
      </c>
      <c r="C18" s="109" t="e">
        <f>VLOOKUP(Table25751980[[#This Row],[PEG]],Table1016[#All],2,FALSE)</f>
        <v>#N/A</v>
      </c>
      <c r="D18" s="117"/>
      <c r="E18" s="125" t="e">
        <f>VLOOKUP(Table25751980[[#This Row],[PEG]],Table1016[#All],3,FALSE)</f>
        <v>#N/A</v>
      </c>
    </row>
    <row r="19" spans="1:5" x14ac:dyDescent="0.35">
      <c r="A19" s="118">
        <v>12</v>
      </c>
      <c r="B19" s="114" t="s">
        <v>115</v>
      </c>
      <c r="C19" s="109" t="e">
        <f>VLOOKUP(Table25751980[[#This Row],[PEG]],Table1016[#All],2,FALSE)</f>
        <v>#N/A</v>
      </c>
      <c r="D19" s="117"/>
      <c r="E19" s="125" t="e">
        <f>VLOOKUP(Table25751980[[#This Row],[PEG]],Table1016[#All],3,FALSE)</f>
        <v>#N/A</v>
      </c>
    </row>
    <row r="20" spans="1:5" x14ac:dyDescent="0.35">
      <c r="A20" s="118">
        <v>13</v>
      </c>
      <c r="B20" s="114" t="s">
        <v>114</v>
      </c>
      <c r="C20" s="109" t="e">
        <f>VLOOKUP(Table25751980[[#This Row],[PEG]],Table1016[#All],2,FALSE)</f>
        <v>#N/A</v>
      </c>
      <c r="D20" s="117"/>
      <c r="E20" s="125" t="e">
        <f>VLOOKUP(Table25751980[[#This Row],[PEG]],Table1016[#All],3,FALSE)</f>
        <v>#N/A</v>
      </c>
    </row>
    <row r="21" spans="1:5" x14ac:dyDescent="0.35">
      <c r="A21" s="118">
        <v>14</v>
      </c>
      <c r="B21" s="114" t="s">
        <v>12</v>
      </c>
      <c r="C21" s="109" t="e">
        <f>VLOOKUP(Table25751980[[#This Row],[PEG]],Table1016[#All],2,FALSE)</f>
        <v>#N/A</v>
      </c>
      <c r="D21" s="117"/>
      <c r="E21" s="125" t="e">
        <f>VLOOKUP(Table25751980[[#This Row],[PEG]],Table1016[#All],3,FALSE)</f>
        <v>#N/A</v>
      </c>
    </row>
    <row r="22" spans="1:5" x14ac:dyDescent="0.35">
      <c r="A22" s="118">
        <v>15</v>
      </c>
      <c r="B22" s="114" t="s">
        <v>12</v>
      </c>
      <c r="C22" s="109" t="e">
        <f>VLOOKUP(Table25751980[[#This Row],[PEG]],Table1016[#All],2,FALSE)</f>
        <v>#N/A</v>
      </c>
      <c r="D22" s="117"/>
      <c r="E22" s="125" t="e">
        <f>VLOOKUP(Table25751980[[#This Row],[PEG]],Table1016[#All],3,FALSE)</f>
        <v>#N/A</v>
      </c>
    </row>
    <row r="23" spans="1:5" x14ac:dyDescent="0.35">
      <c r="A23" s="118">
        <v>16</v>
      </c>
      <c r="B23" s="114" t="s">
        <v>115</v>
      </c>
      <c r="C23" s="109" t="e">
        <f>VLOOKUP(Table25751980[[#This Row],[PEG]],Table1016[#All],2,FALSE)</f>
        <v>#N/A</v>
      </c>
      <c r="D23" s="117"/>
      <c r="E23" s="125" t="e">
        <f>VLOOKUP(Table25751980[[#This Row],[PEG]],Table1016[#All],3,FALSE)</f>
        <v>#N/A</v>
      </c>
    </row>
    <row r="24" spans="1:5" x14ac:dyDescent="0.35">
      <c r="A24" s="118">
        <v>17</v>
      </c>
      <c r="B24" s="114" t="s">
        <v>114</v>
      </c>
      <c r="C24" s="109" t="e">
        <f>VLOOKUP(Table25751980[[#This Row],[PEG]],Table1016[#All],2,FALSE)</f>
        <v>#N/A</v>
      </c>
      <c r="D24" s="117"/>
      <c r="E24" s="125" t="e">
        <f>VLOOKUP(Table25751980[[#This Row],[PEG]],Table1016[#All],3,FALSE)</f>
        <v>#N/A</v>
      </c>
    </row>
    <row r="25" spans="1:5" s="97" customFormat="1" x14ac:dyDescent="0.35">
      <c r="A25" s="118">
        <v>18</v>
      </c>
      <c r="B25" s="114" t="s">
        <v>12</v>
      </c>
      <c r="C25" s="109" t="e">
        <f>VLOOKUP(Table25751980[[#This Row],[PEG]],Table1016[#All],2,FALSE)</f>
        <v>#N/A</v>
      </c>
      <c r="D25" s="117"/>
      <c r="E25" s="125" t="e">
        <f>VLOOKUP(Table25751980[[#This Row],[PEG]],Table1016[#All],3,FALSE)</f>
        <v>#N/A</v>
      </c>
    </row>
    <row r="26" spans="1:5" x14ac:dyDescent="0.35">
      <c r="A26" s="118">
        <v>19</v>
      </c>
      <c r="B26" s="114" t="s">
        <v>12</v>
      </c>
      <c r="C26" s="109" t="e">
        <f>VLOOKUP(Table25751980[[#This Row],[PEG]],Table1016[#All],2,FALSE)</f>
        <v>#N/A</v>
      </c>
      <c r="D26" s="117"/>
      <c r="E26" s="125" t="e">
        <f>VLOOKUP(Table25751980[[#This Row],[PEG]],Table1016[#All],3,FALSE)</f>
        <v>#N/A</v>
      </c>
    </row>
    <row r="27" spans="1:5" x14ac:dyDescent="0.35">
      <c r="A27" s="118">
        <v>20</v>
      </c>
      <c r="B27" s="114" t="s">
        <v>115</v>
      </c>
      <c r="C27" s="109" t="e">
        <f>VLOOKUP(Table25751980[[#This Row],[PEG]],Table1016[#All],2,FALSE)</f>
        <v>#N/A</v>
      </c>
      <c r="D27" s="117"/>
      <c r="E27" s="125" t="e">
        <f>VLOOKUP(Table25751980[[#This Row],[PEG]],Table1016[#All],3,FALSE)</f>
        <v>#N/A</v>
      </c>
    </row>
    <row r="28" spans="1:5" x14ac:dyDescent="0.35">
      <c r="A28" s="118">
        <v>21</v>
      </c>
      <c r="B28" s="114" t="s">
        <v>114</v>
      </c>
      <c r="C28" s="109" t="e">
        <f>VLOOKUP(Table25751980[[#This Row],[PEG]],Table1016[#All],2,FALSE)</f>
        <v>#N/A</v>
      </c>
      <c r="D28" s="117"/>
      <c r="E28" s="125" t="e">
        <f>VLOOKUP(Table25751980[[#This Row],[PEG]],Table1016[#All],3,FALSE)</f>
        <v>#N/A</v>
      </c>
    </row>
    <row r="29" spans="1:5" x14ac:dyDescent="0.35">
      <c r="A29" s="118">
        <v>22</v>
      </c>
      <c r="B29" s="114" t="s">
        <v>12</v>
      </c>
      <c r="C29" s="109" t="e">
        <f>VLOOKUP(Table25751980[[#This Row],[PEG]],Table1016[#All],2,FALSE)</f>
        <v>#N/A</v>
      </c>
      <c r="D29" s="117"/>
      <c r="E29" s="125" t="e">
        <f>VLOOKUP(Table25751980[[#This Row],[PEG]],Table1016[#All],3,FALSE)</f>
        <v>#N/A</v>
      </c>
    </row>
    <row r="30" spans="1:5" x14ac:dyDescent="0.35">
      <c r="A30" s="118">
        <v>23</v>
      </c>
      <c r="B30" s="114" t="s">
        <v>12</v>
      </c>
      <c r="C30" s="109" t="e">
        <f>VLOOKUP(Table25751980[[#This Row],[PEG]],Table1016[#All],2,FALSE)</f>
        <v>#N/A</v>
      </c>
      <c r="D30" s="117"/>
      <c r="E30" s="125" t="e">
        <f>VLOOKUP(Table25751980[[#This Row],[PEG]],Table1016[#All],3,FALSE)</f>
        <v>#N/A</v>
      </c>
    </row>
    <row r="31" spans="1:5" x14ac:dyDescent="0.35">
      <c r="A31" s="118">
        <v>24</v>
      </c>
      <c r="B31" s="114" t="s">
        <v>115</v>
      </c>
      <c r="C31" s="109" t="e">
        <f>VLOOKUP(Table25751980[[#This Row],[PEG]],Table1016[#All],2,FALSE)</f>
        <v>#N/A</v>
      </c>
      <c r="D31" s="117"/>
      <c r="E31" s="125" t="e">
        <f>VLOOKUP(Table25751980[[#This Row],[PEG]],Table1016[#All],3,FALSE)</f>
        <v>#N/A</v>
      </c>
    </row>
    <row r="32" spans="1:5" x14ac:dyDescent="0.35">
      <c r="A32" s="118">
        <v>25</v>
      </c>
      <c r="B32" s="114" t="s">
        <v>115</v>
      </c>
      <c r="C32" s="109" t="e">
        <f>VLOOKUP(Table25751980[[#This Row],[PEG]],Table1016[#All],2,FALSE)</f>
        <v>#N/A</v>
      </c>
      <c r="D32" s="117"/>
      <c r="E32" s="125" t="e">
        <f>VLOOKUP(Table25751980[[#This Row],[PEG]],Table1016[#All],3,FALSE)</f>
        <v>#N/A</v>
      </c>
    </row>
    <row r="33" spans="1:5" x14ac:dyDescent="0.35">
      <c r="A33" s="118">
        <v>26</v>
      </c>
      <c r="B33" s="114" t="s">
        <v>124</v>
      </c>
      <c r="C33" s="109" t="e">
        <f>VLOOKUP(Table25751980[[#This Row],[PEG]],Table1016[#All],2,FALSE)</f>
        <v>#N/A</v>
      </c>
      <c r="D33" s="117"/>
      <c r="E33" s="125" t="e">
        <f>VLOOKUP(Table25751980[[#This Row],[PEG]],Table1016[#All],3,FALSE)</f>
        <v>#N/A</v>
      </c>
    </row>
    <row r="34" spans="1:5" x14ac:dyDescent="0.35">
      <c r="A34" s="118">
        <v>27</v>
      </c>
      <c r="B34" s="114" t="s">
        <v>115</v>
      </c>
      <c r="C34" s="109" t="e">
        <f>VLOOKUP(Table25751980[[#This Row],[PEG]],Table1016[#All],2,FALSE)</f>
        <v>#N/A</v>
      </c>
      <c r="D34" s="117"/>
      <c r="E34" s="125" t="e">
        <f>VLOOKUP(Table25751980[[#This Row],[PEG]],Table1016[#All],3,FALSE)</f>
        <v>#N/A</v>
      </c>
    </row>
    <row r="35" spans="1:5" x14ac:dyDescent="0.35">
      <c r="A35" s="118">
        <v>28</v>
      </c>
      <c r="B35" s="114" t="s">
        <v>124</v>
      </c>
      <c r="C35" s="109" t="e">
        <f>VLOOKUP(Table25751980[[#This Row],[PEG]],Table1016[#All],2,FALSE)</f>
        <v>#N/A</v>
      </c>
      <c r="D35" s="117"/>
      <c r="E35" s="125" t="e">
        <f>VLOOKUP(Table25751980[[#This Row],[PEG]],Table1016[#All],3,FALSE)</f>
        <v>#N/A</v>
      </c>
    </row>
    <row r="36" spans="1:5" x14ac:dyDescent="0.35">
      <c r="A36" s="118">
        <v>29</v>
      </c>
      <c r="B36" s="114" t="s">
        <v>115</v>
      </c>
      <c r="C36" s="109" t="e">
        <f>VLOOKUP(Table25751980[[#This Row],[PEG]],Table1016[#All],2,FALSE)</f>
        <v>#N/A</v>
      </c>
      <c r="D36" s="117"/>
      <c r="E36" s="125" t="e">
        <f>VLOOKUP(Table25751980[[#This Row],[PEG]],Table1016[#All],3,FALSE)</f>
        <v>#N/A</v>
      </c>
    </row>
    <row r="37" spans="1:5" x14ac:dyDescent="0.35">
      <c r="A37" s="118">
        <v>30</v>
      </c>
      <c r="B37" s="114" t="s">
        <v>12</v>
      </c>
      <c r="C37" s="109" t="e">
        <f>VLOOKUP(Table25751980[[#This Row],[PEG]],Table1016[#All],2,FALSE)</f>
        <v>#N/A</v>
      </c>
      <c r="D37" s="117"/>
      <c r="E37" s="125" t="e">
        <f>VLOOKUP(Table25751980[[#This Row],[PEG]],Table1016[#All],3,FALSE)</f>
        <v>#N/A</v>
      </c>
    </row>
    <row r="38" spans="1:5" x14ac:dyDescent="0.35">
      <c r="A38" s="118">
        <v>31</v>
      </c>
      <c r="B38" s="114" t="s">
        <v>12</v>
      </c>
      <c r="C38" s="109" t="e">
        <f>VLOOKUP(Table25751980[[#This Row],[PEG]],Table1016[#All],2,FALSE)</f>
        <v>#N/A</v>
      </c>
      <c r="D38" s="117"/>
      <c r="E38" s="125" t="e">
        <f>VLOOKUP(Table25751980[[#This Row],[PEG]],Table1016[#All],3,FALSE)</f>
        <v>#N/A</v>
      </c>
    </row>
    <row r="39" spans="1:5" x14ac:dyDescent="0.35">
      <c r="A39" s="118">
        <v>32</v>
      </c>
      <c r="B39" s="114" t="s">
        <v>12</v>
      </c>
      <c r="C39" s="109" t="e">
        <f>VLOOKUP(Table25751980[[#This Row],[PEG]],Table1016[#All],2,FALSE)</f>
        <v>#N/A</v>
      </c>
      <c r="D39" s="117"/>
      <c r="E39" s="125" t="e">
        <f>VLOOKUP(Table25751980[[#This Row],[PEG]],Table1016[#All],3,FALSE)</f>
        <v>#N/A</v>
      </c>
    </row>
    <row r="40" spans="1:5" x14ac:dyDescent="0.35">
      <c r="A40" s="118">
        <v>33</v>
      </c>
      <c r="B40" s="114" t="s">
        <v>12</v>
      </c>
      <c r="C40" s="109" t="e">
        <f>VLOOKUP(Table25751980[[#This Row],[PEG]],Table1016[#All],2,FALSE)</f>
        <v>#N/A</v>
      </c>
      <c r="D40" s="117"/>
      <c r="E40" s="125" t="e">
        <f>VLOOKUP(Table25751980[[#This Row],[PEG]],Table1016[#All],3,FALSE)</f>
        <v>#N/A</v>
      </c>
    </row>
    <row r="41" spans="1:5" x14ac:dyDescent="0.35">
      <c r="A41" s="118">
        <v>34</v>
      </c>
      <c r="B41" s="114" t="s">
        <v>115</v>
      </c>
      <c r="C41" s="109" t="e">
        <f>VLOOKUP(Table25751980[[#This Row],[PEG]],Table1016[#All],2,FALSE)</f>
        <v>#N/A</v>
      </c>
      <c r="D41" s="117"/>
      <c r="E41" s="125" t="e">
        <f>VLOOKUP(Table25751980[[#This Row],[PEG]],Table1016[#All],3,FALSE)</f>
        <v>#N/A</v>
      </c>
    </row>
    <row r="42" spans="1:5" x14ac:dyDescent="0.35">
      <c r="A42" s="118">
        <v>35</v>
      </c>
      <c r="B42" s="114" t="s">
        <v>12</v>
      </c>
      <c r="C42" s="109" t="e">
        <f>VLOOKUP(Table25751980[[#This Row],[PEG]],Table1016[#All],2,FALSE)</f>
        <v>#N/A</v>
      </c>
      <c r="D42" s="115"/>
      <c r="E42" s="125" t="e">
        <f>VLOOKUP(Table25751980[[#This Row],[PEG]],Table1016[#All],3,FALSE)</f>
        <v>#N/A</v>
      </c>
    </row>
    <row r="43" spans="1:5" x14ac:dyDescent="0.35">
      <c r="A43" s="118">
        <v>36</v>
      </c>
      <c r="B43" s="114" t="s">
        <v>115</v>
      </c>
      <c r="C43" s="109" t="e">
        <f>VLOOKUP(Table25751980[[#This Row],[PEG]],Table1016[#All],2,FALSE)</f>
        <v>#N/A</v>
      </c>
      <c r="D43" s="115"/>
      <c r="E43" s="125" t="e">
        <f>VLOOKUP(Table25751980[[#This Row],[PEG]],Table1016[#All],3,FALSE)</f>
        <v>#N/A</v>
      </c>
    </row>
    <row r="44" spans="1:5" x14ac:dyDescent="0.35">
      <c r="A44" s="118">
        <v>37</v>
      </c>
      <c r="B44" s="114" t="s">
        <v>13</v>
      </c>
      <c r="C44" s="18" t="s">
        <v>13</v>
      </c>
      <c r="D44" s="115"/>
      <c r="E44" s="32"/>
    </row>
    <row r="45" spans="1:5" x14ac:dyDescent="0.35">
      <c r="C45" s="26"/>
    </row>
    <row r="46" spans="1:5" x14ac:dyDescent="0.35">
      <c r="C46" s="26"/>
    </row>
    <row r="47" spans="1:5" x14ac:dyDescent="0.35">
      <c r="C47" s="26"/>
    </row>
    <row r="48" spans="1:5" x14ac:dyDescent="0.35">
      <c r="C48" s="26"/>
    </row>
    <row r="49" spans="3:3" x14ac:dyDescent="0.35">
      <c r="C49" s="26"/>
    </row>
    <row r="50" spans="3:3" x14ac:dyDescent="0.35">
      <c r="C50" s="26"/>
    </row>
    <row r="51" spans="3:3" x14ac:dyDescent="0.35">
      <c r="C51" s="26"/>
    </row>
    <row r="52" spans="3:3" x14ac:dyDescent="0.35">
      <c r="C52" s="26"/>
    </row>
    <row r="53" spans="3:3" x14ac:dyDescent="0.35">
      <c r="C53" s="26"/>
    </row>
    <row r="54" spans="3:3" x14ac:dyDescent="0.35">
      <c r="C54" s="26"/>
    </row>
    <row r="55" spans="3:3" x14ac:dyDescent="0.35">
      <c r="C55" s="26"/>
    </row>
    <row r="56" spans="3:3" x14ac:dyDescent="0.35">
      <c r="C56" s="26"/>
    </row>
    <row r="57" spans="3:3" x14ac:dyDescent="0.35">
      <c r="C57" s="26"/>
    </row>
    <row r="58" spans="3:3" x14ac:dyDescent="0.35">
      <c r="C58" s="27"/>
    </row>
    <row r="59" spans="3:3" x14ac:dyDescent="0.35">
      <c r="C59" s="27"/>
    </row>
    <row r="60" spans="3:3" x14ac:dyDescent="0.35">
      <c r="C60" s="27"/>
    </row>
  </sheetData>
  <mergeCells count="1">
    <mergeCell ref="A1:B1"/>
  </mergeCells>
  <conditionalFormatting sqref="C45:C9999">
    <cfRule type="expression" dxfId="3171" priority="49">
      <formula>$B45="Dial"</formula>
    </cfRule>
    <cfRule type="expression" dxfId="3170" priority="51">
      <formula>$B45="HANGUP"</formula>
    </cfRule>
  </conditionalFormatting>
  <conditionalFormatting sqref="B30">
    <cfRule type="containsText" dxfId="3169" priority="4" operator="containsText" text="Hear">
      <formula>NOT(ISERROR(SEARCH("Hear",B30)))</formula>
    </cfRule>
  </conditionalFormatting>
  <conditionalFormatting sqref="B43:B44">
    <cfRule type="containsText" dxfId="3168" priority="14" operator="containsText" text="Hear">
      <formula>NOT(ISERROR(SEARCH("Hear",B43)))</formula>
    </cfRule>
  </conditionalFormatting>
  <conditionalFormatting sqref="E44">
    <cfRule type="containsText" dxfId="3167" priority="12" operator="containsText" text="WEB SERVICE">
      <formula>NOT(ISERROR(SEARCH("WEB SERVICE",E44)))</formula>
    </cfRule>
    <cfRule type="containsText" dxfId="3166" priority="13" operator="containsText" text="DB">
      <formula>NOT(ISERROR(SEARCH("DB",E44)))</formula>
    </cfRule>
  </conditionalFormatting>
  <conditionalFormatting sqref="C44">
    <cfRule type="expression" dxfId="3165" priority="15">
      <formula>$B44="Dial"</formula>
    </cfRule>
    <cfRule type="expression" dxfId="3164" priority="17">
      <formula>$B44="HANGUP"</formula>
    </cfRule>
  </conditionalFormatting>
  <conditionalFormatting sqref="C44">
    <cfRule type="expression" dxfId="3163" priority="16">
      <formula>$B44="Speak"</formula>
    </cfRule>
  </conditionalFormatting>
  <conditionalFormatting sqref="B8:B18">
    <cfRule type="containsText" dxfId="3162" priority="1" operator="containsText" text="Hear">
      <formula>NOT(ISERROR(SEARCH("Hear",B8)))</formula>
    </cfRule>
  </conditionalFormatting>
  <conditionalFormatting sqref="B36:B38 B40:B41">
    <cfRule type="containsText" dxfId="3161" priority="3" operator="containsText" text="Hear">
      <formula>NOT(ISERROR(SEARCH("Hear",B36)))</formula>
    </cfRule>
  </conditionalFormatting>
  <conditionalFormatting sqref="B19:B29 B31:B35 B42">
    <cfRule type="containsText" dxfId="3160" priority="5" operator="containsText" text="Hear">
      <formula>NOT(ISERROR(SEARCH("Hear",B19)))</formula>
    </cfRule>
  </conditionalFormatting>
  <hyperlinks>
    <hyperlink ref="A1" location="'Test Case Overview'!A1" display="Return to Test Case Overview" xr:uid="{00000000-0004-0000-5B00-000000000000}"/>
  </hyperlinks>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expression" priority="27" id="{4A11DB4B-9AC9-4528-AC41-66985381EF85}">
            <xm:f>'TC1'!$B8="Speak"</xm:f>
            <x14:dxf>
              <font>
                <b/>
                <i val="0"/>
                <color rgb="FFFF0000"/>
              </font>
            </x14:dxf>
          </x14:cfRule>
          <xm:sqref>C8</xm:sqref>
        </x14:conditionalFormatting>
        <x14:conditionalFormatting xmlns:xm="http://schemas.microsoft.com/office/excel/2006/main">
          <x14:cfRule type="expression" priority="8" id="{6D734352-1AFA-4A24-B67C-E1F055B83282}">
            <xm:f>'TC1'!$B8="HANGUP"</xm:f>
            <x14:dxf>
              <font>
                <b/>
                <i val="0"/>
              </font>
            </x14:dxf>
          </x14:cfRule>
          <x14:cfRule type="expression" priority="9" id="{6FD0FC8A-0F08-4870-B6B6-1C12A1A866D9}">
            <xm:f>'TC1'!$B8="Dial"</xm:f>
            <x14:dxf>
              <font>
                <b/>
                <i val="0"/>
                <color rgb="FFFF0000"/>
              </font>
            </x14:dxf>
          </x14:cfRule>
          <xm:sqref>C8</xm:sqref>
        </x14:conditionalFormatting>
        <x14:conditionalFormatting xmlns:xm="http://schemas.microsoft.com/office/excel/2006/main">
          <x14:cfRule type="containsText" priority="2" operator="containsText" text="Hear" id="{A8E08634-8A5A-4508-991F-CC81FA8BE2A6}">
            <xm:f>NOT(ISERROR(SEARCH("Hear",'TC3'!B34)))</xm:f>
            <x14:dxf>
              <font>
                <color theme="9" tint="-0.24994659260841701"/>
              </font>
              <fill>
                <patternFill>
                  <bgColor theme="9" tint="0.59996337778862885"/>
                </patternFill>
              </fill>
            </x14:dxf>
          </x14:cfRule>
          <xm:sqref>B41</xm:sqref>
        </x14:conditionalFormatting>
        <x14:conditionalFormatting xmlns:xm="http://schemas.microsoft.com/office/excel/2006/main">
          <x14:cfRule type="expression" priority="2082" id="{4A11DB4B-9AC9-4528-AC41-66985381EF85}">
            <xm:f>'TC1'!$B16="Speak"</xm:f>
            <x14:dxf>
              <font>
                <b/>
                <i val="0"/>
                <color rgb="FFFF0000"/>
              </font>
            </x14:dxf>
          </x14:cfRule>
          <xm:sqref>C34:C43</xm:sqref>
        </x14:conditionalFormatting>
        <x14:conditionalFormatting xmlns:xm="http://schemas.microsoft.com/office/excel/2006/main">
          <x14:cfRule type="expression" priority="2083" id="{4A11DB4B-9AC9-4528-AC41-66985381EF85}">
            <xm:f>'TC1'!#REF!="Speak"</xm:f>
            <x14:dxf>
              <font>
                <b/>
                <i val="0"/>
                <color rgb="FFFF0000"/>
              </font>
            </x14:dxf>
          </x14:cfRule>
          <xm:sqref>C17:C33</xm:sqref>
        </x14:conditionalFormatting>
        <x14:conditionalFormatting xmlns:xm="http://schemas.microsoft.com/office/excel/2006/main">
          <x14:cfRule type="expression" priority="2087" id="{6D734352-1AFA-4A24-B67C-E1F055B83282}">
            <xm:f>'TC1'!$B16="HANGUP"</xm:f>
            <x14:dxf>
              <font>
                <b/>
                <i val="0"/>
              </font>
            </x14:dxf>
          </x14:cfRule>
          <x14:cfRule type="expression" priority="2088" id="{6FD0FC8A-0F08-4870-B6B6-1C12A1A866D9}">
            <xm:f>'TC1'!$B16="Dial"</xm:f>
            <x14:dxf>
              <font>
                <b/>
                <i val="0"/>
                <color rgb="FFFF0000"/>
              </font>
            </x14:dxf>
          </x14:cfRule>
          <xm:sqref>C34:C43</xm:sqref>
        </x14:conditionalFormatting>
        <x14:conditionalFormatting xmlns:xm="http://schemas.microsoft.com/office/excel/2006/main">
          <x14:cfRule type="expression" priority="2089" id="{6D734352-1AFA-4A24-B67C-E1F055B83282}">
            <xm:f>'TC1'!#REF!="HANGUP"</xm:f>
            <x14:dxf>
              <font>
                <b/>
                <i val="0"/>
              </font>
            </x14:dxf>
          </x14:cfRule>
          <x14:cfRule type="expression" priority="2090" id="{6FD0FC8A-0F08-4870-B6B6-1C12A1A866D9}">
            <xm:f>'TC1'!#REF!="Dial"</xm:f>
            <x14:dxf>
              <font>
                <b/>
                <i val="0"/>
                <color rgb="FFFF0000"/>
              </font>
            </x14:dxf>
          </x14:cfRule>
          <xm:sqref>C17:C33</xm:sqref>
        </x14:conditionalFormatting>
        <x14:conditionalFormatting xmlns:xm="http://schemas.microsoft.com/office/excel/2006/main">
          <x14:cfRule type="containsText" priority="2095" operator="containsText" text="DB" id="{201B64B2-CF50-40DF-98F8-51752235DF46}">
            <xm:f>NOT(ISERROR(SEARCH("DB",'TC1'!E16)))</xm:f>
            <x14:dxf>
              <font>
                <color rgb="FF006100"/>
              </font>
              <fill>
                <patternFill>
                  <bgColor rgb="FFC6EFCE"/>
                </patternFill>
              </fill>
            </x14:dxf>
          </x14:cfRule>
          <x14:cfRule type="containsText" priority="2096" operator="containsText" text="WEB SERVICE" id="{6AB89B40-EF3D-4845-B32D-3991D8A21432}">
            <xm:f>NOT(ISERROR(SEARCH("WEB SERVICE",'TC1'!E16)))</xm:f>
            <x14:dxf>
              <font>
                <color rgb="FF9C0006"/>
              </font>
              <fill>
                <patternFill>
                  <bgColor rgb="FFFFC7CE"/>
                </patternFill>
              </fill>
            </x14:dxf>
          </x14:cfRule>
          <xm:sqref>E34:E43</xm:sqref>
        </x14:conditionalFormatting>
        <x14:conditionalFormatting xmlns:xm="http://schemas.microsoft.com/office/excel/2006/main">
          <x14:cfRule type="containsText" priority="2097" operator="containsText" text="DB" id="{201B64B2-CF50-40DF-98F8-51752235DF46}">
            <xm:f>NOT(ISERROR(SEARCH("DB",'TC1'!#REF!)))</xm:f>
            <x14:dxf>
              <font>
                <color rgb="FF006100"/>
              </font>
              <fill>
                <patternFill>
                  <bgColor rgb="FFC6EFCE"/>
                </patternFill>
              </fill>
            </x14:dxf>
          </x14:cfRule>
          <x14:cfRule type="containsText" priority="2098" operator="containsText" text="WEB SERVICE" id="{6AB89B40-EF3D-4845-B32D-3991D8A21432}">
            <xm:f>NOT(ISERROR(SEARCH("WEB SERVICE",'TC1'!#REF!)))</xm:f>
            <x14:dxf>
              <font>
                <color rgb="FF9C0006"/>
              </font>
              <fill>
                <patternFill>
                  <bgColor rgb="FFFFC7CE"/>
                </patternFill>
              </fill>
            </x14:dxf>
          </x14:cfRule>
          <xm:sqref>E17:E33</xm:sqref>
        </x14:conditionalFormatting>
        <x14:conditionalFormatting xmlns:xm="http://schemas.microsoft.com/office/excel/2006/main">
          <x14:cfRule type="expression" priority="4812" id="{4A11DB4B-9AC9-4528-AC41-66985381EF85}">
            <xm:f>'TC1'!$B9="Speak"</xm:f>
            <x14:dxf>
              <font>
                <b/>
                <i val="0"/>
                <color rgb="FFFF0000"/>
              </font>
            </x14:dxf>
          </x14:cfRule>
          <xm:sqref>C12:C15</xm:sqref>
        </x14:conditionalFormatting>
        <x14:conditionalFormatting xmlns:xm="http://schemas.microsoft.com/office/excel/2006/main">
          <x14:cfRule type="expression" priority="4813" id="{4A11DB4B-9AC9-4528-AC41-66985381EF85}">
            <xm:f>'TC1'!#REF!="Speak"</xm:f>
            <x14:dxf>
              <font>
                <b/>
                <i val="0"/>
                <color rgb="FFFF0000"/>
              </font>
            </x14:dxf>
          </x14:cfRule>
          <xm:sqref>C9:C11</xm:sqref>
        </x14:conditionalFormatting>
        <x14:conditionalFormatting xmlns:xm="http://schemas.microsoft.com/office/excel/2006/main">
          <x14:cfRule type="expression" priority="4817" id="{6D734352-1AFA-4A24-B67C-E1F055B83282}">
            <xm:f>'TC1'!$B9="HANGUP"</xm:f>
            <x14:dxf>
              <font>
                <b/>
                <i val="0"/>
              </font>
            </x14:dxf>
          </x14:cfRule>
          <x14:cfRule type="expression" priority="4818" id="{6FD0FC8A-0F08-4870-B6B6-1C12A1A866D9}">
            <xm:f>'TC1'!$B9="Dial"</xm:f>
            <x14:dxf>
              <font>
                <b/>
                <i val="0"/>
                <color rgb="FFFF0000"/>
              </font>
            </x14:dxf>
          </x14:cfRule>
          <xm:sqref>C12:C15</xm:sqref>
        </x14:conditionalFormatting>
        <x14:conditionalFormatting xmlns:xm="http://schemas.microsoft.com/office/excel/2006/main">
          <x14:cfRule type="expression" priority="4819" id="{6D734352-1AFA-4A24-B67C-E1F055B83282}">
            <xm:f>'TC1'!#REF!="HANGUP"</xm:f>
            <x14:dxf>
              <font>
                <b/>
                <i val="0"/>
              </font>
            </x14:dxf>
          </x14:cfRule>
          <x14:cfRule type="expression" priority="4820" id="{6FD0FC8A-0F08-4870-B6B6-1C12A1A866D9}">
            <xm:f>'TC1'!#REF!="Dial"</xm:f>
            <x14:dxf>
              <font>
                <b/>
                <i val="0"/>
                <color rgb="FFFF0000"/>
              </font>
            </x14:dxf>
          </x14:cfRule>
          <xm:sqref>C9:C11</xm:sqref>
        </x14:conditionalFormatting>
        <x14:conditionalFormatting xmlns:xm="http://schemas.microsoft.com/office/excel/2006/main">
          <x14:cfRule type="containsText" priority="4823" operator="containsText" text="DB" id="{201B64B2-CF50-40DF-98F8-51752235DF46}">
            <xm:f>NOT(ISERROR(SEARCH("DB",'TC1'!#REF!)))</xm:f>
            <x14:dxf>
              <font>
                <color rgb="FF006100"/>
              </font>
              <fill>
                <patternFill>
                  <bgColor rgb="FFC6EFCE"/>
                </patternFill>
              </fill>
            </x14:dxf>
          </x14:cfRule>
          <x14:cfRule type="containsText" priority="4824" operator="containsText" text="WEB SERVICE" id="{6AB89B40-EF3D-4845-B32D-3991D8A21432}">
            <xm:f>NOT(ISERROR(SEARCH("WEB SERVICE",'TC1'!#REF!)))</xm:f>
            <x14:dxf>
              <font>
                <color rgb="FF9C0006"/>
              </font>
              <fill>
                <patternFill>
                  <bgColor rgb="FFFFC7CE"/>
                </patternFill>
              </fill>
            </x14:dxf>
          </x14:cfRule>
          <xm:sqref>E9:E11</xm:sqref>
        </x14:conditionalFormatting>
        <x14:conditionalFormatting xmlns:xm="http://schemas.microsoft.com/office/excel/2006/main">
          <x14:cfRule type="containsText" priority="4825" operator="containsText" text="DB" id="{201B64B2-CF50-40DF-98F8-51752235DF46}">
            <xm:f>NOT(ISERROR(SEARCH("DB",'TC1'!E9)))</xm:f>
            <x14:dxf>
              <font>
                <color rgb="FF006100"/>
              </font>
              <fill>
                <patternFill>
                  <bgColor rgb="FFC6EFCE"/>
                </patternFill>
              </fill>
            </x14:dxf>
          </x14:cfRule>
          <x14:cfRule type="containsText" priority="4826" operator="containsText" text="WEB SERVICE" id="{6AB89B40-EF3D-4845-B32D-3991D8A21432}">
            <xm:f>NOT(ISERROR(SEARCH("WEB SERVICE",'TC1'!E9)))</xm:f>
            <x14:dxf>
              <font>
                <color rgb="FF9C0006"/>
              </font>
              <fill>
                <patternFill>
                  <bgColor rgb="FFFFC7CE"/>
                </patternFill>
              </fill>
            </x14:dxf>
          </x14:cfRule>
          <xm:sqref>E12:E15</xm:sqref>
        </x14:conditionalFormatting>
        <x14:conditionalFormatting xmlns:xm="http://schemas.microsoft.com/office/excel/2006/main">
          <x14:cfRule type="expression" priority="7189" id="{4A11DB4B-9AC9-4528-AC41-66985381EF85}">
            <xm:f>'TC1'!$B15="Speak"</xm:f>
            <x14:dxf>
              <font>
                <b/>
                <i val="0"/>
                <color rgb="FFFF0000"/>
              </font>
            </x14:dxf>
          </x14:cfRule>
          <xm:sqref>C16</xm:sqref>
        </x14:conditionalFormatting>
        <x14:conditionalFormatting xmlns:xm="http://schemas.microsoft.com/office/excel/2006/main">
          <x14:cfRule type="expression" priority="7192" id="{6D734352-1AFA-4A24-B67C-E1F055B83282}">
            <xm:f>'TC1'!$B15="HANGUP"</xm:f>
            <x14:dxf>
              <font>
                <b/>
                <i val="0"/>
              </font>
            </x14:dxf>
          </x14:cfRule>
          <x14:cfRule type="expression" priority="7193" id="{6FD0FC8A-0F08-4870-B6B6-1C12A1A866D9}">
            <xm:f>'TC1'!$B15="Dial"</xm:f>
            <x14:dxf>
              <font>
                <b/>
                <i val="0"/>
                <color rgb="FFFF0000"/>
              </font>
            </x14:dxf>
          </x14:cfRule>
          <xm:sqref>C16</xm:sqref>
        </x14:conditionalFormatting>
        <x14:conditionalFormatting xmlns:xm="http://schemas.microsoft.com/office/excel/2006/main">
          <x14:cfRule type="containsText" priority="7196" operator="containsText" text="DB" id="{201B64B2-CF50-40DF-98F8-51752235DF46}">
            <xm:f>NOT(ISERROR(SEARCH("DB",'TC1'!E15)))</xm:f>
            <x14:dxf>
              <font>
                <color rgb="FF006100"/>
              </font>
              <fill>
                <patternFill>
                  <bgColor rgb="FFC6EFCE"/>
                </patternFill>
              </fill>
            </x14:dxf>
          </x14:cfRule>
          <x14:cfRule type="containsText" priority="7197" operator="containsText" text="WEB SERVICE" id="{6AB89B40-EF3D-4845-B32D-3991D8A21432}">
            <xm:f>NOT(ISERROR(SEARCH("WEB SERVICE",'TC1'!E15)))</xm:f>
            <x14:dxf>
              <font>
                <color rgb="FF9C0006"/>
              </font>
              <fill>
                <patternFill>
                  <bgColor rgb="FFFFC7CE"/>
                </patternFill>
              </fill>
            </x14:dxf>
          </x14:cfRule>
          <xm:sqref>E16</xm:sqref>
        </x14:conditionalFormatting>
        <x14:conditionalFormatting xmlns:xm="http://schemas.microsoft.com/office/excel/2006/main">
          <x14:cfRule type="containsText" priority="9654" operator="containsText" text="Hear" id="{F5628E40-468D-48C4-9110-6A67D67F0B4A}">
            <xm:f>NOT(ISERROR(SEARCH("Hear",'TC26'!#REF!)))</xm:f>
            <x14:dxf>
              <font>
                <color theme="9" tint="-0.24994659260841701"/>
              </font>
              <fill>
                <patternFill>
                  <bgColor theme="9" tint="0.59996337778862885"/>
                </patternFill>
              </fill>
            </x14:dxf>
          </x14:cfRule>
          <xm:sqref>B39</xm:sqref>
        </x14:conditionalFormatting>
      </x14:conditionalFormattings>
    </ext>
  </extLst>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C00-000000000000}">
  <sheetPr codeName="Sheet94"/>
  <dimension ref="A1:E49"/>
  <sheetViews>
    <sheetView zoomScaleNormal="100" workbookViewId="0">
      <selection activeCell="A2" sqref="A2"/>
    </sheetView>
  </sheetViews>
  <sheetFormatPr defaultRowHeight="14.5" x14ac:dyDescent="0.35"/>
  <cols>
    <col min="1" max="1" width="14.453125" style="97" bestFit="1" customWidth="1"/>
    <col min="2" max="2" width="42.6328125" style="97" customWidth="1"/>
    <col min="3" max="3" width="106.1796875" style="98" customWidth="1"/>
    <col min="4" max="4" width="21.81640625" style="111" bestFit="1" customWidth="1"/>
    <col min="5" max="5" width="20.6328125" style="97" customWidth="1"/>
  </cols>
  <sheetData>
    <row r="1" spans="1:5" ht="18.5" x14ac:dyDescent="0.35">
      <c r="A1" s="192" t="s">
        <v>4</v>
      </c>
      <c r="B1" s="192"/>
      <c r="C1" s="105"/>
    </row>
    <row r="2" spans="1:5" x14ac:dyDescent="0.35">
      <c r="A2" s="106" t="s">
        <v>5</v>
      </c>
      <c r="B2" s="107" t="str">
        <f ca="1">MID(CELL("filename",A1),FIND("]",CELL("filename",A1))+1,LEN(CELL("filename",A1))-FIND("]",CELL("filename",A1)))</f>
        <v>TC92</v>
      </c>
    </row>
    <row r="3" spans="1:5" x14ac:dyDescent="0.35">
      <c r="A3" s="104" t="s">
        <v>19</v>
      </c>
      <c r="B3" s="112">
        <f ca="1">VLOOKUP(B2,Table53[#All],2,FALSE)</f>
        <v>0</v>
      </c>
    </row>
    <row r="4" spans="1:5" ht="29" x14ac:dyDescent="0.35">
      <c r="A4" s="113" t="s">
        <v>20</v>
      </c>
      <c r="B4" s="99">
        <f ca="1">VLOOKUP(B2,Table53[#All],4,FALSE)</f>
        <v>0</v>
      </c>
    </row>
    <row r="5" spans="1:5" x14ac:dyDescent="0.35">
      <c r="A5" s="104" t="s">
        <v>6</v>
      </c>
      <c r="B5" s="77">
        <f ca="1">VLOOKUP(B2,Table53[#All],3,FALSE)</f>
        <v>0</v>
      </c>
    </row>
    <row r="7" spans="1:5" ht="15.5" x14ac:dyDescent="0.35">
      <c r="A7" s="100" t="s">
        <v>7</v>
      </c>
      <c r="B7" s="101" t="s">
        <v>8</v>
      </c>
      <c r="C7" s="102" t="s">
        <v>9</v>
      </c>
      <c r="D7" s="102" t="s">
        <v>14</v>
      </c>
      <c r="E7" s="103" t="s">
        <v>10</v>
      </c>
    </row>
    <row r="8" spans="1:5" x14ac:dyDescent="0.35">
      <c r="A8" s="118">
        <v>1</v>
      </c>
      <c r="B8" s="114" t="s">
        <v>114</v>
      </c>
      <c r="C8" s="109" t="s">
        <v>125</v>
      </c>
      <c r="D8" s="128"/>
      <c r="E8" s="125" t="s">
        <v>11</v>
      </c>
    </row>
    <row r="9" spans="1:5" s="97" customFormat="1" x14ac:dyDescent="0.35">
      <c r="A9" s="118">
        <v>2</v>
      </c>
      <c r="B9" s="114" t="s">
        <v>12</v>
      </c>
      <c r="C9" s="109" t="e">
        <f>VLOOKUP(Table25751981[[#This Row],[PEG]],Table1016[#All],2,FALSE)</f>
        <v>#N/A</v>
      </c>
      <c r="D9" s="128"/>
      <c r="E9" s="125" t="e">
        <f>VLOOKUP(Table25751981[[#This Row],[PEG]],Table1016[#All],3,FALSE)</f>
        <v>#N/A</v>
      </c>
    </row>
    <row r="10" spans="1:5" s="97" customFormat="1" x14ac:dyDescent="0.35">
      <c r="A10" s="118">
        <v>3</v>
      </c>
      <c r="B10" s="114" t="s">
        <v>115</v>
      </c>
      <c r="C10" s="109" t="e">
        <f>VLOOKUP(Table25751981[[#This Row],[PEG]],Table1016[#All],2,FALSE)</f>
        <v>#N/A</v>
      </c>
      <c r="D10" s="128"/>
      <c r="E10" s="125" t="e">
        <f>VLOOKUP(Table25751981[[#This Row],[PEG]],Table1016[#All],3,FALSE)</f>
        <v>#N/A</v>
      </c>
    </row>
    <row r="11" spans="1:5" s="97" customFormat="1" x14ac:dyDescent="0.35">
      <c r="A11" s="118">
        <v>4</v>
      </c>
      <c r="B11" s="114" t="s">
        <v>115</v>
      </c>
      <c r="C11" s="109" t="e">
        <f>VLOOKUP(Table25751981[[#This Row],[PEG]],Table1016[#All],2,FALSE)</f>
        <v>#N/A</v>
      </c>
      <c r="D11" s="128"/>
      <c r="E11" s="125" t="e">
        <f>VLOOKUP(Table25751981[[#This Row],[PEG]],Table1016[#All],3,FALSE)</f>
        <v>#N/A</v>
      </c>
    </row>
    <row r="12" spans="1:5" s="97" customFormat="1" x14ac:dyDescent="0.35">
      <c r="A12" s="118">
        <v>5</v>
      </c>
      <c r="B12" s="114" t="s">
        <v>114</v>
      </c>
      <c r="C12" s="109" t="e">
        <f>VLOOKUP(Table25751981[[#This Row],[PEG]],Table1016[#All],2,FALSE)</f>
        <v>#N/A</v>
      </c>
      <c r="D12" s="128"/>
      <c r="E12" s="125" t="e">
        <f>VLOOKUP(Table25751981[[#This Row],[PEG]],Table1016[#All],3,FALSE)</f>
        <v>#N/A</v>
      </c>
    </row>
    <row r="13" spans="1:5" s="97" customFormat="1" x14ac:dyDescent="0.35">
      <c r="A13" s="118">
        <v>6</v>
      </c>
      <c r="B13" s="114" t="s">
        <v>115</v>
      </c>
      <c r="C13" s="109" t="e">
        <f>VLOOKUP(Table25751981[[#This Row],[PEG]],Table1016[#All],2,FALSE)</f>
        <v>#N/A</v>
      </c>
      <c r="D13" s="128"/>
      <c r="E13" s="125" t="e">
        <f>VLOOKUP(Table25751981[[#This Row],[PEG]],Table1016[#All],3,FALSE)</f>
        <v>#N/A</v>
      </c>
    </row>
    <row r="14" spans="1:5" s="97" customFormat="1" x14ac:dyDescent="0.35">
      <c r="A14" s="118">
        <v>7</v>
      </c>
      <c r="B14" s="114" t="s">
        <v>114</v>
      </c>
      <c r="C14" s="109" t="e">
        <f>VLOOKUP(Table25751981[[#This Row],[PEG]],Table1016[#All],2,FALSE)</f>
        <v>#N/A</v>
      </c>
      <c r="D14" s="128"/>
      <c r="E14" s="125" t="e">
        <f>VLOOKUP(Table25751981[[#This Row],[PEG]],Table1016[#All],3,FALSE)</f>
        <v>#N/A</v>
      </c>
    </row>
    <row r="15" spans="1:5" x14ac:dyDescent="0.35">
      <c r="A15" s="118">
        <v>8</v>
      </c>
      <c r="B15" s="114" t="s">
        <v>115</v>
      </c>
      <c r="C15" s="109" t="e">
        <f>VLOOKUP(Table25751981[[#This Row],[PEG]],Table1016[#All],2,FALSE)</f>
        <v>#N/A</v>
      </c>
      <c r="D15" s="116"/>
      <c r="E15" s="125" t="e">
        <f>VLOOKUP(Table25751981[[#This Row],[PEG]],Table1016[#All],3,FALSE)</f>
        <v>#N/A</v>
      </c>
    </row>
    <row r="16" spans="1:5" x14ac:dyDescent="0.35">
      <c r="A16" s="118">
        <v>9</v>
      </c>
      <c r="B16" s="114" t="s">
        <v>12</v>
      </c>
      <c r="C16" s="109" t="e">
        <f>VLOOKUP(Table25751981[[#This Row],[PEG]],Table1016[#All],2,FALSE)</f>
        <v>#N/A</v>
      </c>
      <c r="D16" s="116"/>
      <c r="E16" s="125" t="e">
        <f>VLOOKUP(Table25751981[[#This Row],[PEG]],Table1016[#All],3,FALSE)</f>
        <v>#N/A</v>
      </c>
    </row>
    <row r="17" spans="1:5" x14ac:dyDescent="0.35">
      <c r="A17" s="118">
        <v>10</v>
      </c>
      <c r="B17" s="114" t="s">
        <v>12</v>
      </c>
      <c r="C17" s="109" t="e">
        <f>VLOOKUP(Table25751981[[#This Row],[PEG]],Table1016[#All],2,FALSE)</f>
        <v>#N/A</v>
      </c>
      <c r="D17" s="117"/>
      <c r="E17" s="125" t="e">
        <f>VLOOKUP(Table25751981[[#This Row],[PEG]],Table1016[#All],3,FALSE)</f>
        <v>#N/A</v>
      </c>
    </row>
    <row r="18" spans="1:5" x14ac:dyDescent="0.35">
      <c r="A18" s="118">
        <v>11</v>
      </c>
      <c r="B18" s="114" t="s">
        <v>115</v>
      </c>
      <c r="C18" s="109" t="e">
        <f>VLOOKUP(Table25751981[[#This Row],[PEG]],Table1016[#All],2,FALSE)</f>
        <v>#N/A</v>
      </c>
      <c r="D18" s="117"/>
      <c r="E18" s="125" t="e">
        <f>VLOOKUP(Table25751981[[#This Row],[PEG]],Table1016[#All],3,FALSE)</f>
        <v>#N/A</v>
      </c>
    </row>
    <row r="19" spans="1:5" x14ac:dyDescent="0.35">
      <c r="A19" s="118">
        <v>12</v>
      </c>
      <c r="B19" s="114" t="s">
        <v>115</v>
      </c>
      <c r="C19" s="109" t="e">
        <f>VLOOKUP(Table25751981[[#This Row],[PEG]],Table1016[#All],2,FALSE)</f>
        <v>#N/A</v>
      </c>
      <c r="D19" s="117"/>
      <c r="E19" s="125" t="e">
        <f>VLOOKUP(Table25751981[[#This Row],[PEG]],Table1016[#All],3,FALSE)</f>
        <v>#N/A</v>
      </c>
    </row>
    <row r="20" spans="1:5" x14ac:dyDescent="0.35">
      <c r="A20" s="118">
        <v>13</v>
      </c>
      <c r="B20" s="114" t="s">
        <v>114</v>
      </c>
      <c r="C20" s="109" t="e">
        <f>VLOOKUP(Table25751981[[#This Row],[PEG]],Table1016[#All],2,FALSE)</f>
        <v>#N/A</v>
      </c>
      <c r="D20" s="117"/>
      <c r="E20" s="125" t="e">
        <f>VLOOKUP(Table25751981[[#This Row],[PEG]],Table1016[#All],3,FALSE)</f>
        <v>#N/A</v>
      </c>
    </row>
    <row r="21" spans="1:5" x14ac:dyDescent="0.35">
      <c r="A21" s="118">
        <v>14</v>
      </c>
      <c r="B21" s="114" t="s">
        <v>12</v>
      </c>
      <c r="C21" s="109" t="e">
        <f>VLOOKUP(Table25751981[[#This Row],[PEG]],Table1016[#All],2,FALSE)</f>
        <v>#N/A</v>
      </c>
      <c r="D21" s="117"/>
      <c r="E21" s="125" t="e">
        <f>VLOOKUP(Table25751981[[#This Row],[PEG]],Table1016[#All],3,FALSE)</f>
        <v>#N/A</v>
      </c>
    </row>
    <row r="22" spans="1:5" x14ac:dyDescent="0.35">
      <c r="A22" s="118">
        <v>15</v>
      </c>
      <c r="B22" s="114" t="s">
        <v>12</v>
      </c>
      <c r="C22" s="109" t="e">
        <f>VLOOKUP(Table25751981[[#This Row],[PEG]],Table1016[#All],2,FALSE)</f>
        <v>#N/A</v>
      </c>
      <c r="D22" s="117"/>
      <c r="E22" s="125" t="e">
        <f>VLOOKUP(Table25751981[[#This Row],[PEG]],Table1016[#All],3,FALSE)</f>
        <v>#N/A</v>
      </c>
    </row>
    <row r="23" spans="1:5" x14ac:dyDescent="0.35">
      <c r="A23" s="118">
        <v>16</v>
      </c>
      <c r="B23" s="114" t="s">
        <v>115</v>
      </c>
      <c r="C23" s="109" t="e">
        <f>VLOOKUP(Table25751981[[#This Row],[PEG]],Table1016[#All],2,FALSE)</f>
        <v>#N/A</v>
      </c>
      <c r="D23" s="117"/>
      <c r="E23" s="125" t="e">
        <f>VLOOKUP(Table25751981[[#This Row],[PEG]],Table1016[#All],3,FALSE)</f>
        <v>#N/A</v>
      </c>
    </row>
    <row r="24" spans="1:5" x14ac:dyDescent="0.35">
      <c r="A24" s="118">
        <v>17</v>
      </c>
      <c r="B24" s="114" t="s">
        <v>114</v>
      </c>
      <c r="C24" s="109" t="e">
        <f>VLOOKUP(Table25751981[[#This Row],[PEG]],Table1016[#All],2,FALSE)</f>
        <v>#N/A</v>
      </c>
      <c r="D24" s="117"/>
      <c r="E24" s="125" t="e">
        <f>VLOOKUP(Table25751981[[#This Row],[PEG]],Table1016[#All],3,FALSE)</f>
        <v>#N/A</v>
      </c>
    </row>
    <row r="25" spans="1:5" s="97" customFormat="1" x14ac:dyDescent="0.35">
      <c r="A25" s="118">
        <v>18</v>
      </c>
      <c r="B25" s="114" t="s">
        <v>12</v>
      </c>
      <c r="C25" s="109" t="e">
        <f>VLOOKUP(Table25751981[[#This Row],[PEG]],Table1016[#All],2,FALSE)</f>
        <v>#N/A</v>
      </c>
      <c r="D25" s="117"/>
      <c r="E25" s="125" t="e">
        <f>VLOOKUP(Table25751981[[#This Row],[PEG]],Table1016[#All],3,FALSE)</f>
        <v>#N/A</v>
      </c>
    </row>
    <row r="26" spans="1:5" x14ac:dyDescent="0.35">
      <c r="A26" s="118">
        <v>19</v>
      </c>
      <c r="B26" s="114" t="s">
        <v>12</v>
      </c>
      <c r="C26" s="109" t="e">
        <f>VLOOKUP(Table25751981[[#This Row],[PEG]],Table1016[#All],2,FALSE)</f>
        <v>#N/A</v>
      </c>
      <c r="D26" s="117"/>
      <c r="E26" s="125" t="e">
        <f>VLOOKUP(Table25751981[[#This Row],[PEG]],Table1016[#All],3,FALSE)</f>
        <v>#N/A</v>
      </c>
    </row>
    <row r="27" spans="1:5" x14ac:dyDescent="0.35">
      <c r="A27" s="118">
        <v>20</v>
      </c>
      <c r="B27" s="114" t="s">
        <v>115</v>
      </c>
      <c r="C27" s="109" t="e">
        <f>VLOOKUP(Table25751981[[#This Row],[PEG]],Table1016[#All],2,FALSE)</f>
        <v>#N/A</v>
      </c>
      <c r="D27" s="117"/>
      <c r="E27" s="125" t="e">
        <f>VLOOKUP(Table25751981[[#This Row],[PEG]],Table1016[#All],3,FALSE)</f>
        <v>#N/A</v>
      </c>
    </row>
    <row r="28" spans="1:5" x14ac:dyDescent="0.35">
      <c r="A28" s="118">
        <v>21</v>
      </c>
      <c r="B28" s="114" t="s">
        <v>114</v>
      </c>
      <c r="C28" s="109" t="e">
        <f>VLOOKUP(Table25751981[[#This Row],[PEG]],Table1016[#All],2,FALSE)</f>
        <v>#N/A</v>
      </c>
      <c r="D28" s="117"/>
      <c r="E28" s="125" t="e">
        <f>VLOOKUP(Table25751981[[#This Row],[PEG]],Table1016[#All],3,FALSE)</f>
        <v>#N/A</v>
      </c>
    </row>
    <row r="29" spans="1:5" x14ac:dyDescent="0.35">
      <c r="A29" s="118">
        <v>22</v>
      </c>
      <c r="B29" s="114" t="s">
        <v>12</v>
      </c>
      <c r="C29" s="109" t="e">
        <f>VLOOKUP(Table25751981[[#This Row],[PEG]],Table1016[#All],2,FALSE)</f>
        <v>#N/A</v>
      </c>
      <c r="D29" s="117"/>
      <c r="E29" s="125" t="e">
        <f>VLOOKUP(Table25751981[[#This Row],[PEG]],Table1016[#All],3,FALSE)</f>
        <v>#N/A</v>
      </c>
    </row>
    <row r="30" spans="1:5" x14ac:dyDescent="0.35">
      <c r="A30" s="118">
        <v>23</v>
      </c>
      <c r="B30" s="114" t="s">
        <v>12</v>
      </c>
      <c r="C30" s="109" t="e">
        <f>VLOOKUP(Table25751981[[#This Row],[PEG]],Table1016[#All],2,FALSE)</f>
        <v>#N/A</v>
      </c>
      <c r="D30" s="117"/>
      <c r="E30" s="125" t="e">
        <f>VLOOKUP(Table25751981[[#This Row],[PEG]],Table1016[#All],3,FALSE)</f>
        <v>#N/A</v>
      </c>
    </row>
    <row r="31" spans="1:5" x14ac:dyDescent="0.35">
      <c r="A31" s="118">
        <v>24</v>
      </c>
      <c r="B31" s="114" t="s">
        <v>115</v>
      </c>
      <c r="C31" s="109" t="e">
        <f>VLOOKUP(Table25751981[[#This Row],[PEG]],Table1016[#All],2,FALSE)</f>
        <v>#N/A</v>
      </c>
      <c r="D31" s="117"/>
      <c r="E31" s="125" t="e">
        <f>VLOOKUP(Table25751981[[#This Row],[PEG]],Table1016[#All],3,FALSE)</f>
        <v>#N/A</v>
      </c>
    </row>
    <row r="32" spans="1:5" x14ac:dyDescent="0.35">
      <c r="A32" s="118">
        <v>25</v>
      </c>
      <c r="B32" s="114" t="s">
        <v>115</v>
      </c>
      <c r="C32" s="109" t="e">
        <f>VLOOKUP(Table25751981[[#This Row],[PEG]],Table1016[#All],2,FALSE)</f>
        <v>#N/A</v>
      </c>
      <c r="D32" s="117"/>
      <c r="E32" s="125" t="e">
        <f>VLOOKUP(Table25751981[[#This Row],[PEG]],Table1016[#All],3,FALSE)</f>
        <v>#N/A</v>
      </c>
    </row>
    <row r="33" spans="1:5" x14ac:dyDescent="0.35">
      <c r="A33" s="118">
        <v>26</v>
      </c>
      <c r="B33" s="114" t="s">
        <v>124</v>
      </c>
      <c r="C33" s="109" t="e">
        <f>VLOOKUP(Table25751981[[#This Row],[PEG]],Table1016[#All],2,FALSE)</f>
        <v>#N/A</v>
      </c>
      <c r="D33" s="117"/>
      <c r="E33" s="125" t="e">
        <f>VLOOKUP(Table25751981[[#This Row],[PEG]],Table1016[#All],3,FALSE)</f>
        <v>#N/A</v>
      </c>
    </row>
    <row r="34" spans="1:5" x14ac:dyDescent="0.35">
      <c r="A34" s="118">
        <v>27</v>
      </c>
      <c r="B34" s="114" t="s">
        <v>115</v>
      </c>
      <c r="C34" s="109" t="e">
        <f>VLOOKUP(Table25751981[[#This Row],[PEG]],Table1016[#All],2,FALSE)</f>
        <v>#N/A</v>
      </c>
      <c r="D34" s="117"/>
      <c r="E34" s="125" t="e">
        <f>VLOOKUP(Table25751981[[#This Row],[PEG]],Table1016[#All],3,FALSE)</f>
        <v>#N/A</v>
      </c>
    </row>
    <row r="35" spans="1:5" x14ac:dyDescent="0.35">
      <c r="A35" s="118">
        <v>28</v>
      </c>
      <c r="B35" s="114" t="s">
        <v>124</v>
      </c>
      <c r="C35" s="109" t="e">
        <f>VLOOKUP(Table25751981[[#This Row],[PEG]],Table1016[#All],2,FALSE)</f>
        <v>#N/A</v>
      </c>
      <c r="D35" s="117"/>
      <c r="E35" s="125" t="e">
        <f>VLOOKUP(Table25751981[[#This Row],[PEG]],Table1016[#All],3,FALSE)</f>
        <v>#N/A</v>
      </c>
    </row>
    <row r="36" spans="1:5" x14ac:dyDescent="0.35">
      <c r="A36" s="118">
        <v>29</v>
      </c>
      <c r="B36" s="114" t="s">
        <v>115</v>
      </c>
      <c r="C36" s="109" t="e">
        <f>VLOOKUP(Table25751981[[#This Row],[PEG]],Table1016[#All],2,FALSE)</f>
        <v>#N/A</v>
      </c>
      <c r="D36" s="117"/>
      <c r="E36" s="125" t="e">
        <f>VLOOKUP(Table25751981[[#This Row],[PEG]],Table1016[#All],3,FALSE)</f>
        <v>#N/A</v>
      </c>
    </row>
    <row r="37" spans="1:5" x14ac:dyDescent="0.35">
      <c r="A37" s="118">
        <v>30</v>
      </c>
      <c r="B37" s="114" t="s">
        <v>12</v>
      </c>
      <c r="C37" s="109" t="e">
        <f>VLOOKUP(Table25751981[[#This Row],[PEG]],Table1016[#All],2,FALSE)</f>
        <v>#N/A</v>
      </c>
      <c r="D37" s="117"/>
      <c r="E37" s="125" t="e">
        <f>VLOOKUP(Table25751981[[#This Row],[PEG]],Table1016[#All],3,FALSE)</f>
        <v>#N/A</v>
      </c>
    </row>
    <row r="38" spans="1:5" x14ac:dyDescent="0.35">
      <c r="A38" s="118">
        <v>31</v>
      </c>
      <c r="B38" s="114" t="s">
        <v>12</v>
      </c>
      <c r="C38" s="109" t="e">
        <f>VLOOKUP(Table25751981[[#This Row],[PEG]],Table1016[#All],2,FALSE)</f>
        <v>#N/A</v>
      </c>
      <c r="D38" s="117"/>
      <c r="E38" s="125" t="e">
        <f>VLOOKUP(Table25751981[[#This Row],[PEG]],Table1016[#All],3,FALSE)</f>
        <v>#N/A</v>
      </c>
    </row>
    <row r="39" spans="1:5" x14ac:dyDescent="0.35">
      <c r="A39" s="118">
        <v>32</v>
      </c>
      <c r="B39" s="114" t="s">
        <v>12</v>
      </c>
      <c r="C39" s="109" t="e">
        <f>VLOOKUP(Table25751981[[#This Row],[PEG]],Table1016[#All],2,FALSE)</f>
        <v>#N/A</v>
      </c>
      <c r="D39" s="117"/>
      <c r="E39" s="125" t="e">
        <f>VLOOKUP(Table25751981[[#This Row],[PEG]],Table1016[#All],3,FALSE)</f>
        <v>#N/A</v>
      </c>
    </row>
    <row r="40" spans="1:5" x14ac:dyDescent="0.35">
      <c r="A40" s="118">
        <v>33</v>
      </c>
      <c r="B40" s="114" t="s">
        <v>12</v>
      </c>
      <c r="C40" s="109" t="e">
        <f>VLOOKUP(Table25751981[[#This Row],[PEG]],Table1016[#All],2,FALSE)</f>
        <v>#N/A</v>
      </c>
      <c r="D40" s="117"/>
      <c r="E40" s="125" t="e">
        <f>VLOOKUP(Table25751981[[#This Row],[PEG]],Table1016[#All],3,FALSE)</f>
        <v>#N/A</v>
      </c>
    </row>
    <row r="41" spans="1:5" x14ac:dyDescent="0.35">
      <c r="A41" s="118">
        <v>34</v>
      </c>
      <c r="B41" s="114" t="s">
        <v>115</v>
      </c>
      <c r="C41" s="109" t="e">
        <f>VLOOKUP(Table25751981[[#This Row],[PEG]],Table1016[#All],2,FALSE)</f>
        <v>#N/A</v>
      </c>
      <c r="D41" s="117"/>
      <c r="E41" s="125" t="e">
        <f>VLOOKUP(Table25751981[[#This Row],[PEG]],Table1016[#All],3,FALSE)</f>
        <v>#N/A</v>
      </c>
    </row>
    <row r="42" spans="1:5" x14ac:dyDescent="0.35">
      <c r="A42" s="118">
        <v>35</v>
      </c>
      <c r="B42" s="114" t="s">
        <v>12</v>
      </c>
      <c r="C42" s="109" t="e">
        <f>VLOOKUP(Table25751981[[#This Row],[PEG]],Table1016[#All],2,FALSE)</f>
        <v>#N/A</v>
      </c>
      <c r="D42" s="115"/>
      <c r="E42" s="125" t="e">
        <f>VLOOKUP(Table25751981[[#This Row],[PEG]],Table1016[#All],3,FALSE)</f>
        <v>#N/A</v>
      </c>
    </row>
    <row r="43" spans="1:5" x14ac:dyDescent="0.35">
      <c r="A43" s="118">
        <v>36</v>
      </c>
      <c r="B43" s="114" t="s">
        <v>115</v>
      </c>
      <c r="C43" s="109" t="e">
        <f>VLOOKUP(Table25751981[[#This Row],[PEG]],Table1016[#All],2,FALSE)</f>
        <v>#N/A</v>
      </c>
      <c r="D43" s="115"/>
      <c r="E43" s="125" t="e">
        <f>VLOOKUP(Table25751981[[#This Row],[PEG]],Table1016[#All],3,FALSE)</f>
        <v>#N/A</v>
      </c>
    </row>
    <row r="44" spans="1:5" x14ac:dyDescent="0.35">
      <c r="A44" s="118">
        <v>37</v>
      </c>
      <c r="B44" s="114" t="s">
        <v>13</v>
      </c>
      <c r="C44" s="18" t="s">
        <v>13</v>
      </c>
      <c r="D44" s="115"/>
      <c r="E44" s="32"/>
    </row>
    <row r="45" spans="1:5" x14ac:dyDescent="0.35">
      <c r="C45" s="26"/>
    </row>
    <row r="46" spans="1:5" x14ac:dyDescent="0.35">
      <c r="C46" s="26"/>
    </row>
    <row r="47" spans="1:5" x14ac:dyDescent="0.35">
      <c r="C47" s="27"/>
    </row>
    <row r="48" spans="1:5" x14ac:dyDescent="0.35">
      <c r="C48" s="27"/>
    </row>
    <row r="49" spans="3:3" x14ac:dyDescent="0.35">
      <c r="C49" s="27"/>
    </row>
  </sheetData>
  <mergeCells count="1">
    <mergeCell ref="A1:B1"/>
  </mergeCells>
  <conditionalFormatting sqref="C45:C9988">
    <cfRule type="expression" dxfId="3129" priority="48">
      <formula>$B45="Dial"</formula>
    </cfRule>
    <cfRule type="expression" dxfId="3128" priority="49">
      <formula>$B45="HANGUP"</formula>
    </cfRule>
  </conditionalFormatting>
  <conditionalFormatting sqref="B30">
    <cfRule type="containsText" dxfId="3127" priority="4" operator="containsText" text="Hear">
      <formula>NOT(ISERROR(SEARCH("Hear",B30)))</formula>
    </cfRule>
  </conditionalFormatting>
  <conditionalFormatting sqref="B43:B44">
    <cfRule type="containsText" dxfId="3126" priority="14" operator="containsText" text="Hear">
      <formula>NOT(ISERROR(SEARCH("Hear",B43)))</formula>
    </cfRule>
  </conditionalFormatting>
  <conditionalFormatting sqref="E44">
    <cfRule type="containsText" dxfId="3125" priority="12" operator="containsText" text="WEB SERVICE">
      <formula>NOT(ISERROR(SEARCH("WEB SERVICE",E44)))</formula>
    </cfRule>
    <cfRule type="containsText" dxfId="3124" priority="13" operator="containsText" text="DB">
      <formula>NOT(ISERROR(SEARCH("DB",E44)))</formula>
    </cfRule>
  </conditionalFormatting>
  <conditionalFormatting sqref="C44">
    <cfRule type="expression" dxfId="3123" priority="15">
      <formula>$B44="Dial"</formula>
    </cfRule>
    <cfRule type="expression" dxfId="3122" priority="17">
      <formula>$B44="HANGUP"</formula>
    </cfRule>
  </conditionalFormatting>
  <conditionalFormatting sqref="C44">
    <cfRule type="expression" dxfId="3121" priority="16">
      <formula>$B44="Speak"</formula>
    </cfRule>
  </conditionalFormatting>
  <conditionalFormatting sqref="B8:B18">
    <cfRule type="containsText" dxfId="3120" priority="1" operator="containsText" text="Hear">
      <formula>NOT(ISERROR(SEARCH("Hear",B8)))</formula>
    </cfRule>
  </conditionalFormatting>
  <conditionalFormatting sqref="B36:B38 B40:B41">
    <cfRule type="containsText" dxfId="3119" priority="3" operator="containsText" text="Hear">
      <formula>NOT(ISERROR(SEARCH("Hear",B36)))</formula>
    </cfRule>
  </conditionalFormatting>
  <conditionalFormatting sqref="B19:B29 B31:B35 B42">
    <cfRule type="containsText" dxfId="3118" priority="5" operator="containsText" text="Hear">
      <formula>NOT(ISERROR(SEARCH("Hear",B19)))</formula>
    </cfRule>
  </conditionalFormatting>
  <hyperlinks>
    <hyperlink ref="A1" location="'Test Case Overview'!A1" display="Return to Test Case Overview" xr:uid="{00000000-0004-0000-5C00-000000000000}"/>
  </hyperlinks>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expression" priority="8" id="{C5D7C70F-10B0-4347-9FF9-90933B9BE699}">
            <xm:f>'TC1'!$B8="HANGUP"</xm:f>
            <x14:dxf>
              <font>
                <b/>
                <i val="0"/>
              </font>
            </x14:dxf>
          </x14:cfRule>
          <x14:cfRule type="expression" priority="9" id="{832182A0-DEA0-4311-B054-08719284AAB8}">
            <xm:f>'TC1'!$B8="Dial"</xm:f>
            <x14:dxf>
              <font>
                <b/>
                <i val="0"/>
                <color rgb="FFFF0000"/>
              </font>
            </x14:dxf>
          </x14:cfRule>
          <xm:sqref>C8</xm:sqref>
        </x14:conditionalFormatting>
        <x14:conditionalFormatting xmlns:xm="http://schemas.microsoft.com/office/excel/2006/main">
          <x14:cfRule type="expression" priority="10" id="{D142C9D5-084B-447F-9212-096F30FEC8DC}">
            <xm:f>'TC1'!$B8="Speak"</xm:f>
            <x14:dxf>
              <font>
                <b/>
                <i val="0"/>
                <color rgb="FFFF0000"/>
              </font>
            </x14:dxf>
          </x14:cfRule>
          <xm:sqref>C8</xm:sqref>
        </x14:conditionalFormatting>
        <x14:conditionalFormatting xmlns:xm="http://schemas.microsoft.com/office/excel/2006/main">
          <x14:cfRule type="containsText" priority="2" operator="containsText" text="Hear" id="{9CDE6AEE-50B9-43C1-9A8E-3C281CB904EC}">
            <xm:f>NOT(ISERROR(SEARCH("Hear",'TC3'!B34)))</xm:f>
            <x14:dxf>
              <font>
                <color theme="9" tint="-0.24994659260841701"/>
              </font>
              <fill>
                <patternFill>
                  <bgColor theme="9" tint="0.59996337778862885"/>
                </patternFill>
              </fill>
            </x14:dxf>
          </x14:cfRule>
          <xm:sqref>B41</xm:sqref>
        </x14:conditionalFormatting>
        <x14:conditionalFormatting xmlns:xm="http://schemas.microsoft.com/office/excel/2006/main">
          <x14:cfRule type="expression" priority="2103" id="{C5D7C70F-10B0-4347-9FF9-90933B9BE699}">
            <xm:f>'TC1'!$B16="HANGUP"</xm:f>
            <x14:dxf>
              <font>
                <b/>
                <i val="0"/>
              </font>
            </x14:dxf>
          </x14:cfRule>
          <x14:cfRule type="expression" priority="2104" id="{832182A0-DEA0-4311-B054-08719284AAB8}">
            <xm:f>'TC1'!$B16="Dial"</xm:f>
            <x14:dxf>
              <font>
                <b/>
                <i val="0"/>
                <color rgb="FFFF0000"/>
              </font>
            </x14:dxf>
          </x14:cfRule>
          <xm:sqref>C34:C43</xm:sqref>
        </x14:conditionalFormatting>
        <x14:conditionalFormatting xmlns:xm="http://schemas.microsoft.com/office/excel/2006/main">
          <x14:cfRule type="expression" priority="2105" id="{C5D7C70F-10B0-4347-9FF9-90933B9BE699}">
            <xm:f>'TC1'!#REF!="HANGUP"</xm:f>
            <x14:dxf>
              <font>
                <b/>
                <i val="0"/>
              </font>
            </x14:dxf>
          </x14:cfRule>
          <x14:cfRule type="expression" priority="2106" id="{832182A0-DEA0-4311-B054-08719284AAB8}">
            <xm:f>'TC1'!#REF!="Dial"</xm:f>
            <x14:dxf>
              <font>
                <b/>
                <i val="0"/>
                <color rgb="FFFF0000"/>
              </font>
            </x14:dxf>
          </x14:cfRule>
          <xm:sqref>C17:C33</xm:sqref>
        </x14:conditionalFormatting>
        <x14:conditionalFormatting xmlns:xm="http://schemas.microsoft.com/office/excel/2006/main">
          <x14:cfRule type="expression" priority="2110" id="{D142C9D5-084B-447F-9212-096F30FEC8DC}">
            <xm:f>'TC1'!$B16="Speak"</xm:f>
            <x14:dxf>
              <font>
                <b/>
                <i val="0"/>
                <color rgb="FFFF0000"/>
              </font>
            </x14:dxf>
          </x14:cfRule>
          <xm:sqref>C34:C43</xm:sqref>
        </x14:conditionalFormatting>
        <x14:conditionalFormatting xmlns:xm="http://schemas.microsoft.com/office/excel/2006/main">
          <x14:cfRule type="expression" priority="2111" id="{D142C9D5-084B-447F-9212-096F30FEC8DC}">
            <xm:f>'TC1'!#REF!="Speak"</xm:f>
            <x14:dxf>
              <font>
                <b/>
                <i val="0"/>
                <color rgb="FFFF0000"/>
              </font>
            </x14:dxf>
          </x14:cfRule>
          <xm:sqref>C17:C33</xm:sqref>
        </x14:conditionalFormatting>
        <x14:conditionalFormatting xmlns:xm="http://schemas.microsoft.com/office/excel/2006/main">
          <x14:cfRule type="containsText" priority="2115" operator="containsText" text="DB" id="{E780478A-7821-4608-8130-FC1A8C63031B}">
            <xm:f>NOT(ISERROR(SEARCH("DB",'TC1'!E16)))</xm:f>
            <x14:dxf>
              <font>
                <color rgb="FF006100"/>
              </font>
              <fill>
                <patternFill>
                  <bgColor rgb="FFC6EFCE"/>
                </patternFill>
              </fill>
            </x14:dxf>
          </x14:cfRule>
          <x14:cfRule type="containsText" priority="2116" operator="containsText" text="WEB SERVICE" id="{FF10C294-1EC0-473F-83D9-9F559526D18C}">
            <xm:f>NOT(ISERROR(SEARCH("WEB SERVICE",'TC1'!E16)))</xm:f>
            <x14:dxf>
              <font>
                <color rgb="FF9C0006"/>
              </font>
              <fill>
                <patternFill>
                  <bgColor rgb="FFFFC7CE"/>
                </patternFill>
              </fill>
            </x14:dxf>
          </x14:cfRule>
          <xm:sqref>E34:E43</xm:sqref>
        </x14:conditionalFormatting>
        <x14:conditionalFormatting xmlns:xm="http://schemas.microsoft.com/office/excel/2006/main">
          <x14:cfRule type="containsText" priority="2117" operator="containsText" text="DB" id="{E780478A-7821-4608-8130-FC1A8C63031B}">
            <xm:f>NOT(ISERROR(SEARCH("DB",'TC1'!#REF!)))</xm:f>
            <x14:dxf>
              <font>
                <color rgb="FF006100"/>
              </font>
              <fill>
                <patternFill>
                  <bgColor rgb="FFC6EFCE"/>
                </patternFill>
              </fill>
            </x14:dxf>
          </x14:cfRule>
          <x14:cfRule type="containsText" priority="2118" operator="containsText" text="WEB SERVICE" id="{FF10C294-1EC0-473F-83D9-9F559526D18C}">
            <xm:f>NOT(ISERROR(SEARCH("WEB SERVICE",'TC1'!#REF!)))</xm:f>
            <x14:dxf>
              <font>
                <color rgb="FF9C0006"/>
              </font>
              <fill>
                <patternFill>
                  <bgColor rgb="FFFFC7CE"/>
                </patternFill>
              </fill>
            </x14:dxf>
          </x14:cfRule>
          <xm:sqref>E17:E33</xm:sqref>
        </x14:conditionalFormatting>
        <x14:conditionalFormatting xmlns:xm="http://schemas.microsoft.com/office/excel/2006/main">
          <x14:cfRule type="expression" priority="4831" id="{C5D7C70F-10B0-4347-9FF9-90933B9BE699}">
            <xm:f>'TC1'!$B9="HANGUP"</xm:f>
            <x14:dxf>
              <font>
                <b/>
                <i val="0"/>
              </font>
            </x14:dxf>
          </x14:cfRule>
          <x14:cfRule type="expression" priority="4832" id="{832182A0-DEA0-4311-B054-08719284AAB8}">
            <xm:f>'TC1'!$B9="Dial"</xm:f>
            <x14:dxf>
              <font>
                <b/>
                <i val="0"/>
                <color rgb="FFFF0000"/>
              </font>
            </x14:dxf>
          </x14:cfRule>
          <xm:sqref>C12:C15</xm:sqref>
        </x14:conditionalFormatting>
        <x14:conditionalFormatting xmlns:xm="http://schemas.microsoft.com/office/excel/2006/main">
          <x14:cfRule type="expression" priority="4833" id="{C5D7C70F-10B0-4347-9FF9-90933B9BE699}">
            <xm:f>'TC1'!#REF!="HANGUP"</xm:f>
            <x14:dxf>
              <font>
                <b/>
                <i val="0"/>
              </font>
            </x14:dxf>
          </x14:cfRule>
          <x14:cfRule type="expression" priority="4834" id="{832182A0-DEA0-4311-B054-08719284AAB8}">
            <xm:f>'TC1'!#REF!="Dial"</xm:f>
            <x14:dxf>
              <font>
                <b/>
                <i val="0"/>
                <color rgb="FFFF0000"/>
              </font>
            </x14:dxf>
          </x14:cfRule>
          <xm:sqref>C9:C11</xm:sqref>
        </x14:conditionalFormatting>
        <x14:conditionalFormatting xmlns:xm="http://schemas.microsoft.com/office/excel/2006/main">
          <x14:cfRule type="expression" priority="4838" id="{D142C9D5-084B-447F-9212-096F30FEC8DC}">
            <xm:f>'TC1'!$B9="Speak"</xm:f>
            <x14:dxf>
              <font>
                <b/>
                <i val="0"/>
                <color rgb="FFFF0000"/>
              </font>
            </x14:dxf>
          </x14:cfRule>
          <xm:sqref>C12:C15</xm:sqref>
        </x14:conditionalFormatting>
        <x14:conditionalFormatting xmlns:xm="http://schemas.microsoft.com/office/excel/2006/main">
          <x14:cfRule type="expression" priority="4839" id="{D142C9D5-084B-447F-9212-096F30FEC8DC}">
            <xm:f>'TC1'!#REF!="Speak"</xm:f>
            <x14:dxf>
              <font>
                <b/>
                <i val="0"/>
                <color rgb="FFFF0000"/>
              </font>
            </x14:dxf>
          </x14:cfRule>
          <xm:sqref>C9:C11</xm:sqref>
        </x14:conditionalFormatting>
        <x14:conditionalFormatting xmlns:xm="http://schemas.microsoft.com/office/excel/2006/main">
          <x14:cfRule type="containsText" priority="4841" operator="containsText" text="DB" id="{E780478A-7821-4608-8130-FC1A8C63031B}">
            <xm:f>NOT(ISERROR(SEARCH("DB",'TC1'!#REF!)))</xm:f>
            <x14:dxf>
              <font>
                <color rgb="FF006100"/>
              </font>
              <fill>
                <patternFill>
                  <bgColor rgb="FFC6EFCE"/>
                </patternFill>
              </fill>
            </x14:dxf>
          </x14:cfRule>
          <x14:cfRule type="containsText" priority="4842" operator="containsText" text="WEB SERVICE" id="{FF10C294-1EC0-473F-83D9-9F559526D18C}">
            <xm:f>NOT(ISERROR(SEARCH("WEB SERVICE",'TC1'!#REF!)))</xm:f>
            <x14:dxf>
              <font>
                <color rgb="FF9C0006"/>
              </font>
              <fill>
                <patternFill>
                  <bgColor rgb="FFFFC7CE"/>
                </patternFill>
              </fill>
            </x14:dxf>
          </x14:cfRule>
          <xm:sqref>E9:E11</xm:sqref>
        </x14:conditionalFormatting>
        <x14:conditionalFormatting xmlns:xm="http://schemas.microsoft.com/office/excel/2006/main">
          <x14:cfRule type="containsText" priority="4843" operator="containsText" text="DB" id="{E780478A-7821-4608-8130-FC1A8C63031B}">
            <xm:f>NOT(ISERROR(SEARCH("DB",'TC1'!E9)))</xm:f>
            <x14:dxf>
              <font>
                <color rgb="FF006100"/>
              </font>
              <fill>
                <patternFill>
                  <bgColor rgb="FFC6EFCE"/>
                </patternFill>
              </fill>
            </x14:dxf>
          </x14:cfRule>
          <x14:cfRule type="containsText" priority="4844" operator="containsText" text="WEB SERVICE" id="{FF10C294-1EC0-473F-83D9-9F559526D18C}">
            <xm:f>NOT(ISERROR(SEARCH("WEB SERVICE",'TC1'!E9)))</xm:f>
            <x14:dxf>
              <font>
                <color rgb="FF9C0006"/>
              </font>
              <fill>
                <patternFill>
                  <bgColor rgb="FFFFC7CE"/>
                </patternFill>
              </fill>
            </x14:dxf>
          </x14:cfRule>
          <xm:sqref>E12:E15</xm:sqref>
        </x14:conditionalFormatting>
        <x14:conditionalFormatting xmlns:xm="http://schemas.microsoft.com/office/excel/2006/main">
          <x14:cfRule type="expression" priority="7205" id="{C5D7C70F-10B0-4347-9FF9-90933B9BE699}">
            <xm:f>'TC1'!$B15="HANGUP"</xm:f>
            <x14:dxf>
              <font>
                <b/>
                <i val="0"/>
              </font>
            </x14:dxf>
          </x14:cfRule>
          <x14:cfRule type="expression" priority="7206" id="{832182A0-DEA0-4311-B054-08719284AAB8}">
            <xm:f>'TC1'!$B15="Dial"</xm:f>
            <x14:dxf>
              <font>
                <b/>
                <i val="0"/>
                <color rgb="FFFF0000"/>
              </font>
            </x14:dxf>
          </x14:cfRule>
          <xm:sqref>C16</xm:sqref>
        </x14:conditionalFormatting>
        <x14:conditionalFormatting xmlns:xm="http://schemas.microsoft.com/office/excel/2006/main">
          <x14:cfRule type="expression" priority="7208" id="{D142C9D5-084B-447F-9212-096F30FEC8DC}">
            <xm:f>'TC1'!$B15="Speak"</xm:f>
            <x14:dxf>
              <font>
                <b/>
                <i val="0"/>
                <color rgb="FFFF0000"/>
              </font>
            </x14:dxf>
          </x14:cfRule>
          <xm:sqref>C16</xm:sqref>
        </x14:conditionalFormatting>
        <x14:conditionalFormatting xmlns:xm="http://schemas.microsoft.com/office/excel/2006/main">
          <x14:cfRule type="containsText" priority="7211" operator="containsText" text="DB" id="{E780478A-7821-4608-8130-FC1A8C63031B}">
            <xm:f>NOT(ISERROR(SEARCH("DB",'TC1'!E15)))</xm:f>
            <x14:dxf>
              <font>
                <color rgb="FF006100"/>
              </font>
              <fill>
                <patternFill>
                  <bgColor rgb="FFC6EFCE"/>
                </patternFill>
              </fill>
            </x14:dxf>
          </x14:cfRule>
          <x14:cfRule type="containsText" priority="7212" operator="containsText" text="WEB SERVICE" id="{FF10C294-1EC0-473F-83D9-9F559526D18C}">
            <xm:f>NOT(ISERROR(SEARCH("WEB SERVICE",'TC1'!E15)))</xm:f>
            <x14:dxf>
              <font>
                <color rgb="FF9C0006"/>
              </font>
              <fill>
                <patternFill>
                  <bgColor rgb="FFFFC7CE"/>
                </patternFill>
              </fill>
            </x14:dxf>
          </x14:cfRule>
          <xm:sqref>E16</xm:sqref>
        </x14:conditionalFormatting>
        <x14:conditionalFormatting xmlns:xm="http://schemas.microsoft.com/office/excel/2006/main">
          <x14:cfRule type="containsText" priority="9674" operator="containsText" text="Hear" id="{6DAF59DA-1FAF-443A-9280-842F7BA65C73}">
            <xm:f>NOT(ISERROR(SEARCH("Hear",'TC26'!#REF!)))</xm:f>
            <x14:dxf>
              <font>
                <color theme="9" tint="-0.24994659260841701"/>
              </font>
              <fill>
                <patternFill>
                  <bgColor theme="9" tint="0.59996337778862885"/>
                </patternFill>
              </fill>
            </x14:dxf>
          </x14:cfRule>
          <xm:sqref>B39</xm:sqref>
        </x14:conditionalFormatting>
      </x14:conditionalFormattings>
    </ext>
  </extLst>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D00-000000000000}">
  <sheetPr codeName="Sheet95"/>
  <dimension ref="A1:E58"/>
  <sheetViews>
    <sheetView zoomScaleNormal="100" workbookViewId="0">
      <selection activeCell="A2" sqref="A2"/>
    </sheetView>
  </sheetViews>
  <sheetFormatPr defaultRowHeight="14.5" x14ac:dyDescent="0.35"/>
  <cols>
    <col min="1" max="1" width="14.453125" style="97" bestFit="1" customWidth="1"/>
    <col min="2" max="2" width="42.6328125" style="97" customWidth="1"/>
    <col min="3" max="3" width="106.1796875" style="98" customWidth="1"/>
    <col min="4" max="4" width="21.81640625" style="111" bestFit="1" customWidth="1"/>
    <col min="5" max="5" width="20.6328125" style="97" customWidth="1"/>
  </cols>
  <sheetData>
    <row r="1" spans="1:5" ht="18.5" x14ac:dyDescent="0.35">
      <c r="A1" s="192" t="s">
        <v>4</v>
      </c>
      <c r="B1" s="192"/>
      <c r="C1" s="105"/>
    </row>
    <row r="2" spans="1:5" x14ac:dyDescent="0.35">
      <c r="A2" s="106" t="s">
        <v>5</v>
      </c>
      <c r="B2" s="107" t="str">
        <f ca="1">MID(CELL("filename",A1),FIND("]",CELL("filename",A1))+1,LEN(CELL("filename",A1))-FIND("]",CELL("filename",A1)))</f>
        <v>TC93</v>
      </c>
    </row>
    <row r="3" spans="1:5" x14ac:dyDescent="0.35">
      <c r="A3" s="104" t="s">
        <v>19</v>
      </c>
      <c r="B3" s="112">
        <f ca="1">VLOOKUP(B2,Table53[#All],2,FALSE)</f>
        <v>0</v>
      </c>
    </row>
    <row r="4" spans="1:5" ht="29" x14ac:dyDescent="0.35">
      <c r="A4" s="113" t="s">
        <v>20</v>
      </c>
      <c r="B4" s="99">
        <f ca="1">VLOOKUP(B2,Table53[#All],4,FALSE)</f>
        <v>0</v>
      </c>
    </row>
    <row r="5" spans="1:5" x14ac:dyDescent="0.35">
      <c r="A5" s="104" t="s">
        <v>6</v>
      </c>
      <c r="B5" s="77">
        <f ca="1">VLOOKUP(B2,Table53[#All],3,FALSE)</f>
        <v>0</v>
      </c>
    </row>
    <row r="7" spans="1:5" ht="15.5" x14ac:dyDescent="0.35">
      <c r="A7" s="100" t="s">
        <v>7</v>
      </c>
      <c r="B7" s="101" t="s">
        <v>8</v>
      </c>
      <c r="C7" s="102" t="s">
        <v>9</v>
      </c>
      <c r="D7" s="102" t="s">
        <v>14</v>
      </c>
      <c r="E7" s="103" t="s">
        <v>10</v>
      </c>
    </row>
    <row r="8" spans="1:5" x14ac:dyDescent="0.35">
      <c r="A8" s="118">
        <v>1</v>
      </c>
      <c r="B8" s="114" t="s">
        <v>114</v>
      </c>
      <c r="C8" s="109" t="s">
        <v>125</v>
      </c>
      <c r="D8" s="128"/>
      <c r="E8" s="125" t="s">
        <v>11</v>
      </c>
    </row>
    <row r="9" spans="1:5" s="97" customFormat="1" x14ac:dyDescent="0.35">
      <c r="A9" s="118">
        <v>2</v>
      </c>
      <c r="B9" s="114" t="s">
        <v>12</v>
      </c>
      <c r="C9" s="109" t="e">
        <f>VLOOKUP(Table25751982[[#This Row],[PEG]],Table1016[#All],2,FALSE)</f>
        <v>#N/A</v>
      </c>
      <c r="D9" s="128"/>
      <c r="E9" s="125" t="e">
        <f>VLOOKUP(Table25751982[[#This Row],[PEG]],Table1016[#All],3,FALSE)</f>
        <v>#N/A</v>
      </c>
    </row>
    <row r="10" spans="1:5" s="97" customFormat="1" x14ac:dyDescent="0.35">
      <c r="A10" s="118">
        <v>3</v>
      </c>
      <c r="B10" s="114" t="s">
        <v>115</v>
      </c>
      <c r="C10" s="109" t="e">
        <f>VLOOKUP(Table25751982[[#This Row],[PEG]],Table1016[#All],2,FALSE)</f>
        <v>#N/A</v>
      </c>
      <c r="D10" s="128"/>
      <c r="E10" s="125" t="e">
        <f>VLOOKUP(Table25751982[[#This Row],[PEG]],Table1016[#All],3,FALSE)</f>
        <v>#N/A</v>
      </c>
    </row>
    <row r="11" spans="1:5" s="97" customFormat="1" x14ac:dyDescent="0.35">
      <c r="A11" s="118">
        <v>4</v>
      </c>
      <c r="B11" s="114" t="s">
        <v>115</v>
      </c>
      <c r="C11" s="109" t="e">
        <f>VLOOKUP(Table25751982[[#This Row],[PEG]],Table1016[#All],2,FALSE)</f>
        <v>#N/A</v>
      </c>
      <c r="D11" s="128"/>
      <c r="E11" s="125" t="e">
        <f>VLOOKUP(Table25751982[[#This Row],[PEG]],Table1016[#All],3,FALSE)</f>
        <v>#N/A</v>
      </c>
    </row>
    <row r="12" spans="1:5" s="97" customFormat="1" x14ac:dyDescent="0.35">
      <c r="A12" s="118">
        <v>5</v>
      </c>
      <c r="B12" s="114" t="s">
        <v>114</v>
      </c>
      <c r="C12" s="109" t="e">
        <f>VLOOKUP(Table25751982[[#This Row],[PEG]],Table1016[#All],2,FALSE)</f>
        <v>#N/A</v>
      </c>
      <c r="D12" s="128"/>
      <c r="E12" s="125" t="e">
        <f>VLOOKUP(Table25751982[[#This Row],[PEG]],Table1016[#All],3,FALSE)</f>
        <v>#N/A</v>
      </c>
    </row>
    <row r="13" spans="1:5" s="97" customFormat="1" x14ac:dyDescent="0.35">
      <c r="A13" s="118">
        <v>6</v>
      </c>
      <c r="B13" s="114" t="s">
        <v>115</v>
      </c>
      <c r="C13" s="109" t="e">
        <f>VLOOKUP(Table25751982[[#This Row],[PEG]],Table1016[#All],2,FALSE)</f>
        <v>#N/A</v>
      </c>
      <c r="D13" s="128"/>
      <c r="E13" s="125" t="e">
        <f>VLOOKUP(Table25751982[[#This Row],[PEG]],Table1016[#All],3,FALSE)</f>
        <v>#N/A</v>
      </c>
    </row>
    <row r="14" spans="1:5" s="97" customFormat="1" x14ac:dyDescent="0.35">
      <c r="A14" s="118">
        <v>7</v>
      </c>
      <c r="B14" s="114" t="s">
        <v>114</v>
      </c>
      <c r="C14" s="109" t="e">
        <f>VLOOKUP(Table25751982[[#This Row],[PEG]],Table1016[#All],2,FALSE)</f>
        <v>#N/A</v>
      </c>
      <c r="D14" s="128"/>
      <c r="E14" s="125" t="e">
        <f>VLOOKUP(Table25751982[[#This Row],[PEG]],Table1016[#All],3,FALSE)</f>
        <v>#N/A</v>
      </c>
    </row>
    <row r="15" spans="1:5" x14ac:dyDescent="0.35">
      <c r="A15" s="118">
        <v>8</v>
      </c>
      <c r="B15" s="114" t="s">
        <v>115</v>
      </c>
      <c r="C15" s="109" t="e">
        <f>VLOOKUP(Table25751982[[#This Row],[PEG]],Table1016[#All],2,FALSE)</f>
        <v>#N/A</v>
      </c>
      <c r="D15" s="116"/>
      <c r="E15" s="125" t="e">
        <f>VLOOKUP(Table25751982[[#This Row],[PEG]],Table1016[#All],3,FALSE)</f>
        <v>#N/A</v>
      </c>
    </row>
    <row r="16" spans="1:5" x14ac:dyDescent="0.35">
      <c r="A16" s="118">
        <v>9</v>
      </c>
      <c r="B16" s="114" t="s">
        <v>12</v>
      </c>
      <c r="C16" s="109" t="e">
        <f>VLOOKUP(Table25751982[[#This Row],[PEG]],Table1016[#All],2,FALSE)</f>
        <v>#N/A</v>
      </c>
      <c r="D16" s="116"/>
      <c r="E16" s="125" t="e">
        <f>VLOOKUP(Table25751982[[#This Row],[PEG]],Table1016[#All],3,FALSE)</f>
        <v>#N/A</v>
      </c>
    </row>
    <row r="17" spans="1:5" x14ac:dyDescent="0.35">
      <c r="A17" s="118">
        <v>10</v>
      </c>
      <c r="B17" s="114" t="s">
        <v>12</v>
      </c>
      <c r="C17" s="109" t="e">
        <f>VLOOKUP(Table25751982[[#This Row],[PEG]],Table1016[#All],2,FALSE)</f>
        <v>#N/A</v>
      </c>
      <c r="D17" s="117"/>
      <c r="E17" s="125" t="e">
        <f>VLOOKUP(Table25751982[[#This Row],[PEG]],Table1016[#All],3,FALSE)</f>
        <v>#N/A</v>
      </c>
    </row>
    <row r="18" spans="1:5" x14ac:dyDescent="0.35">
      <c r="A18" s="118">
        <v>11</v>
      </c>
      <c r="B18" s="114" t="s">
        <v>115</v>
      </c>
      <c r="C18" s="109" t="e">
        <f>VLOOKUP(Table25751982[[#This Row],[PEG]],Table1016[#All],2,FALSE)</f>
        <v>#N/A</v>
      </c>
      <c r="D18" s="117"/>
      <c r="E18" s="125" t="e">
        <f>VLOOKUP(Table25751982[[#This Row],[PEG]],Table1016[#All],3,FALSE)</f>
        <v>#N/A</v>
      </c>
    </row>
    <row r="19" spans="1:5" x14ac:dyDescent="0.35">
      <c r="A19" s="118">
        <v>12</v>
      </c>
      <c r="B19" s="114" t="s">
        <v>115</v>
      </c>
      <c r="C19" s="109" t="e">
        <f>VLOOKUP(Table25751982[[#This Row],[PEG]],Table1016[#All],2,FALSE)</f>
        <v>#N/A</v>
      </c>
      <c r="D19" s="117"/>
      <c r="E19" s="125" t="e">
        <f>VLOOKUP(Table25751982[[#This Row],[PEG]],Table1016[#All],3,FALSE)</f>
        <v>#N/A</v>
      </c>
    </row>
    <row r="20" spans="1:5" x14ac:dyDescent="0.35">
      <c r="A20" s="118">
        <v>13</v>
      </c>
      <c r="B20" s="114" t="s">
        <v>114</v>
      </c>
      <c r="C20" s="109" t="e">
        <f>VLOOKUP(Table25751982[[#This Row],[PEG]],Table1016[#All],2,FALSE)</f>
        <v>#N/A</v>
      </c>
      <c r="D20" s="117"/>
      <c r="E20" s="125" t="e">
        <f>VLOOKUP(Table25751982[[#This Row],[PEG]],Table1016[#All],3,FALSE)</f>
        <v>#N/A</v>
      </c>
    </row>
    <row r="21" spans="1:5" x14ac:dyDescent="0.35">
      <c r="A21" s="118">
        <v>14</v>
      </c>
      <c r="B21" s="114" t="s">
        <v>12</v>
      </c>
      <c r="C21" s="109" t="e">
        <f>VLOOKUP(Table25751982[[#This Row],[PEG]],Table1016[#All],2,FALSE)</f>
        <v>#N/A</v>
      </c>
      <c r="D21" s="117"/>
      <c r="E21" s="125" t="e">
        <f>VLOOKUP(Table25751982[[#This Row],[PEG]],Table1016[#All],3,FALSE)</f>
        <v>#N/A</v>
      </c>
    </row>
    <row r="22" spans="1:5" x14ac:dyDescent="0.35">
      <c r="A22" s="118">
        <v>15</v>
      </c>
      <c r="B22" s="114" t="s">
        <v>12</v>
      </c>
      <c r="C22" s="109" t="e">
        <f>VLOOKUP(Table25751982[[#This Row],[PEG]],Table1016[#All],2,FALSE)</f>
        <v>#N/A</v>
      </c>
      <c r="D22" s="117"/>
      <c r="E22" s="125" t="e">
        <f>VLOOKUP(Table25751982[[#This Row],[PEG]],Table1016[#All],3,FALSE)</f>
        <v>#N/A</v>
      </c>
    </row>
    <row r="23" spans="1:5" x14ac:dyDescent="0.35">
      <c r="A23" s="118">
        <v>16</v>
      </c>
      <c r="B23" s="114" t="s">
        <v>115</v>
      </c>
      <c r="C23" s="109" t="e">
        <f>VLOOKUP(Table25751982[[#This Row],[PEG]],Table1016[#All],2,FALSE)</f>
        <v>#N/A</v>
      </c>
      <c r="D23" s="117"/>
      <c r="E23" s="125" t="e">
        <f>VLOOKUP(Table25751982[[#This Row],[PEG]],Table1016[#All],3,FALSE)</f>
        <v>#N/A</v>
      </c>
    </row>
    <row r="24" spans="1:5" x14ac:dyDescent="0.35">
      <c r="A24" s="118">
        <v>17</v>
      </c>
      <c r="B24" s="114" t="s">
        <v>114</v>
      </c>
      <c r="C24" s="109" t="e">
        <f>VLOOKUP(Table25751982[[#This Row],[PEG]],Table1016[#All],2,FALSE)</f>
        <v>#N/A</v>
      </c>
      <c r="D24" s="117"/>
      <c r="E24" s="125" t="e">
        <f>VLOOKUP(Table25751982[[#This Row],[PEG]],Table1016[#All],3,FALSE)</f>
        <v>#N/A</v>
      </c>
    </row>
    <row r="25" spans="1:5" s="97" customFormat="1" x14ac:dyDescent="0.35">
      <c r="A25" s="118">
        <v>18</v>
      </c>
      <c r="B25" s="114" t="s">
        <v>12</v>
      </c>
      <c r="C25" s="109" t="e">
        <f>VLOOKUP(Table25751982[[#This Row],[PEG]],Table1016[#All],2,FALSE)</f>
        <v>#N/A</v>
      </c>
      <c r="D25" s="117"/>
      <c r="E25" s="125" t="e">
        <f>VLOOKUP(Table25751982[[#This Row],[PEG]],Table1016[#All],3,FALSE)</f>
        <v>#N/A</v>
      </c>
    </row>
    <row r="26" spans="1:5" x14ac:dyDescent="0.35">
      <c r="A26" s="118">
        <v>19</v>
      </c>
      <c r="B26" s="114" t="s">
        <v>12</v>
      </c>
      <c r="C26" s="109" t="e">
        <f>VLOOKUP(Table25751982[[#This Row],[PEG]],Table1016[#All],2,FALSE)</f>
        <v>#N/A</v>
      </c>
      <c r="D26" s="117"/>
      <c r="E26" s="125" t="e">
        <f>VLOOKUP(Table25751982[[#This Row],[PEG]],Table1016[#All],3,FALSE)</f>
        <v>#N/A</v>
      </c>
    </row>
    <row r="27" spans="1:5" x14ac:dyDescent="0.35">
      <c r="A27" s="118">
        <v>20</v>
      </c>
      <c r="B27" s="114" t="s">
        <v>115</v>
      </c>
      <c r="C27" s="109" t="e">
        <f>VLOOKUP(Table25751982[[#This Row],[PEG]],Table1016[#All],2,FALSE)</f>
        <v>#N/A</v>
      </c>
      <c r="D27" s="117"/>
      <c r="E27" s="125" t="e">
        <f>VLOOKUP(Table25751982[[#This Row],[PEG]],Table1016[#All],3,FALSE)</f>
        <v>#N/A</v>
      </c>
    </row>
    <row r="28" spans="1:5" x14ac:dyDescent="0.35">
      <c r="A28" s="118">
        <v>21</v>
      </c>
      <c r="B28" s="114" t="s">
        <v>114</v>
      </c>
      <c r="C28" s="109" t="e">
        <f>VLOOKUP(Table25751982[[#This Row],[PEG]],Table1016[#All],2,FALSE)</f>
        <v>#N/A</v>
      </c>
      <c r="D28" s="117"/>
      <c r="E28" s="125" t="e">
        <f>VLOOKUP(Table25751982[[#This Row],[PEG]],Table1016[#All],3,FALSE)</f>
        <v>#N/A</v>
      </c>
    </row>
    <row r="29" spans="1:5" x14ac:dyDescent="0.35">
      <c r="A29" s="118">
        <v>22</v>
      </c>
      <c r="B29" s="114" t="s">
        <v>12</v>
      </c>
      <c r="C29" s="109" t="e">
        <f>VLOOKUP(Table25751982[[#This Row],[PEG]],Table1016[#All],2,FALSE)</f>
        <v>#N/A</v>
      </c>
      <c r="D29" s="117"/>
      <c r="E29" s="125" t="e">
        <f>VLOOKUP(Table25751982[[#This Row],[PEG]],Table1016[#All],3,FALSE)</f>
        <v>#N/A</v>
      </c>
    </row>
    <row r="30" spans="1:5" x14ac:dyDescent="0.35">
      <c r="A30" s="118">
        <v>23</v>
      </c>
      <c r="B30" s="114" t="s">
        <v>12</v>
      </c>
      <c r="C30" s="109" t="e">
        <f>VLOOKUP(Table25751982[[#This Row],[PEG]],Table1016[#All],2,FALSE)</f>
        <v>#N/A</v>
      </c>
      <c r="D30" s="117"/>
      <c r="E30" s="125" t="e">
        <f>VLOOKUP(Table25751982[[#This Row],[PEG]],Table1016[#All],3,FALSE)</f>
        <v>#N/A</v>
      </c>
    </row>
    <row r="31" spans="1:5" x14ac:dyDescent="0.35">
      <c r="A31" s="118">
        <v>24</v>
      </c>
      <c r="B31" s="114" t="s">
        <v>115</v>
      </c>
      <c r="C31" s="109" t="e">
        <f>VLOOKUP(Table25751982[[#This Row],[PEG]],Table1016[#All],2,FALSE)</f>
        <v>#N/A</v>
      </c>
      <c r="D31" s="117"/>
      <c r="E31" s="125" t="e">
        <f>VLOOKUP(Table25751982[[#This Row],[PEG]],Table1016[#All],3,FALSE)</f>
        <v>#N/A</v>
      </c>
    </row>
    <row r="32" spans="1:5" x14ac:dyDescent="0.35">
      <c r="A32" s="118">
        <v>25</v>
      </c>
      <c r="B32" s="114" t="s">
        <v>115</v>
      </c>
      <c r="C32" s="109" t="e">
        <f>VLOOKUP(Table25751982[[#This Row],[PEG]],Table1016[#All],2,FALSE)</f>
        <v>#N/A</v>
      </c>
      <c r="D32" s="117"/>
      <c r="E32" s="125" t="e">
        <f>VLOOKUP(Table25751982[[#This Row],[PEG]],Table1016[#All],3,FALSE)</f>
        <v>#N/A</v>
      </c>
    </row>
    <row r="33" spans="1:5" x14ac:dyDescent="0.35">
      <c r="A33" s="118">
        <v>26</v>
      </c>
      <c r="B33" s="114" t="s">
        <v>124</v>
      </c>
      <c r="C33" s="109" t="e">
        <f>VLOOKUP(Table25751982[[#This Row],[PEG]],Table1016[#All],2,FALSE)</f>
        <v>#N/A</v>
      </c>
      <c r="D33" s="117"/>
      <c r="E33" s="125" t="e">
        <f>VLOOKUP(Table25751982[[#This Row],[PEG]],Table1016[#All],3,FALSE)</f>
        <v>#N/A</v>
      </c>
    </row>
    <row r="34" spans="1:5" x14ac:dyDescent="0.35">
      <c r="A34" s="118">
        <v>27</v>
      </c>
      <c r="B34" s="114" t="s">
        <v>115</v>
      </c>
      <c r="C34" s="109" t="e">
        <f>VLOOKUP(Table25751982[[#This Row],[PEG]],Table1016[#All],2,FALSE)</f>
        <v>#N/A</v>
      </c>
      <c r="D34" s="117"/>
      <c r="E34" s="125" t="e">
        <f>VLOOKUP(Table25751982[[#This Row],[PEG]],Table1016[#All],3,FALSE)</f>
        <v>#N/A</v>
      </c>
    </row>
    <row r="35" spans="1:5" x14ac:dyDescent="0.35">
      <c r="A35" s="118">
        <v>28</v>
      </c>
      <c r="B35" s="114" t="s">
        <v>124</v>
      </c>
      <c r="C35" s="109" t="e">
        <f>VLOOKUP(Table25751982[[#This Row],[PEG]],Table1016[#All],2,FALSE)</f>
        <v>#N/A</v>
      </c>
      <c r="D35" s="117"/>
      <c r="E35" s="125" t="e">
        <f>VLOOKUP(Table25751982[[#This Row],[PEG]],Table1016[#All],3,FALSE)</f>
        <v>#N/A</v>
      </c>
    </row>
    <row r="36" spans="1:5" x14ac:dyDescent="0.35">
      <c r="A36" s="118">
        <v>29</v>
      </c>
      <c r="B36" s="114" t="s">
        <v>115</v>
      </c>
      <c r="C36" s="109" t="e">
        <f>VLOOKUP(Table25751982[[#This Row],[PEG]],Table1016[#All],2,FALSE)</f>
        <v>#N/A</v>
      </c>
      <c r="D36" s="117"/>
      <c r="E36" s="125" t="e">
        <f>VLOOKUP(Table25751982[[#This Row],[PEG]],Table1016[#All],3,FALSE)</f>
        <v>#N/A</v>
      </c>
    </row>
    <row r="37" spans="1:5" x14ac:dyDescent="0.35">
      <c r="A37" s="118">
        <v>30</v>
      </c>
      <c r="B37" s="114" t="s">
        <v>12</v>
      </c>
      <c r="C37" s="109" t="e">
        <f>VLOOKUP(Table25751982[[#This Row],[PEG]],Table1016[#All],2,FALSE)</f>
        <v>#N/A</v>
      </c>
      <c r="D37" s="117"/>
      <c r="E37" s="125" t="e">
        <f>VLOOKUP(Table25751982[[#This Row],[PEG]],Table1016[#All],3,FALSE)</f>
        <v>#N/A</v>
      </c>
    </row>
    <row r="38" spans="1:5" x14ac:dyDescent="0.35">
      <c r="A38" s="118">
        <v>31</v>
      </c>
      <c r="B38" s="114" t="s">
        <v>12</v>
      </c>
      <c r="C38" s="109" t="e">
        <f>VLOOKUP(Table25751982[[#This Row],[PEG]],Table1016[#All],2,FALSE)</f>
        <v>#N/A</v>
      </c>
      <c r="D38" s="117"/>
      <c r="E38" s="125" t="e">
        <f>VLOOKUP(Table25751982[[#This Row],[PEG]],Table1016[#All],3,FALSE)</f>
        <v>#N/A</v>
      </c>
    </row>
    <row r="39" spans="1:5" x14ac:dyDescent="0.35">
      <c r="A39" s="118">
        <v>32</v>
      </c>
      <c r="B39" s="114" t="s">
        <v>12</v>
      </c>
      <c r="C39" s="109" t="e">
        <f>VLOOKUP(Table25751982[[#This Row],[PEG]],Table1016[#All],2,FALSE)</f>
        <v>#N/A</v>
      </c>
      <c r="D39" s="117"/>
      <c r="E39" s="125" t="e">
        <f>VLOOKUP(Table25751982[[#This Row],[PEG]],Table1016[#All],3,FALSE)</f>
        <v>#N/A</v>
      </c>
    </row>
    <row r="40" spans="1:5" x14ac:dyDescent="0.35">
      <c r="A40" s="118">
        <v>33</v>
      </c>
      <c r="B40" s="114" t="s">
        <v>12</v>
      </c>
      <c r="C40" s="109" t="e">
        <f>VLOOKUP(Table25751982[[#This Row],[PEG]],Table1016[#All],2,FALSE)</f>
        <v>#N/A</v>
      </c>
      <c r="D40" s="117"/>
      <c r="E40" s="125" t="e">
        <f>VLOOKUP(Table25751982[[#This Row],[PEG]],Table1016[#All],3,FALSE)</f>
        <v>#N/A</v>
      </c>
    </row>
    <row r="41" spans="1:5" x14ac:dyDescent="0.35">
      <c r="A41" s="118">
        <v>34</v>
      </c>
      <c r="B41" s="114" t="s">
        <v>115</v>
      </c>
      <c r="C41" s="109" t="e">
        <f>VLOOKUP(Table25751982[[#This Row],[PEG]],Table1016[#All],2,FALSE)</f>
        <v>#N/A</v>
      </c>
      <c r="D41" s="117"/>
      <c r="E41" s="125" t="e">
        <f>VLOOKUP(Table25751982[[#This Row],[PEG]],Table1016[#All],3,FALSE)</f>
        <v>#N/A</v>
      </c>
    </row>
    <row r="42" spans="1:5" x14ac:dyDescent="0.35">
      <c r="A42" s="118">
        <v>35</v>
      </c>
      <c r="B42" s="114" t="s">
        <v>12</v>
      </c>
      <c r="C42" s="109" t="e">
        <f>VLOOKUP(Table25751982[[#This Row],[PEG]],Table1016[#All],2,FALSE)</f>
        <v>#N/A</v>
      </c>
      <c r="D42" s="115"/>
      <c r="E42" s="125" t="e">
        <f>VLOOKUP(Table25751982[[#This Row],[PEG]],Table1016[#All],3,FALSE)</f>
        <v>#N/A</v>
      </c>
    </row>
    <row r="43" spans="1:5" x14ac:dyDescent="0.35">
      <c r="A43" s="118">
        <v>36</v>
      </c>
      <c r="B43" s="114" t="s">
        <v>115</v>
      </c>
      <c r="C43" s="109" t="e">
        <f>VLOOKUP(Table25751982[[#This Row],[PEG]],Table1016[#All],2,FALSE)</f>
        <v>#N/A</v>
      </c>
      <c r="D43" s="115"/>
      <c r="E43" s="125" t="e">
        <f>VLOOKUP(Table25751982[[#This Row],[PEG]],Table1016[#All],3,FALSE)</f>
        <v>#N/A</v>
      </c>
    </row>
    <row r="44" spans="1:5" x14ac:dyDescent="0.35">
      <c r="A44" s="118">
        <v>37</v>
      </c>
      <c r="B44" s="114" t="s">
        <v>13</v>
      </c>
      <c r="C44" s="18" t="s">
        <v>13</v>
      </c>
      <c r="D44" s="115"/>
      <c r="E44" s="32"/>
    </row>
    <row r="45" spans="1:5" x14ac:dyDescent="0.35">
      <c r="C45" s="26"/>
    </row>
    <row r="46" spans="1:5" x14ac:dyDescent="0.35">
      <c r="C46" s="26"/>
    </row>
    <row r="47" spans="1:5" x14ac:dyDescent="0.35">
      <c r="C47" s="26"/>
    </row>
    <row r="48" spans="1:5" x14ac:dyDescent="0.35">
      <c r="C48" s="26"/>
    </row>
    <row r="49" spans="3:3" x14ac:dyDescent="0.35">
      <c r="C49" s="26"/>
    </row>
    <row r="50" spans="3:3" x14ac:dyDescent="0.35">
      <c r="C50" s="26"/>
    </row>
    <row r="51" spans="3:3" x14ac:dyDescent="0.35">
      <c r="C51" s="26"/>
    </row>
    <row r="52" spans="3:3" x14ac:dyDescent="0.35">
      <c r="C52" s="26"/>
    </row>
    <row r="53" spans="3:3" x14ac:dyDescent="0.35">
      <c r="C53" s="26"/>
    </row>
    <row r="54" spans="3:3" x14ac:dyDescent="0.35">
      <c r="C54" s="26"/>
    </row>
    <row r="55" spans="3:3" x14ac:dyDescent="0.35">
      <c r="C55" s="26"/>
    </row>
    <row r="56" spans="3:3" x14ac:dyDescent="0.35">
      <c r="C56" s="27"/>
    </row>
    <row r="57" spans="3:3" x14ac:dyDescent="0.35">
      <c r="C57" s="27"/>
    </row>
    <row r="58" spans="3:3" x14ac:dyDescent="0.35">
      <c r="C58" s="27"/>
    </row>
  </sheetData>
  <mergeCells count="1">
    <mergeCell ref="A1:B1"/>
  </mergeCells>
  <conditionalFormatting sqref="C45:C9997">
    <cfRule type="expression" dxfId="3087" priority="48">
      <formula>$B45="Dial"</formula>
    </cfRule>
    <cfRule type="expression" dxfId="3086" priority="50">
      <formula>$B45="HANGUP"</formula>
    </cfRule>
  </conditionalFormatting>
  <conditionalFormatting sqref="B30">
    <cfRule type="containsText" dxfId="3085" priority="4" operator="containsText" text="Hear">
      <formula>NOT(ISERROR(SEARCH("Hear",B30)))</formula>
    </cfRule>
  </conditionalFormatting>
  <conditionalFormatting sqref="B43:B44">
    <cfRule type="containsText" dxfId="3084" priority="14" operator="containsText" text="Hear">
      <formula>NOT(ISERROR(SEARCH("Hear",B43)))</formula>
    </cfRule>
  </conditionalFormatting>
  <conditionalFormatting sqref="E44">
    <cfRule type="containsText" dxfId="3083" priority="12" operator="containsText" text="WEB SERVICE">
      <formula>NOT(ISERROR(SEARCH("WEB SERVICE",E44)))</formula>
    </cfRule>
    <cfRule type="containsText" dxfId="3082" priority="13" operator="containsText" text="DB">
      <formula>NOT(ISERROR(SEARCH("DB",E44)))</formula>
    </cfRule>
  </conditionalFormatting>
  <conditionalFormatting sqref="C44">
    <cfRule type="expression" dxfId="3081" priority="15">
      <formula>$B44="Dial"</formula>
    </cfRule>
    <cfRule type="expression" dxfId="3080" priority="17">
      <formula>$B44="HANGUP"</formula>
    </cfRule>
  </conditionalFormatting>
  <conditionalFormatting sqref="C44">
    <cfRule type="expression" dxfId="3079" priority="16">
      <formula>$B44="Speak"</formula>
    </cfRule>
  </conditionalFormatting>
  <conditionalFormatting sqref="B8:B18">
    <cfRule type="containsText" dxfId="3078" priority="1" operator="containsText" text="Hear">
      <formula>NOT(ISERROR(SEARCH("Hear",B8)))</formula>
    </cfRule>
  </conditionalFormatting>
  <conditionalFormatting sqref="B36:B38 B40:B41">
    <cfRule type="containsText" dxfId="3077" priority="3" operator="containsText" text="Hear">
      <formula>NOT(ISERROR(SEARCH("Hear",B36)))</formula>
    </cfRule>
  </conditionalFormatting>
  <conditionalFormatting sqref="B19:B29 B31:B35 B42">
    <cfRule type="containsText" dxfId="3076" priority="5" operator="containsText" text="Hear">
      <formula>NOT(ISERROR(SEARCH("Hear",B19)))</formula>
    </cfRule>
  </conditionalFormatting>
  <hyperlinks>
    <hyperlink ref="A1" location="'Test Case Overview'!A1" display="Return to Test Case Overview" xr:uid="{00000000-0004-0000-5D00-000000000000}"/>
  </hyperlinks>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expression" priority="8" id="{17F3C1AD-EC91-49D3-9AF2-AE2DA0E8F5AD}">
            <xm:f>'TC1'!$B8="HANGUP"</xm:f>
            <x14:dxf>
              <font>
                <b/>
                <i val="0"/>
              </font>
            </x14:dxf>
          </x14:cfRule>
          <x14:cfRule type="expression" priority="9" id="{9A140BEA-DE98-4578-8B76-3BC72460A43D}">
            <xm:f>'TC1'!$B8="Dial"</xm:f>
            <x14:dxf>
              <font>
                <b/>
                <i val="0"/>
                <color rgb="FFFF0000"/>
              </font>
            </x14:dxf>
          </x14:cfRule>
          <xm:sqref>C8</xm:sqref>
        </x14:conditionalFormatting>
        <x14:conditionalFormatting xmlns:xm="http://schemas.microsoft.com/office/excel/2006/main">
          <x14:cfRule type="expression" priority="10" id="{8A1CF00A-A594-4551-A98B-495EAE1C9FA5}">
            <xm:f>'TC1'!$B8="Speak"</xm:f>
            <x14:dxf>
              <font>
                <b/>
                <i val="0"/>
                <color rgb="FFFF0000"/>
              </font>
            </x14:dxf>
          </x14:cfRule>
          <xm:sqref>C8</xm:sqref>
        </x14:conditionalFormatting>
        <x14:conditionalFormatting xmlns:xm="http://schemas.microsoft.com/office/excel/2006/main">
          <x14:cfRule type="containsText" priority="2" operator="containsText" text="Hear" id="{4177236F-409F-4418-8379-C5A08C3EE68A}">
            <xm:f>NOT(ISERROR(SEARCH("Hear",'TC3'!B34)))</xm:f>
            <x14:dxf>
              <font>
                <color theme="9" tint="-0.24994659260841701"/>
              </font>
              <fill>
                <patternFill>
                  <bgColor theme="9" tint="0.59996337778862885"/>
                </patternFill>
              </fill>
            </x14:dxf>
          </x14:cfRule>
          <xm:sqref>B41</xm:sqref>
        </x14:conditionalFormatting>
        <x14:conditionalFormatting xmlns:xm="http://schemas.microsoft.com/office/excel/2006/main">
          <x14:cfRule type="expression" priority="2123" id="{17F3C1AD-EC91-49D3-9AF2-AE2DA0E8F5AD}">
            <xm:f>'TC1'!$B16="HANGUP"</xm:f>
            <x14:dxf>
              <font>
                <b/>
                <i val="0"/>
              </font>
            </x14:dxf>
          </x14:cfRule>
          <x14:cfRule type="expression" priority="2124" id="{9A140BEA-DE98-4578-8B76-3BC72460A43D}">
            <xm:f>'TC1'!$B16="Dial"</xm:f>
            <x14:dxf>
              <font>
                <b/>
                <i val="0"/>
                <color rgb="FFFF0000"/>
              </font>
            </x14:dxf>
          </x14:cfRule>
          <xm:sqref>C34:C43</xm:sqref>
        </x14:conditionalFormatting>
        <x14:conditionalFormatting xmlns:xm="http://schemas.microsoft.com/office/excel/2006/main">
          <x14:cfRule type="expression" priority="2125" id="{17F3C1AD-EC91-49D3-9AF2-AE2DA0E8F5AD}">
            <xm:f>'TC1'!#REF!="HANGUP"</xm:f>
            <x14:dxf>
              <font>
                <b/>
                <i val="0"/>
              </font>
            </x14:dxf>
          </x14:cfRule>
          <x14:cfRule type="expression" priority="2126" id="{9A140BEA-DE98-4578-8B76-3BC72460A43D}">
            <xm:f>'TC1'!#REF!="Dial"</xm:f>
            <x14:dxf>
              <font>
                <b/>
                <i val="0"/>
                <color rgb="FFFF0000"/>
              </font>
            </x14:dxf>
          </x14:cfRule>
          <xm:sqref>C17:C33</xm:sqref>
        </x14:conditionalFormatting>
        <x14:conditionalFormatting xmlns:xm="http://schemas.microsoft.com/office/excel/2006/main">
          <x14:cfRule type="expression" priority="2130" id="{8A1CF00A-A594-4551-A98B-495EAE1C9FA5}">
            <xm:f>'TC1'!$B16="Speak"</xm:f>
            <x14:dxf>
              <font>
                <b/>
                <i val="0"/>
                <color rgb="FFFF0000"/>
              </font>
            </x14:dxf>
          </x14:cfRule>
          <xm:sqref>C34:C43</xm:sqref>
        </x14:conditionalFormatting>
        <x14:conditionalFormatting xmlns:xm="http://schemas.microsoft.com/office/excel/2006/main">
          <x14:cfRule type="expression" priority="2131" id="{8A1CF00A-A594-4551-A98B-495EAE1C9FA5}">
            <xm:f>'TC1'!#REF!="Speak"</xm:f>
            <x14:dxf>
              <font>
                <b/>
                <i val="0"/>
                <color rgb="FFFF0000"/>
              </font>
            </x14:dxf>
          </x14:cfRule>
          <xm:sqref>C17:C33</xm:sqref>
        </x14:conditionalFormatting>
        <x14:conditionalFormatting xmlns:xm="http://schemas.microsoft.com/office/excel/2006/main">
          <x14:cfRule type="containsText" priority="2135" operator="containsText" text="DB" id="{827BCB6A-0888-4C3F-B268-43D6E8E96756}">
            <xm:f>NOT(ISERROR(SEARCH("DB",'TC1'!E16)))</xm:f>
            <x14:dxf>
              <font>
                <color rgb="FF006100"/>
              </font>
              <fill>
                <patternFill>
                  <bgColor rgb="FFC6EFCE"/>
                </patternFill>
              </fill>
            </x14:dxf>
          </x14:cfRule>
          <x14:cfRule type="containsText" priority="2136" operator="containsText" text="WEB SERVICE" id="{9A503CE2-304A-4A9D-A7C3-F60CBD5DD18C}">
            <xm:f>NOT(ISERROR(SEARCH("WEB SERVICE",'TC1'!E16)))</xm:f>
            <x14:dxf>
              <font>
                <color rgb="FF9C0006"/>
              </font>
              <fill>
                <patternFill>
                  <bgColor rgb="FFFFC7CE"/>
                </patternFill>
              </fill>
            </x14:dxf>
          </x14:cfRule>
          <xm:sqref>E34:E43</xm:sqref>
        </x14:conditionalFormatting>
        <x14:conditionalFormatting xmlns:xm="http://schemas.microsoft.com/office/excel/2006/main">
          <x14:cfRule type="containsText" priority="2137" operator="containsText" text="DB" id="{827BCB6A-0888-4C3F-B268-43D6E8E96756}">
            <xm:f>NOT(ISERROR(SEARCH("DB",'TC1'!#REF!)))</xm:f>
            <x14:dxf>
              <font>
                <color rgb="FF006100"/>
              </font>
              <fill>
                <patternFill>
                  <bgColor rgb="FFC6EFCE"/>
                </patternFill>
              </fill>
            </x14:dxf>
          </x14:cfRule>
          <x14:cfRule type="containsText" priority="2138" operator="containsText" text="WEB SERVICE" id="{9A503CE2-304A-4A9D-A7C3-F60CBD5DD18C}">
            <xm:f>NOT(ISERROR(SEARCH("WEB SERVICE",'TC1'!#REF!)))</xm:f>
            <x14:dxf>
              <font>
                <color rgb="FF9C0006"/>
              </font>
              <fill>
                <patternFill>
                  <bgColor rgb="FFFFC7CE"/>
                </patternFill>
              </fill>
            </x14:dxf>
          </x14:cfRule>
          <xm:sqref>E17:E33</xm:sqref>
        </x14:conditionalFormatting>
        <x14:conditionalFormatting xmlns:xm="http://schemas.microsoft.com/office/excel/2006/main">
          <x14:cfRule type="expression" priority="4849" id="{17F3C1AD-EC91-49D3-9AF2-AE2DA0E8F5AD}">
            <xm:f>'TC1'!$B9="HANGUP"</xm:f>
            <x14:dxf>
              <font>
                <b/>
                <i val="0"/>
              </font>
            </x14:dxf>
          </x14:cfRule>
          <x14:cfRule type="expression" priority="4850" id="{9A140BEA-DE98-4578-8B76-3BC72460A43D}">
            <xm:f>'TC1'!$B9="Dial"</xm:f>
            <x14:dxf>
              <font>
                <b/>
                <i val="0"/>
                <color rgb="FFFF0000"/>
              </font>
            </x14:dxf>
          </x14:cfRule>
          <xm:sqref>C12:C15</xm:sqref>
        </x14:conditionalFormatting>
        <x14:conditionalFormatting xmlns:xm="http://schemas.microsoft.com/office/excel/2006/main">
          <x14:cfRule type="expression" priority="4851" id="{17F3C1AD-EC91-49D3-9AF2-AE2DA0E8F5AD}">
            <xm:f>'TC1'!#REF!="HANGUP"</xm:f>
            <x14:dxf>
              <font>
                <b/>
                <i val="0"/>
              </font>
            </x14:dxf>
          </x14:cfRule>
          <x14:cfRule type="expression" priority="4852" id="{9A140BEA-DE98-4578-8B76-3BC72460A43D}">
            <xm:f>'TC1'!#REF!="Dial"</xm:f>
            <x14:dxf>
              <font>
                <b/>
                <i val="0"/>
                <color rgb="FFFF0000"/>
              </font>
            </x14:dxf>
          </x14:cfRule>
          <xm:sqref>C9:C11</xm:sqref>
        </x14:conditionalFormatting>
        <x14:conditionalFormatting xmlns:xm="http://schemas.microsoft.com/office/excel/2006/main">
          <x14:cfRule type="expression" priority="4856" id="{8A1CF00A-A594-4551-A98B-495EAE1C9FA5}">
            <xm:f>'TC1'!$B9="Speak"</xm:f>
            <x14:dxf>
              <font>
                <b/>
                <i val="0"/>
                <color rgb="FFFF0000"/>
              </font>
            </x14:dxf>
          </x14:cfRule>
          <xm:sqref>C12:C15</xm:sqref>
        </x14:conditionalFormatting>
        <x14:conditionalFormatting xmlns:xm="http://schemas.microsoft.com/office/excel/2006/main">
          <x14:cfRule type="expression" priority="4857" id="{8A1CF00A-A594-4551-A98B-495EAE1C9FA5}">
            <xm:f>'TC1'!#REF!="Speak"</xm:f>
            <x14:dxf>
              <font>
                <b/>
                <i val="0"/>
                <color rgb="FFFF0000"/>
              </font>
            </x14:dxf>
          </x14:cfRule>
          <xm:sqref>C9:C11</xm:sqref>
        </x14:conditionalFormatting>
        <x14:conditionalFormatting xmlns:xm="http://schemas.microsoft.com/office/excel/2006/main">
          <x14:cfRule type="containsText" priority="4859" operator="containsText" text="DB" id="{827BCB6A-0888-4C3F-B268-43D6E8E96756}">
            <xm:f>NOT(ISERROR(SEARCH("DB",'TC1'!#REF!)))</xm:f>
            <x14:dxf>
              <font>
                <color rgb="FF006100"/>
              </font>
              <fill>
                <patternFill>
                  <bgColor rgb="FFC6EFCE"/>
                </patternFill>
              </fill>
            </x14:dxf>
          </x14:cfRule>
          <x14:cfRule type="containsText" priority="4860" operator="containsText" text="WEB SERVICE" id="{9A503CE2-304A-4A9D-A7C3-F60CBD5DD18C}">
            <xm:f>NOT(ISERROR(SEARCH("WEB SERVICE",'TC1'!#REF!)))</xm:f>
            <x14:dxf>
              <font>
                <color rgb="FF9C0006"/>
              </font>
              <fill>
                <patternFill>
                  <bgColor rgb="FFFFC7CE"/>
                </patternFill>
              </fill>
            </x14:dxf>
          </x14:cfRule>
          <xm:sqref>E9:E11</xm:sqref>
        </x14:conditionalFormatting>
        <x14:conditionalFormatting xmlns:xm="http://schemas.microsoft.com/office/excel/2006/main">
          <x14:cfRule type="containsText" priority="4861" operator="containsText" text="DB" id="{827BCB6A-0888-4C3F-B268-43D6E8E96756}">
            <xm:f>NOT(ISERROR(SEARCH("DB",'TC1'!E9)))</xm:f>
            <x14:dxf>
              <font>
                <color rgb="FF006100"/>
              </font>
              <fill>
                <patternFill>
                  <bgColor rgb="FFC6EFCE"/>
                </patternFill>
              </fill>
            </x14:dxf>
          </x14:cfRule>
          <x14:cfRule type="containsText" priority="4862" operator="containsText" text="WEB SERVICE" id="{9A503CE2-304A-4A9D-A7C3-F60CBD5DD18C}">
            <xm:f>NOT(ISERROR(SEARCH("WEB SERVICE",'TC1'!E9)))</xm:f>
            <x14:dxf>
              <font>
                <color rgb="FF9C0006"/>
              </font>
              <fill>
                <patternFill>
                  <bgColor rgb="FFFFC7CE"/>
                </patternFill>
              </fill>
            </x14:dxf>
          </x14:cfRule>
          <xm:sqref>E12:E15</xm:sqref>
        </x14:conditionalFormatting>
        <x14:conditionalFormatting xmlns:xm="http://schemas.microsoft.com/office/excel/2006/main">
          <x14:cfRule type="expression" priority="7220" id="{17F3C1AD-EC91-49D3-9AF2-AE2DA0E8F5AD}">
            <xm:f>'TC1'!$B15="HANGUP"</xm:f>
            <x14:dxf>
              <font>
                <b/>
                <i val="0"/>
              </font>
            </x14:dxf>
          </x14:cfRule>
          <x14:cfRule type="expression" priority="7221" id="{9A140BEA-DE98-4578-8B76-3BC72460A43D}">
            <xm:f>'TC1'!$B15="Dial"</xm:f>
            <x14:dxf>
              <font>
                <b/>
                <i val="0"/>
                <color rgb="FFFF0000"/>
              </font>
            </x14:dxf>
          </x14:cfRule>
          <xm:sqref>C16</xm:sqref>
        </x14:conditionalFormatting>
        <x14:conditionalFormatting xmlns:xm="http://schemas.microsoft.com/office/excel/2006/main">
          <x14:cfRule type="expression" priority="7223" id="{8A1CF00A-A594-4551-A98B-495EAE1C9FA5}">
            <xm:f>'TC1'!$B15="Speak"</xm:f>
            <x14:dxf>
              <font>
                <b/>
                <i val="0"/>
                <color rgb="FFFF0000"/>
              </font>
            </x14:dxf>
          </x14:cfRule>
          <xm:sqref>C16</xm:sqref>
        </x14:conditionalFormatting>
        <x14:conditionalFormatting xmlns:xm="http://schemas.microsoft.com/office/excel/2006/main">
          <x14:cfRule type="containsText" priority="7226" operator="containsText" text="DB" id="{827BCB6A-0888-4C3F-B268-43D6E8E96756}">
            <xm:f>NOT(ISERROR(SEARCH("DB",'TC1'!E15)))</xm:f>
            <x14:dxf>
              <font>
                <color rgb="FF006100"/>
              </font>
              <fill>
                <patternFill>
                  <bgColor rgb="FFC6EFCE"/>
                </patternFill>
              </fill>
            </x14:dxf>
          </x14:cfRule>
          <x14:cfRule type="containsText" priority="7227" operator="containsText" text="WEB SERVICE" id="{9A503CE2-304A-4A9D-A7C3-F60CBD5DD18C}">
            <xm:f>NOT(ISERROR(SEARCH("WEB SERVICE",'TC1'!E15)))</xm:f>
            <x14:dxf>
              <font>
                <color rgb="FF9C0006"/>
              </font>
              <fill>
                <patternFill>
                  <bgColor rgb="FFFFC7CE"/>
                </patternFill>
              </fill>
            </x14:dxf>
          </x14:cfRule>
          <xm:sqref>E16</xm:sqref>
        </x14:conditionalFormatting>
        <x14:conditionalFormatting xmlns:xm="http://schemas.microsoft.com/office/excel/2006/main">
          <x14:cfRule type="containsText" priority="9694" operator="containsText" text="Hear" id="{5322C535-253C-4E73-B290-4D0165CB0753}">
            <xm:f>NOT(ISERROR(SEARCH("Hear",'TC26'!#REF!)))</xm:f>
            <x14:dxf>
              <font>
                <color theme="9" tint="-0.24994659260841701"/>
              </font>
              <fill>
                <patternFill>
                  <bgColor theme="9" tint="0.59996337778862885"/>
                </patternFill>
              </fill>
            </x14:dxf>
          </x14:cfRule>
          <xm:sqref>B39</xm:sqref>
        </x14:conditionalFormatting>
      </x14:conditionalFormattings>
    </ext>
  </extLst>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E00-000000000000}">
  <sheetPr codeName="Sheet96"/>
  <dimension ref="A1:E47"/>
  <sheetViews>
    <sheetView zoomScaleNormal="100" workbookViewId="0">
      <selection activeCell="A2" sqref="A2"/>
    </sheetView>
  </sheetViews>
  <sheetFormatPr defaultRowHeight="14.5" x14ac:dyDescent="0.35"/>
  <cols>
    <col min="1" max="1" width="14.453125" style="97" bestFit="1" customWidth="1"/>
    <col min="2" max="2" width="42.6328125" style="97" customWidth="1"/>
    <col min="3" max="3" width="106.1796875" style="98" customWidth="1"/>
    <col min="4" max="4" width="21.81640625" style="111" bestFit="1" customWidth="1"/>
    <col min="5" max="5" width="20.6328125" style="97" customWidth="1"/>
  </cols>
  <sheetData>
    <row r="1" spans="1:5" ht="18.5" x14ac:dyDescent="0.35">
      <c r="A1" s="192" t="s">
        <v>4</v>
      </c>
      <c r="B1" s="192"/>
      <c r="C1" s="105"/>
    </row>
    <row r="2" spans="1:5" x14ac:dyDescent="0.35">
      <c r="A2" s="106" t="s">
        <v>5</v>
      </c>
      <c r="B2" s="107" t="str">
        <f ca="1">MID(CELL("filename",A1),FIND("]",CELL("filename",A1))+1,LEN(CELL("filename",A1))-FIND("]",CELL("filename",A1)))</f>
        <v>TC94</v>
      </c>
    </row>
    <row r="3" spans="1:5" x14ac:dyDescent="0.35">
      <c r="A3" s="104" t="s">
        <v>19</v>
      </c>
      <c r="B3" s="112">
        <f ca="1">VLOOKUP(B2,Table53[#All],2,FALSE)</f>
        <v>0</v>
      </c>
    </row>
    <row r="4" spans="1:5" ht="29" x14ac:dyDescent="0.35">
      <c r="A4" s="113" t="s">
        <v>20</v>
      </c>
      <c r="B4" s="99">
        <f ca="1">VLOOKUP(B2,Table53[#All],4,FALSE)</f>
        <v>0</v>
      </c>
    </row>
    <row r="5" spans="1:5" x14ac:dyDescent="0.35">
      <c r="A5" s="104" t="s">
        <v>6</v>
      </c>
      <c r="B5" s="77">
        <f ca="1">VLOOKUP(B2,Table53[#All],3,FALSE)</f>
        <v>0</v>
      </c>
    </row>
    <row r="7" spans="1:5" ht="15.5" x14ac:dyDescent="0.35">
      <c r="A7" s="100" t="s">
        <v>7</v>
      </c>
      <c r="B7" s="101" t="s">
        <v>8</v>
      </c>
      <c r="C7" s="102" t="s">
        <v>9</v>
      </c>
      <c r="D7" s="102" t="s">
        <v>14</v>
      </c>
      <c r="E7" s="103" t="s">
        <v>10</v>
      </c>
    </row>
    <row r="8" spans="1:5" x14ac:dyDescent="0.35">
      <c r="A8" s="118">
        <v>1</v>
      </c>
      <c r="B8" s="114" t="s">
        <v>114</v>
      </c>
      <c r="C8" s="109" t="s">
        <v>125</v>
      </c>
      <c r="D8" s="128"/>
      <c r="E8" s="125" t="s">
        <v>11</v>
      </c>
    </row>
    <row r="9" spans="1:5" s="97" customFormat="1" x14ac:dyDescent="0.35">
      <c r="A9" s="118">
        <v>2</v>
      </c>
      <c r="B9" s="114" t="s">
        <v>12</v>
      </c>
      <c r="C9" s="109" t="e">
        <f>VLOOKUP(Table25751984[[#This Row],[PEG]],Table1016[#All],2,FALSE)</f>
        <v>#N/A</v>
      </c>
      <c r="D9" s="128"/>
      <c r="E9" s="125" t="e">
        <f>VLOOKUP(Table25751984[[#This Row],[PEG]],Table1016[#All],3,FALSE)</f>
        <v>#N/A</v>
      </c>
    </row>
    <row r="10" spans="1:5" s="97" customFormat="1" x14ac:dyDescent="0.35">
      <c r="A10" s="118">
        <v>3</v>
      </c>
      <c r="B10" s="114" t="s">
        <v>115</v>
      </c>
      <c r="C10" s="109" t="e">
        <f>VLOOKUP(Table25751984[[#This Row],[PEG]],Table1016[#All],2,FALSE)</f>
        <v>#N/A</v>
      </c>
      <c r="D10" s="128"/>
      <c r="E10" s="125" t="e">
        <f>VLOOKUP(Table25751984[[#This Row],[PEG]],Table1016[#All],3,FALSE)</f>
        <v>#N/A</v>
      </c>
    </row>
    <row r="11" spans="1:5" s="97" customFormat="1" x14ac:dyDescent="0.35">
      <c r="A11" s="118">
        <v>4</v>
      </c>
      <c r="B11" s="114" t="s">
        <v>115</v>
      </c>
      <c r="C11" s="109" t="e">
        <f>VLOOKUP(Table25751984[[#This Row],[PEG]],Table1016[#All],2,FALSE)</f>
        <v>#N/A</v>
      </c>
      <c r="D11" s="128"/>
      <c r="E11" s="125" t="e">
        <f>VLOOKUP(Table25751984[[#This Row],[PEG]],Table1016[#All],3,FALSE)</f>
        <v>#N/A</v>
      </c>
    </row>
    <row r="12" spans="1:5" s="97" customFormat="1" x14ac:dyDescent="0.35">
      <c r="A12" s="118">
        <v>5</v>
      </c>
      <c r="B12" s="114" t="s">
        <v>114</v>
      </c>
      <c r="C12" s="109" t="e">
        <f>VLOOKUP(Table25751984[[#This Row],[PEG]],Table1016[#All],2,FALSE)</f>
        <v>#N/A</v>
      </c>
      <c r="D12" s="128"/>
      <c r="E12" s="125" t="e">
        <f>VLOOKUP(Table25751984[[#This Row],[PEG]],Table1016[#All],3,FALSE)</f>
        <v>#N/A</v>
      </c>
    </row>
    <row r="13" spans="1:5" s="97" customFormat="1" x14ac:dyDescent="0.35">
      <c r="A13" s="118">
        <v>6</v>
      </c>
      <c r="B13" s="114" t="s">
        <v>115</v>
      </c>
      <c r="C13" s="109" t="e">
        <f>VLOOKUP(Table25751984[[#This Row],[PEG]],Table1016[#All],2,FALSE)</f>
        <v>#N/A</v>
      </c>
      <c r="D13" s="128"/>
      <c r="E13" s="125" t="e">
        <f>VLOOKUP(Table25751984[[#This Row],[PEG]],Table1016[#All],3,FALSE)</f>
        <v>#N/A</v>
      </c>
    </row>
    <row r="14" spans="1:5" s="97" customFormat="1" x14ac:dyDescent="0.35">
      <c r="A14" s="118">
        <v>7</v>
      </c>
      <c r="B14" s="114" t="s">
        <v>114</v>
      </c>
      <c r="C14" s="109" t="e">
        <f>VLOOKUP(Table25751984[[#This Row],[PEG]],Table1016[#All],2,FALSE)</f>
        <v>#N/A</v>
      </c>
      <c r="D14" s="128"/>
      <c r="E14" s="125" t="e">
        <f>VLOOKUP(Table25751984[[#This Row],[PEG]],Table1016[#All],3,FALSE)</f>
        <v>#N/A</v>
      </c>
    </row>
    <row r="15" spans="1:5" x14ac:dyDescent="0.35">
      <c r="A15" s="118">
        <v>8</v>
      </c>
      <c r="B15" s="114" t="s">
        <v>115</v>
      </c>
      <c r="C15" s="109" t="e">
        <f>VLOOKUP(Table25751984[[#This Row],[PEG]],Table1016[#All],2,FALSE)</f>
        <v>#N/A</v>
      </c>
      <c r="D15" s="116"/>
      <c r="E15" s="125" t="e">
        <f>VLOOKUP(Table25751984[[#This Row],[PEG]],Table1016[#All],3,FALSE)</f>
        <v>#N/A</v>
      </c>
    </row>
    <row r="16" spans="1:5" x14ac:dyDescent="0.35">
      <c r="A16" s="118">
        <v>9</v>
      </c>
      <c r="B16" s="114" t="s">
        <v>12</v>
      </c>
      <c r="C16" s="109" t="e">
        <f>VLOOKUP(Table25751984[[#This Row],[PEG]],Table1016[#All],2,FALSE)</f>
        <v>#N/A</v>
      </c>
      <c r="D16" s="116"/>
      <c r="E16" s="125" t="e">
        <f>VLOOKUP(Table25751984[[#This Row],[PEG]],Table1016[#All],3,FALSE)</f>
        <v>#N/A</v>
      </c>
    </row>
    <row r="17" spans="1:5" x14ac:dyDescent="0.35">
      <c r="A17" s="118">
        <v>10</v>
      </c>
      <c r="B17" s="114" t="s">
        <v>12</v>
      </c>
      <c r="C17" s="109" t="e">
        <f>VLOOKUP(Table25751984[[#This Row],[PEG]],Table1016[#All],2,FALSE)</f>
        <v>#N/A</v>
      </c>
      <c r="D17" s="117"/>
      <c r="E17" s="125" t="e">
        <f>VLOOKUP(Table25751984[[#This Row],[PEG]],Table1016[#All],3,FALSE)</f>
        <v>#N/A</v>
      </c>
    </row>
    <row r="18" spans="1:5" x14ac:dyDescent="0.35">
      <c r="A18" s="118">
        <v>11</v>
      </c>
      <c r="B18" s="114" t="s">
        <v>115</v>
      </c>
      <c r="C18" s="109" t="e">
        <f>VLOOKUP(Table25751984[[#This Row],[PEG]],Table1016[#All],2,FALSE)</f>
        <v>#N/A</v>
      </c>
      <c r="D18" s="117"/>
      <c r="E18" s="125" t="e">
        <f>VLOOKUP(Table25751984[[#This Row],[PEG]],Table1016[#All],3,FALSE)</f>
        <v>#N/A</v>
      </c>
    </row>
    <row r="19" spans="1:5" x14ac:dyDescent="0.35">
      <c r="A19" s="118">
        <v>12</v>
      </c>
      <c r="B19" s="114" t="s">
        <v>115</v>
      </c>
      <c r="C19" s="109" t="e">
        <f>VLOOKUP(Table25751984[[#This Row],[PEG]],Table1016[#All],2,FALSE)</f>
        <v>#N/A</v>
      </c>
      <c r="D19" s="117"/>
      <c r="E19" s="125" t="e">
        <f>VLOOKUP(Table25751984[[#This Row],[PEG]],Table1016[#All],3,FALSE)</f>
        <v>#N/A</v>
      </c>
    </row>
    <row r="20" spans="1:5" x14ac:dyDescent="0.35">
      <c r="A20" s="118">
        <v>13</v>
      </c>
      <c r="B20" s="114" t="s">
        <v>114</v>
      </c>
      <c r="C20" s="109" t="e">
        <f>VLOOKUP(Table25751984[[#This Row],[PEG]],Table1016[#All],2,FALSE)</f>
        <v>#N/A</v>
      </c>
      <c r="D20" s="117"/>
      <c r="E20" s="125" t="e">
        <f>VLOOKUP(Table25751984[[#This Row],[PEG]],Table1016[#All],3,FALSE)</f>
        <v>#N/A</v>
      </c>
    </row>
    <row r="21" spans="1:5" x14ac:dyDescent="0.35">
      <c r="A21" s="118">
        <v>14</v>
      </c>
      <c r="B21" s="114" t="s">
        <v>12</v>
      </c>
      <c r="C21" s="109" t="e">
        <f>VLOOKUP(Table25751984[[#This Row],[PEG]],Table1016[#All],2,FALSE)</f>
        <v>#N/A</v>
      </c>
      <c r="D21" s="117"/>
      <c r="E21" s="125" t="e">
        <f>VLOOKUP(Table25751984[[#This Row],[PEG]],Table1016[#All],3,FALSE)</f>
        <v>#N/A</v>
      </c>
    </row>
    <row r="22" spans="1:5" x14ac:dyDescent="0.35">
      <c r="A22" s="118">
        <v>15</v>
      </c>
      <c r="B22" s="114" t="s">
        <v>12</v>
      </c>
      <c r="C22" s="109" t="e">
        <f>VLOOKUP(Table25751984[[#This Row],[PEG]],Table1016[#All],2,FALSE)</f>
        <v>#N/A</v>
      </c>
      <c r="D22" s="117"/>
      <c r="E22" s="125" t="e">
        <f>VLOOKUP(Table25751984[[#This Row],[PEG]],Table1016[#All],3,FALSE)</f>
        <v>#N/A</v>
      </c>
    </row>
    <row r="23" spans="1:5" x14ac:dyDescent="0.35">
      <c r="A23" s="118">
        <v>16</v>
      </c>
      <c r="B23" s="114" t="s">
        <v>115</v>
      </c>
      <c r="C23" s="109" t="e">
        <f>VLOOKUP(Table25751984[[#This Row],[PEG]],Table1016[#All],2,FALSE)</f>
        <v>#N/A</v>
      </c>
      <c r="D23" s="117"/>
      <c r="E23" s="125" t="e">
        <f>VLOOKUP(Table25751984[[#This Row],[PEG]],Table1016[#All],3,FALSE)</f>
        <v>#N/A</v>
      </c>
    </row>
    <row r="24" spans="1:5" x14ac:dyDescent="0.35">
      <c r="A24" s="118">
        <v>17</v>
      </c>
      <c r="B24" s="114" t="s">
        <v>114</v>
      </c>
      <c r="C24" s="109" t="e">
        <f>VLOOKUP(Table25751984[[#This Row],[PEG]],Table1016[#All],2,FALSE)</f>
        <v>#N/A</v>
      </c>
      <c r="D24" s="117"/>
      <c r="E24" s="125" t="e">
        <f>VLOOKUP(Table25751984[[#This Row],[PEG]],Table1016[#All],3,FALSE)</f>
        <v>#N/A</v>
      </c>
    </row>
    <row r="25" spans="1:5" s="97" customFormat="1" x14ac:dyDescent="0.35">
      <c r="A25" s="118">
        <v>18</v>
      </c>
      <c r="B25" s="114" t="s">
        <v>12</v>
      </c>
      <c r="C25" s="109" t="e">
        <f>VLOOKUP(Table25751984[[#This Row],[PEG]],Table1016[#All],2,FALSE)</f>
        <v>#N/A</v>
      </c>
      <c r="D25" s="117"/>
      <c r="E25" s="125" t="e">
        <f>VLOOKUP(Table25751984[[#This Row],[PEG]],Table1016[#All],3,FALSE)</f>
        <v>#N/A</v>
      </c>
    </row>
    <row r="26" spans="1:5" x14ac:dyDescent="0.35">
      <c r="A26" s="118">
        <v>19</v>
      </c>
      <c r="B26" s="114" t="s">
        <v>12</v>
      </c>
      <c r="C26" s="109" t="e">
        <f>VLOOKUP(Table25751984[[#This Row],[PEG]],Table1016[#All],2,FALSE)</f>
        <v>#N/A</v>
      </c>
      <c r="D26" s="117"/>
      <c r="E26" s="125" t="e">
        <f>VLOOKUP(Table25751984[[#This Row],[PEG]],Table1016[#All],3,FALSE)</f>
        <v>#N/A</v>
      </c>
    </row>
    <row r="27" spans="1:5" x14ac:dyDescent="0.35">
      <c r="A27" s="118">
        <v>20</v>
      </c>
      <c r="B27" s="114" t="s">
        <v>115</v>
      </c>
      <c r="C27" s="109" t="e">
        <f>VLOOKUP(Table25751984[[#This Row],[PEG]],Table1016[#All],2,FALSE)</f>
        <v>#N/A</v>
      </c>
      <c r="D27" s="117"/>
      <c r="E27" s="125" t="e">
        <f>VLOOKUP(Table25751984[[#This Row],[PEG]],Table1016[#All],3,FALSE)</f>
        <v>#N/A</v>
      </c>
    </row>
    <row r="28" spans="1:5" x14ac:dyDescent="0.35">
      <c r="A28" s="118">
        <v>21</v>
      </c>
      <c r="B28" s="114" t="s">
        <v>114</v>
      </c>
      <c r="C28" s="109" t="e">
        <f>VLOOKUP(Table25751984[[#This Row],[PEG]],Table1016[#All],2,FALSE)</f>
        <v>#N/A</v>
      </c>
      <c r="D28" s="117"/>
      <c r="E28" s="125" t="e">
        <f>VLOOKUP(Table25751984[[#This Row],[PEG]],Table1016[#All],3,FALSE)</f>
        <v>#N/A</v>
      </c>
    </row>
    <row r="29" spans="1:5" x14ac:dyDescent="0.35">
      <c r="A29" s="118">
        <v>22</v>
      </c>
      <c r="B29" s="114" t="s">
        <v>12</v>
      </c>
      <c r="C29" s="109" t="e">
        <f>VLOOKUP(Table25751984[[#This Row],[PEG]],Table1016[#All],2,FALSE)</f>
        <v>#N/A</v>
      </c>
      <c r="D29" s="117"/>
      <c r="E29" s="125" t="e">
        <f>VLOOKUP(Table25751984[[#This Row],[PEG]],Table1016[#All],3,FALSE)</f>
        <v>#N/A</v>
      </c>
    </row>
    <row r="30" spans="1:5" x14ac:dyDescent="0.35">
      <c r="A30" s="118">
        <v>23</v>
      </c>
      <c r="B30" s="114" t="s">
        <v>12</v>
      </c>
      <c r="C30" s="109" t="e">
        <f>VLOOKUP(Table25751984[[#This Row],[PEG]],Table1016[#All],2,FALSE)</f>
        <v>#N/A</v>
      </c>
      <c r="D30" s="117"/>
      <c r="E30" s="125" t="e">
        <f>VLOOKUP(Table25751984[[#This Row],[PEG]],Table1016[#All],3,FALSE)</f>
        <v>#N/A</v>
      </c>
    </row>
    <row r="31" spans="1:5" x14ac:dyDescent="0.35">
      <c r="A31" s="118">
        <v>24</v>
      </c>
      <c r="B31" s="114" t="s">
        <v>115</v>
      </c>
      <c r="C31" s="109" t="e">
        <f>VLOOKUP(Table25751984[[#This Row],[PEG]],Table1016[#All],2,FALSE)</f>
        <v>#N/A</v>
      </c>
      <c r="D31" s="117"/>
      <c r="E31" s="125" t="e">
        <f>VLOOKUP(Table25751984[[#This Row],[PEG]],Table1016[#All],3,FALSE)</f>
        <v>#N/A</v>
      </c>
    </row>
    <row r="32" spans="1:5" x14ac:dyDescent="0.35">
      <c r="A32" s="118">
        <v>25</v>
      </c>
      <c r="B32" s="114" t="s">
        <v>115</v>
      </c>
      <c r="C32" s="109" t="e">
        <f>VLOOKUP(Table25751984[[#This Row],[PEG]],Table1016[#All],2,FALSE)</f>
        <v>#N/A</v>
      </c>
      <c r="D32" s="117"/>
      <c r="E32" s="125" t="e">
        <f>VLOOKUP(Table25751984[[#This Row],[PEG]],Table1016[#All],3,FALSE)</f>
        <v>#N/A</v>
      </c>
    </row>
    <row r="33" spans="1:5" x14ac:dyDescent="0.35">
      <c r="A33" s="118">
        <v>26</v>
      </c>
      <c r="B33" s="114" t="s">
        <v>124</v>
      </c>
      <c r="C33" s="109" t="e">
        <f>VLOOKUP(Table25751984[[#This Row],[PEG]],Table1016[#All],2,FALSE)</f>
        <v>#N/A</v>
      </c>
      <c r="D33" s="117"/>
      <c r="E33" s="125" t="e">
        <f>VLOOKUP(Table25751984[[#This Row],[PEG]],Table1016[#All],3,FALSE)</f>
        <v>#N/A</v>
      </c>
    </row>
    <row r="34" spans="1:5" x14ac:dyDescent="0.35">
      <c r="A34" s="118">
        <v>27</v>
      </c>
      <c r="B34" s="114" t="s">
        <v>115</v>
      </c>
      <c r="C34" s="109" t="e">
        <f>VLOOKUP(Table25751984[[#This Row],[PEG]],Table1016[#All],2,FALSE)</f>
        <v>#N/A</v>
      </c>
      <c r="D34" s="117"/>
      <c r="E34" s="125" t="e">
        <f>VLOOKUP(Table25751984[[#This Row],[PEG]],Table1016[#All],3,FALSE)</f>
        <v>#N/A</v>
      </c>
    </row>
    <row r="35" spans="1:5" x14ac:dyDescent="0.35">
      <c r="A35" s="118">
        <v>28</v>
      </c>
      <c r="B35" s="114" t="s">
        <v>124</v>
      </c>
      <c r="C35" s="109" t="e">
        <f>VLOOKUP(Table25751984[[#This Row],[PEG]],Table1016[#All],2,FALSE)</f>
        <v>#N/A</v>
      </c>
      <c r="D35" s="117"/>
      <c r="E35" s="125" t="e">
        <f>VLOOKUP(Table25751984[[#This Row],[PEG]],Table1016[#All],3,FALSE)</f>
        <v>#N/A</v>
      </c>
    </row>
    <row r="36" spans="1:5" x14ac:dyDescent="0.35">
      <c r="A36" s="118">
        <v>29</v>
      </c>
      <c r="B36" s="114" t="s">
        <v>115</v>
      </c>
      <c r="C36" s="109" t="e">
        <f>VLOOKUP(Table25751984[[#This Row],[PEG]],Table1016[#All],2,FALSE)</f>
        <v>#N/A</v>
      </c>
      <c r="D36" s="117"/>
      <c r="E36" s="125" t="e">
        <f>VLOOKUP(Table25751984[[#This Row],[PEG]],Table1016[#All],3,FALSE)</f>
        <v>#N/A</v>
      </c>
    </row>
    <row r="37" spans="1:5" x14ac:dyDescent="0.35">
      <c r="A37" s="118">
        <v>30</v>
      </c>
      <c r="B37" s="114" t="s">
        <v>12</v>
      </c>
      <c r="C37" s="109" t="e">
        <f>VLOOKUP(Table25751984[[#This Row],[PEG]],Table1016[#All],2,FALSE)</f>
        <v>#N/A</v>
      </c>
      <c r="D37" s="117"/>
      <c r="E37" s="125" t="e">
        <f>VLOOKUP(Table25751984[[#This Row],[PEG]],Table1016[#All],3,FALSE)</f>
        <v>#N/A</v>
      </c>
    </row>
    <row r="38" spans="1:5" x14ac:dyDescent="0.35">
      <c r="A38" s="118">
        <v>31</v>
      </c>
      <c r="B38" s="114" t="s">
        <v>12</v>
      </c>
      <c r="C38" s="109" t="e">
        <f>VLOOKUP(Table25751984[[#This Row],[PEG]],Table1016[#All],2,FALSE)</f>
        <v>#N/A</v>
      </c>
      <c r="D38" s="117"/>
      <c r="E38" s="125" t="e">
        <f>VLOOKUP(Table25751984[[#This Row],[PEG]],Table1016[#All],3,FALSE)</f>
        <v>#N/A</v>
      </c>
    </row>
    <row r="39" spans="1:5" x14ac:dyDescent="0.35">
      <c r="A39" s="118">
        <v>32</v>
      </c>
      <c r="B39" s="114" t="s">
        <v>12</v>
      </c>
      <c r="C39" s="109" t="e">
        <f>VLOOKUP(Table25751984[[#This Row],[PEG]],Table1016[#All],2,FALSE)</f>
        <v>#N/A</v>
      </c>
      <c r="D39" s="117"/>
      <c r="E39" s="125" t="e">
        <f>VLOOKUP(Table25751984[[#This Row],[PEG]],Table1016[#All],3,FALSE)</f>
        <v>#N/A</v>
      </c>
    </row>
    <row r="40" spans="1:5" x14ac:dyDescent="0.35">
      <c r="A40" s="118">
        <v>33</v>
      </c>
      <c r="B40" s="114" t="s">
        <v>12</v>
      </c>
      <c r="C40" s="109" t="e">
        <f>VLOOKUP(Table25751984[[#This Row],[PEG]],Table1016[#All],2,FALSE)</f>
        <v>#N/A</v>
      </c>
      <c r="D40" s="117"/>
      <c r="E40" s="125" t="e">
        <f>VLOOKUP(Table25751984[[#This Row],[PEG]],Table1016[#All],3,FALSE)</f>
        <v>#N/A</v>
      </c>
    </row>
    <row r="41" spans="1:5" x14ac:dyDescent="0.35">
      <c r="A41" s="118">
        <v>34</v>
      </c>
      <c r="B41" s="114" t="s">
        <v>115</v>
      </c>
      <c r="C41" s="109" t="e">
        <f>VLOOKUP(Table25751984[[#This Row],[PEG]],Table1016[#All],2,FALSE)</f>
        <v>#N/A</v>
      </c>
      <c r="D41" s="117"/>
      <c r="E41" s="125" t="e">
        <f>VLOOKUP(Table25751984[[#This Row],[PEG]],Table1016[#All],3,FALSE)</f>
        <v>#N/A</v>
      </c>
    </row>
    <row r="42" spans="1:5" x14ac:dyDescent="0.35">
      <c r="A42" s="118">
        <v>35</v>
      </c>
      <c r="B42" s="114" t="s">
        <v>12</v>
      </c>
      <c r="C42" s="109" t="e">
        <f>VLOOKUP(Table25751984[[#This Row],[PEG]],Table1016[#All],2,FALSE)</f>
        <v>#N/A</v>
      </c>
      <c r="D42" s="115"/>
      <c r="E42" s="125" t="e">
        <f>VLOOKUP(Table25751984[[#This Row],[PEG]],Table1016[#All],3,FALSE)</f>
        <v>#N/A</v>
      </c>
    </row>
    <row r="43" spans="1:5" x14ac:dyDescent="0.35">
      <c r="A43" s="118">
        <v>36</v>
      </c>
      <c r="B43" s="114" t="s">
        <v>115</v>
      </c>
      <c r="C43" s="109" t="e">
        <f>VLOOKUP(Table25751984[[#This Row],[PEG]],Table1016[#All],2,FALSE)</f>
        <v>#N/A</v>
      </c>
      <c r="D43" s="115"/>
      <c r="E43" s="125" t="e">
        <f>VLOOKUP(Table25751984[[#This Row],[PEG]],Table1016[#All],3,FALSE)</f>
        <v>#N/A</v>
      </c>
    </row>
    <row r="44" spans="1:5" x14ac:dyDescent="0.35">
      <c r="A44" s="118">
        <v>37</v>
      </c>
      <c r="B44" s="114" t="s">
        <v>13</v>
      </c>
      <c r="C44" s="18" t="s">
        <v>13</v>
      </c>
      <c r="D44" s="115"/>
      <c r="E44" s="32"/>
    </row>
    <row r="45" spans="1:5" x14ac:dyDescent="0.35">
      <c r="C45" s="27"/>
    </row>
    <row r="46" spans="1:5" x14ac:dyDescent="0.35">
      <c r="C46" s="27"/>
    </row>
    <row r="47" spans="1:5" x14ac:dyDescent="0.35">
      <c r="C47" s="27"/>
    </row>
  </sheetData>
  <mergeCells count="1">
    <mergeCell ref="A1:B1"/>
  </mergeCells>
  <conditionalFormatting sqref="C45:C9986">
    <cfRule type="expression" dxfId="3045" priority="52">
      <formula>$B45="Dial"</formula>
    </cfRule>
    <cfRule type="expression" dxfId="3044" priority="54">
      <formula>$B45="HANGUP"</formula>
    </cfRule>
  </conditionalFormatting>
  <conditionalFormatting sqref="B30">
    <cfRule type="containsText" dxfId="3043" priority="4" operator="containsText" text="Hear">
      <formula>NOT(ISERROR(SEARCH("Hear",B30)))</formula>
    </cfRule>
  </conditionalFormatting>
  <conditionalFormatting sqref="B43:B44">
    <cfRule type="containsText" dxfId="3042" priority="14" operator="containsText" text="Hear">
      <formula>NOT(ISERROR(SEARCH("Hear",B43)))</formula>
    </cfRule>
  </conditionalFormatting>
  <conditionalFormatting sqref="E44">
    <cfRule type="containsText" dxfId="3041" priority="12" operator="containsText" text="WEB SERVICE">
      <formula>NOT(ISERROR(SEARCH("WEB SERVICE",E44)))</formula>
    </cfRule>
    <cfRule type="containsText" dxfId="3040" priority="13" operator="containsText" text="DB">
      <formula>NOT(ISERROR(SEARCH("DB",E44)))</formula>
    </cfRule>
  </conditionalFormatting>
  <conditionalFormatting sqref="C44">
    <cfRule type="expression" dxfId="3039" priority="15">
      <formula>$B44="Dial"</formula>
    </cfRule>
    <cfRule type="expression" dxfId="3038" priority="17">
      <formula>$B44="HANGUP"</formula>
    </cfRule>
  </conditionalFormatting>
  <conditionalFormatting sqref="C44">
    <cfRule type="expression" dxfId="3037" priority="16">
      <formula>$B44="Speak"</formula>
    </cfRule>
  </conditionalFormatting>
  <conditionalFormatting sqref="B8:B18">
    <cfRule type="containsText" dxfId="3036" priority="1" operator="containsText" text="Hear">
      <formula>NOT(ISERROR(SEARCH("Hear",B8)))</formula>
    </cfRule>
  </conditionalFormatting>
  <conditionalFormatting sqref="B36:B38 B40:B41">
    <cfRule type="containsText" dxfId="3035" priority="3" operator="containsText" text="Hear">
      <formula>NOT(ISERROR(SEARCH("Hear",B36)))</formula>
    </cfRule>
  </conditionalFormatting>
  <conditionalFormatting sqref="B19:B29 B31:B35 B42">
    <cfRule type="containsText" dxfId="3034" priority="5" operator="containsText" text="Hear">
      <formula>NOT(ISERROR(SEARCH("Hear",B19)))</formula>
    </cfRule>
  </conditionalFormatting>
  <hyperlinks>
    <hyperlink ref="A1" location="'Test Case Overview'!A1" display="Return to Test Case Overview" xr:uid="{00000000-0004-0000-5E00-000000000000}"/>
  </hyperlinks>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expression" priority="8" id="{E7442D4C-13C9-469D-88B2-9A9C02081D14}">
            <xm:f>'TC1'!$B8="HANGUP"</xm:f>
            <x14:dxf>
              <font>
                <b/>
                <i val="0"/>
              </font>
            </x14:dxf>
          </x14:cfRule>
          <x14:cfRule type="expression" priority="9" id="{82746E02-D635-4DF7-BD3C-DDF3F9C002F5}">
            <xm:f>'TC1'!$B8="Dial"</xm:f>
            <x14:dxf>
              <font>
                <b/>
                <i val="0"/>
                <color rgb="FFFF0000"/>
              </font>
            </x14:dxf>
          </x14:cfRule>
          <xm:sqref>C8</xm:sqref>
        </x14:conditionalFormatting>
        <x14:conditionalFormatting xmlns:xm="http://schemas.microsoft.com/office/excel/2006/main">
          <x14:cfRule type="expression" priority="10" id="{40929436-96B7-4F1F-9492-B602CC1326AD}">
            <xm:f>'TC1'!$B8="Speak"</xm:f>
            <x14:dxf>
              <font>
                <b/>
                <i val="0"/>
                <color rgb="FFFF0000"/>
              </font>
            </x14:dxf>
          </x14:cfRule>
          <xm:sqref>C8</xm:sqref>
        </x14:conditionalFormatting>
        <x14:conditionalFormatting xmlns:xm="http://schemas.microsoft.com/office/excel/2006/main">
          <x14:cfRule type="containsText" priority="2" operator="containsText" text="Hear" id="{918F11B7-82EA-47C2-BB90-2E4828905443}">
            <xm:f>NOT(ISERROR(SEARCH("Hear",'TC3'!B34)))</xm:f>
            <x14:dxf>
              <font>
                <color theme="9" tint="-0.24994659260841701"/>
              </font>
              <fill>
                <patternFill>
                  <bgColor theme="9" tint="0.59996337778862885"/>
                </patternFill>
              </fill>
            </x14:dxf>
          </x14:cfRule>
          <xm:sqref>B41</xm:sqref>
        </x14:conditionalFormatting>
        <x14:conditionalFormatting xmlns:xm="http://schemas.microsoft.com/office/excel/2006/main">
          <x14:cfRule type="expression" priority="2143" id="{E7442D4C-13C9-469D-88B2-9A9C02081D14}">
            <xm:f>'TC1'!$B16="HANGUP"</xm:f>
            <x14:dxf>
              <font>
                <b/>
                <i val="0"/>
              </font>
            </x14:dxf>
          </x14:cfRule>
          <x14:cfRule type="expression" priority="2144" id="{82746E02-D635-4DF7-BD3C-DDF3F9C002F5}">
            <xm:f>'TC1'!$B16="Dial"</xm:f>
            <x14:dxf>
              <font>
                <b/>
                <i val="0"/>
                <color rgb="FFFF0000"/>
              </font>
            </x14:dxf>
          </x14:cfRule>
          <xm:sqref>C34:C43</xm:sqref>
        </x14:conditionalFormatting>
        <x14:conditionalFormatting xmlns:xm="http://schemas.microsoft.com/office/excel/2006/main">
          <x14:cfRule type="expression" priority="2145" id="{E7442D4C-13C9-469D-88B2-9A9C02081D14}">
            <xm:f>'TC1'!#REF!="HANGUP"</xm:f>
            <x14:dxf>
              <font>
                <b/>
                <i val="0"/>
              </font>
            </x14:dxf>
          </x14:cfRule>
          <x14:cfRule type="expression" priority="2146" id="{82746E02-D635-4DF7-BD3C-DDF3F9C002F5}">
            <xm:f>'TC1'!#REF!="Dial"</xm:f>
            <x14:dxf>
              <font>
                <b/>
                <i val="0"/>
                <color rgb="FFFF0000"/>
              </font>
            </x14:dxf>
          </x14:cfRule>
          <xm:sqref>C17:C33</xm:sqref>
        </x14:conditionalFormatting>
        <x14:conditionalFormatting xmlns:xm="http://schemas.microsoft.com/office/excel/2006/main">
          <x14:cfRule type="expression" priority="2150" id="{40929436-96B7-4F1F-9492-B602CC1326AD}">
            <xm:f>'TC1'!$B16="Speak"</xm:f>
            <x14:dxf>
              <font>
                <b/>
                <i val="0"/>
                <color rgb="FFFF0000"/>
              </font>
            </x14:dxf>
          </x14:cfRule>
          <xm:sqref>C34:C43</xm:sqref>
        </x14:conditionalFormatting>
        <x14:conditionalFormatting xmlns:xm="http://schemas.microsoft.com/office/excel/2006/main">
          <x14:cfRule type="expression" priority="2151" id="{40929436-96B7-4F1F-9492-B602CC1326AD}">
            <xm:f>'TC1'!#REF!="Speak"</xm:f>
            <x14:dxf>
              <font>
                <b/>
                <i val="0"/>
                <color rgb="FFFF0000"/>
              </font>
            </x14:dxf>
          </x14:cfRule>
          <xm:sqref>C17:C33</xm:sqref>
        </x14:conditionalFormatting>
        <x14:conditionalFormatting xmlns:xm="http://schemas.microsoft.com/office/excel/2006/main">
          <x14:cfRule type="containsText" priority="2155" operator="containsText" text="DB" id="{810858FB-2445-4B32-86BB-FB3961A1CDF2}">
            <xm:f>NOT(ISERROR(SEARCH("DB",'TC1'!E16)))</xm:f>
            <x14:dxf>
              <font>
                <color rgb="FF006100"/>
              </font>
              <fill>
                <patternFill>
                  <bgColor rgb="FFC6EFCE"/>
                </patternFill>
              </fill>
            </x14:dxf>
          </x14:cfRule>
          <x14:cfRule type="containsText" priority="2156" operator="containsText" text="WEB SERVICE" id="{07BB3DCC-0D43-45AA-8ECC-8566DFCC874A}">
            <xm:f>NOT(ISERROR(SEARCH("WEB SERVICE",'TC1'!E16)))</xm:f>
            <x14:dxf>
              <font>
                <color rgb="FF9C0006"/>
              </font>
              <fill>
                <patternFill>
                  <bgColor rgb="FFFFC7CE"/>
                </patternFill>
              </fill>
            </x14:dxf>
          </x14:cfRule>
          <xm:sqref>E34:E43</xm:sqref>
        </x14:conditionalFormatting>
        <x14:conditionalFormatting xmlns:xm="http://schemas.microsoft.com/office/excel/2006/main">
          <x14:cfRule type="containsText" priority="2157" operator="containsText" text="DB" id="{810858FB-2445-4B32-86BB-FB3961A1CDF2}">
            <xm:f>NOT(ISERROR(SEARCH("DB",'TC1'!#REF!)))</xm:f>
            <x14:dxf>
              <font>
                <color rgb="FF006100"/>
              </font>
              <fill>
                <patternFill>
                  <bgColor rgb="FFC6EFCE"/>
                </patternFill>
              </fill>
            </x14:dxf>
          </x14:cfRule>
          <x14:cfRule type="containsText" priority="2158" operator="containsText" text="WEB SERVICE" id="{07BB3DCC-0D43-45AA-8ECC-8566DFCC874A}">
            <xm:f>NOT(ISERROR(SEARCH("WEB SERVICE",'TC1'!#REF!)))</xm:f>
            <x14:dxf>
              <font>
                <color rgb="FF9C0006"/>
              </font>
              <fill>
                <patternFill>
                  <bgColor rgb="FFFFC7CE"/>
                </patternFill>
              </fill>
            </x14:dxf>
          </x14:cfRule>
          <xm:sqref>E17:E33</xm:sqref>
        </x14:conditionalFormatting>
        <x14:conditionalFormatting xmlns:xm="http://schemas.microsoft.com/office/excel/2006/main">
          <x14:cfRule type="expression" priority="4867" id="{E7442D4C-13C9-469D-88B2-9A9C02081D14}">
            <xm:f>'TC1'!$B9="HANGUP"</xm:f>
            <x14:dxf>
              <font>
                <b/>
                <i val="0"/>
              </font>
            </x14:dxf>
          </x14:cfRule>
          <x14:cfRule type="expression" priority="4868" id="{82746E02-D635-4DF7-BD3C-DDF3F9C002F5}">
            <xm:f>'TC1'!$B9="Dial"</xm:f>
            <x14:dxf>
              <font>
                <b/>
                <i val="0"/>
                <color rgb="FFFF0000"/>
              </font>
            </x14:dxf>
          </x14:cfRule>
          <xm:sqref>C12:C15</xm:sqref>
        </x14:conditionalFormatting>
        <x14:conditionalFormatting xmlns:xm="http://schemas.microsoft.com/office/excel/2006/main">
          <x14:cfRule type="expression" priority="4869" id="{E7442D4C-13C9-469D-88B2-9A9C02081D14}">
            <xm:f>'TC1'!#REF!="HANGUP"</xm:f>
            <x14:dxf>
              <font>
                <b/>
                <i val="0"/>
              </font>
            </x14:dxf>
          </x14:cfRule>
          <x14:cfRule type="expression" priority="4870" id="{82746E02-D635-4DF7-BD3C-DDF3F9C002F5}">
            <xm:f>'TC1'!#REF!="Dial"</xm:f>
            <x14:dxf>
              <font>
                <b/>
                <i val="0"/>
                <color rgb="FFFF0000"/>
              </font>
            </x14:dxf>
          </x14:cfRule>
          <xm:sqref>C9:C11</xm:sqref>
        </x14:conditionalFormatting>
        <x14:conditionalFormatting xmlns:xm="http://schemas.microsoft.com/office/excel/2006/main">
          <x14:cfRule type="expression" priority="4874" id="{40929436-96B7-4F1F-9492-B602CC1326AD}">
            <xm:f>'TC1'!$B9="Speak"</xm:f>
            <x14:dxf>
              <font>
                <b/>
                <i val="0"/>
                <color rgb="FFFF0000"/>
              </font>
            </x14:dxf>
          </x14:cfRule>
          <xm:sqref>C12:C15</xm:sqref>
        </x14:conditionalFormatting>
        <x14:conditionalFormatting xmlns:xm="http://schemas.microsoft.com/office/excel/2006/main">
          <x14:cfRule type="expression" priority="4875" id="{40929436-96B7-4F1F-9492-B602CC1326AD}">
            <xm:f>'TC1'!#REF!="Speak"</xm:f>
            <x14:dxf>
              <font>
                <b/>
                <i val="0"/>
                <color rgb="FFFF0000"/>
              </font>
            </x14:dxf>
          </x14:cfRule>
          <xm:sqref>C9:C11</xm:sqref>
        </x14:conditionalFormatting>
        <x14:conditionalFormatting xmlns:xm="http://schemas.microsoft.com/office/excel/2006/main">
          <x14:cfRule type="containsText" priority="4877" operator="containsText" text="DB" id="{810858FB-2445-4B32-86BB-FB3961A1CDF2}">
            <xm:f>NOT(ISERROR(SEARCH("DB",'TC1'!#REF!)))</xm:f>
            <x14:dxf>
              <font>
                <color rgb="FF006100"/>
              </font>
              <fill>
                <patternFill>
                  <bgColor rgb="FFC6EFCE"/>
                </patternFill>
              </fill>
            </x14:dxf>
          </x14:cfRule>
          <x14:cfRule type="containsText" priority="4878" operator="containsText" text="WEB SERVICE" id="{07BB3DCC-0D43-45AA-8ECC-8566DFCC874A}">
            <xm:f>NOT(ISERROR(SEARCH("WEB SERVICE",'TC1'!#REF!)))</xm:f>
            <x14:dxf>
              <font>
                <color rgb="FF9C0006"/>
              </font>
              <fill>
                <patternFill>
                  <bgColor rgb="FFFFC7CE"/>
                </patternFill>
              </fill>
            </x14:dxf>
          </x14:cfRule>
          <xm:sqref>E9:E11</xm:sqref>
        </x14:conditionalFormatting>
        <x14:conditionalFormatting xmlns:xm="http://schemas.microsoft.com/office/excel/2006/main">
          <x14:cfRule type="containsText" priority="4879" operator="containsText" text="DB" id="{810858FB-2445-4B32-86BB-FB3961A1CDF2}">
            <xm:f>NOT(ISERROR(SEARCH("DB",'TC1'!E9)))</xm:f>
            <x14:dxf>
              <font>
                <color rgb="FF006100"/>
              </font>
              <fill>
                <patternFill>
                  <bgColor rgb="FFC6EFCE"/>
                </patternFill>
              </fill>
            </x14:dxf>
          </x14:cfRule>
          <x14:cfRule type="containsText" priority="4880" operator="containsText" text="WEB SERVICE" id="{07BB3DCC-0D43-45AA-8ECC-8566DFCC874A}">
            <xm:f>NOT(ISERROR(SEARCH("WEB SERVICE",'TC1'!E9)))</xm:f>
            <x14:dxf>
              <font>
                <color rgb="FF9C0006"/>
              </font>
              <fill>
                <patternFill>
                  <bgColor rgb="FFFFC7CE"/>
                </patternFill>
              </fill>
            </x14:dxf>
          </x14:cfRule>
          <xm:sqref>E12:E15</xm:sqref>
        </x14:conditionalFormatting>
        <x14:conditionalFormatting xmlns:xm="http://schemas.microsoft.com/office/excel/2006/main">
          <x14:cfRule type="expression" priority="7235" id="{E7442D4C-13C9-469D-88B2-9A9C02081D14}">
            <xm:f>'TC1'!$B15="HANGUP"</xm:f>
            <x14:dxf>
              <font>
                <b/>
                <i val="0"/>
              </font>
            </x14:dxf>
          </x14:cfRule>
          <x14:cfRule type="expression" priority="7236" id="{82746E02-D635-4DF7-BD3C-DDF3F9C002F5}">
            <xm:f>'TC1'!$B15="Dial"</xm:f>
            <x14:dxf>
              <font>
                <b/>
                <i val="0"/>
                <color rgb="FFFF0000"/>
              </font>
            </x14:dxf>
          </x14:cfRule>
          <xm:sqref>C16</xm:sqref>
        </x14:conditionalFormatting>
        <x14:conditionalFormatting xmlns:xm="http://schemas.microsoft.com/office/excel/2006/main">
          <x14:cfRule type="expression" priority="7238" id="{40929436-96B7-4F1F-9492-B602CC1326AD}">
            <xm:f>'TC1'!$B15="Speak"</xm:f>
            <x14:dxf>
              <font>
                <b/>
                <i val="0"/>
                <color rgb="FFFF0000"/>
              </font>
            </x14:dxf>
          </x14:cfRule>
          <xm:sqref>C16</xm:sqref>
        </x14:conditionalFormatting>
        <x14:conditionalFormatting xmlns:xm="http://schemas.microsoft.com/office/excel/2006/main">
          <x14:cfRule type="containsText" priority="7241" operator="containsText" text="DB" id="{810858FB-2445-4B32-86BB-FB3961A1CDF2}">
            <xm:f>NOT(ISERROR(SEARCH("DB",'TC1'!E15)))</xm:f>
            <x14:dxf>
              <font>
                <color rgb="FF006100"/>
              </font>
              <fill>
                <patternFill>
                  <bgColor rgb="FFC6EFCE"/>
                </patternFill>
              </fill>
            </x14:dxf>
          </x14:cfRule>
          <x14:cfRule type="containsText" priority="7242" operator="containsText" text="WEB SERVICE" id="{07BB3DCC-0D43-45AA-8ECC-8566DFCC874A}">
            <xm:f>NOT(ISERROR(SEARCH("WEB SERVICE",'TC1'!E15)))</xm:f>
            <x14:dxf>
              <font>
                <color rgb="FF9C0006"/>
              </font>
              <fill>
                <patternFill>
                  <bgColor rgb="FFFFC7CE"/>
                </patternFill>
              </fill>
            </x14:dxf>
          </x14:cfRule>
          <xm:sqref>E16</xm:sqref>
        </x14:conditionalFormatting>
        <x14:conditionalFormatting xmlns:xm="http://schemas.microsoft.com/office/excel/2006/main">
          <x14:cfRule type="containsText" priority="9714" operator="containsText" text="Hear" id="{E2DDF17C-9BBB-44B8-99F5-CF11EEAEF97F}">
            <xm:f>NOT(ISERROR(SEARCH("Hear",'TC26'!#REF!)))</xm:f>
            <x14:dxf>
              <font>
                <color theme="9" tint="-0.24994659260841701"/>
              </font>
              <fill>
                <patternFill>
                  <bgColor theme="9" tint="0.59996337778862885"/>
                </patternFill>
              </fill>
            </x14:dxf>
          </x14:cfRule>
          <xm:sqref>B39</xm:sqref>
        </x14:conditionalFormatting>
      </x14:conditionalFormattings>
    </ext>
  </extLst>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F00-000000000000}">
  <sheetPr codeName="Sheet97"/>
  <dimension ref="A1:E62"/>
  <sheetViews>
    <sheetView zoomScaleNormal="100" workbookViewId="0">
      <selection activeCell="A2" sqref="A2"/>
    </sheetView>
  </sheetViews>
  <sheetFormatPr defaultRowHeight="14.5" x14ac:dyDescent="0.35"/>
  <cols>
    <col min="1" max="1" width="14.453125" style="97" bestFit="1" customWidth="1"/>
    <col min="2" max="2" width="42.6328125" style="97" customWidth="1"/>
    <col min="3" max="3" width="106.1796875" style="98" customWidth="1"/>
    <col min="4" max="4" width="21.81640625" style="111" bestFit="1" customWidth="1"/>
    <col min="5" max="5" width="20.6328125" style="97" customWidth="1"/>
  </cols>
  <sheetData>
    <row r="1" spans="1:5" ht="18.5" x14ac:dyDescent="0.35">
      <c r="A1" s="192" t="s">
        <v>4</v>
      </c>
      <c r="B1" s="192"/>
      <c r="C1" s="105"/>
    </row>
    <row r="2" spans="1:5" x14ac:dyDescent="0.35">
      <c r="A2" s="106" t="s">
        <v>5</v>
      </c>
      <c r="B2" s="107" t="str">
        <f ca="1">MID(CELL("filename",A1),FIND("]",CELL("filename",A1))+1,LEN(CELL("filename",A1))-FIND("]",CELL("filename",A1)))</f>
        <v>TC95</v>
      </c>
    </row>
    <row r="3" spans="1:5" x14ac:dyDescent="0.35">
      <c r="A3" s="104" t="s">
        <v>19</v>
      </c>
      <c r="B3" s="112">
        <f ca="1">VLOOKUP(B2,Table53[#All],2,FALSE)</f>
        <v>0</v>
      </c>
    </row>
    <row r="4" spans="1:5" ht="29" x14ac:dyDescent="0.35">
      <c r="A4" s="113" t="s">
        <v>20</v>
      </c>
      <c r="B4" s="99">
        <f ca="1">VLOOKUP(B2,Table53[#All],4,FALSE)</f>
        <v>0</v>
      </c>
    </row>
    <row r="5" spans="1:5" x14ac:dyDescent="0.35">
      <c r="A5" s="104" t="s">
        <v>6</v>
      </c>
      <c r="B5" s="77">
        <f ca="1">VLOOKUP(B2,Table53[#All],3,FALSE)</f>
        <v>0</v>
      </c>
    </row>
    <row r="7" spans="1:5" ht="15.5" x14ac:dyDescent="0.35">
      <c r="A7" s="100" t="s">
        <v>7</v>
      </c>
      <c r="B7" s="101" t="s">
        <v>8</v>
      </c>
      <c r="C7" s="102" t="s">
        <v>9</v>
      </c>
      <c r="D7" s="102" t="s">
        <v>14</v>
      </c>
      <c r="E7" s="103" t="s">
        <v>10</v>
      </c>
    </row>
    <row r="8" spans="1:5" x14ac:dyDescent="0.35">
      <c r="A8" s="118">
        <v>1</v>
      </c>
      <c r="B8" s="114" t="s">
        <v>114</v>
      </c>
      <c r="C8" s="109" t="s">
        <v>125</v>
      </c>
      <c r="D8" s="128"/>
      <c r="E8" s="125" t="s">
        <v>11</v>
      </c>
    </row>
    <row r="9" spans="1:5" s="97" customFormat="1" x14ac:dyDescent="0.35">
      <c r="A9" s="118">
        <v>2</v>
      </c>
      <c r="B9" s="114" t="s">
        <v>12</v>
      </c>
      <c r="C9" s="109" t="e">
        <f>VLOOKUP(Table25751985[[#This Row],[PEG]],Table1016[#All],2,FALSE)</f>
        <v>#N/A</v>
      </c>
      <c r="D9" s="128"/>
      <c r="E9" s="125" t="e">
        <f>VLOOKUP(Table25751985[[#This Row],[PEG]],Table1016[#All],3,FALSE)</f>
        <v>#N/A</v>
      </c>
    </row>
    <row r="10" spans="1:5" s="97" customFormat="1" x14ac:dyDescent="0.35">
      <c r="A10" s="118">
        <v>3</v>
      </c>
      <c r="B10" s="114" t="s">
        <v>115</v>
      </c>
      <c r="C10" s="109" t="e">
        <f>VLOOKUP(Table25751985[[#This Row],[PEG]],Table1016[#All],2,FALSE)</f>
        <v>#N/A</v>
      </c>
      <c r="D10" s="128"/>
      <c r="E10" s="125" t="e">
        <f>VLOOKUP(Table25751985[[#This Row],[PEG]],Table1016[#All],3,FALSE)</f>
        <v>#N/A</v>
      </c>
    </row>
    <row r="11" spans="1:5" s="97" customFormat="1" x14ac:dyDescent="0.35">
      <c r="A11" s="118">
        <v>4</v>
      </c>
      <c r="B11" s="114" t="s">
        <v>115</v>
      </c>
      <c r="C11" s="109" t="e">
        <f>VLOOKUP(Table25751985[[#This Row],[PEG]],Table1016[#All],2,FALSE)</f>
        <v>#N/A</v>
      </c>
      <c r="D11" s="128"/>
      <c r="E11" s="125" t="e">
        <f>VLOOKUP(Table25751985[[#This Row],[PEG]],Table1016[#All],3,FALSE)</f>
        <v>#N/A</v>
      </c>
    </row>
    <row r="12" spans="1:5" s="97" customFormat="1" x14ac:dyDescent="0.35">
      <c r="A12" s="118">
        <v>5</v>
      </c>
      <c r="B12" s="114" t="s">
        <v>114</v>
      </c>
      <c r="C12" s="109" t="e">
        <f>VLOOKUP(Table25751985[[#This Row],[PEG]],Table1016[#All],2,FALSE)</f>
        <v>#N/A</v>
      </c>
      <c r="D12" s="128"/>
      <c r="E12" s="125" t="e">
        <f>VLOOKUP(Table25751985[[#This Row],[PEG]],Table1016[#All],3,FALSE)</f>
        <v>#N/A</v>
      </c>
    </row>
    <row r="13" spans="1:5" s="97" customFormat="1" x14ac:dyDescent="0.35">
      <c r="A13" s="118">
        <v>6</v>
      </c>
      <c r="B13" s="114" t="s">
        <v>115</v>
      </c>
      <c r="C13" s="109" t="e">
        <f>VLOOKUP(Table25751985[[#This Row],[PEG]],Table1016[#All],2,FALSE)</f>
        <v>#N/A</v>
      </c>
      <c r="D13" s="128"/>
      <c r="E13" s="125" t="e">
        <f>VLOOKUP(Table25751985[[#This Row],[PEG]],Table1016[#All],3,FALSE)</f>
        <v>#N/A</v>
      </c>
    </row>
    <row r="14" spans="1:5" s="97" customFormat="1" x14ac:dyDescent="0.35">
      <c r="A14" s="118">
        <v>7</v>
      </c>
      <c r="B14" s="114" t="s">
        <v>114</v>
      </c>
      <c r="C14" s="109" t="e">
        <f>VLOOKUP(Table25751985[[#This Row],[PEG]],Table1016[#All],2,FALSE)</f>
        <v>#N/A</v>
      </c>
      <c r="D14" s="128"/>
      <c r="E14" s="125" t="e">
        <f>VLOOKUP(Table25751985[[#This Row],[PEG]],Table1016[#All],3,FALSE)</f>
        <v>#N/A</v>
      </c>
    </row>
    <row r="15" spans="1:5" x14ac:dyDescent="0.35">
      <c r="A15" s="118">
        <v>8</v>
      </c>
      <c r="B15" s="114" t="s">
        <v>115</v>
      </c>
      <c r="C15" s="109" t="e">
        <f>VLOOKUP(Table25751985[[#This Row],[PEG]],Table1016[#All],2,FALSE)</f>
        <v>#N/A</v>
      </c>
      <c r="D15" s="116"/>
      <c r="E15" s="125" t="e">
        <f>VLOOKUP(Table25751985[[#This Row],[PEG]],Table1016[#All],3,FALSE)</f>
        <v>#N/A</v>
      </c>
    </row>
    <row r="16" spans="1:5" x14ac:dyDescent="0.35">
      <c r="A16" s="118">
        <v>9</v>
      </c>
      <c r="B16" s="114" t="s">
        <v>12</v>
      </c>
      <c r="C16" s="109" t="e">
        <f>VLOOKUP(Table25751985[[#This Row],[PEG]],Table1016[#All],2,FALSE)</f>
        <v>#N/A</v>
      </c>
      <c r="D16" s="116"/>
      <c r="E16" s="125" t="e">
        <f>VLOOKUP(Table25751985[[#This Row],[PEG]],Table1016[#All],3,FALSE)</f>
        <v>#N/A</v>
      </c>
    </row>
    <row r="17" spans="1:5" x14ac:dyDescent="0.35">
      <c r="A17" s="118">
        <v>10</v>
      </c>
      <c r="B17" s="114" t="s">
        <v>12</v>
      </c>
      <c r="C17" s="109" t="e">
        <f>VLOOKUP(Table25751985[[#This Row],[PEG]],Table1016[#All],2,FALSE)</f>
        <v>#N/A</v>
      </c>
      <c r="D17" s="117"/>
      <c r="E17" s="125" t="e">
        <f>VLOOKUP(Table25751985[[#This Row],[PEG]],Table1016[#All],3,FALSE)</f>
        <v>#N/A</v>
      </c>
    </row>
    <row r="18" spans="1:5" x14ac:dyDescent="0.35">
      <c r="A18" s="118">
        <v>11</v>
      </c>
      <c r="B18" s="114" t="s">
        <v>115</v>
      </c>
      <c r="C18" s="109" t="e">
        <f>VLOOKUP(Table25751985[[#This Row],[PEG]],Table1016[#All],2,FALSE)</f>
        <v>#N/A</v>
      </c>
      <c r="D18" s="117"/>
      <c r="E18" s="125" t="e">
        <f>VLOOKUP(Table25751985[[#This Row],[PEG]],Table1016[#All],3,FALSE)</f>
        <v>#N/A</v>
      </c>
    </row>
    <row r="19" spans="1:5" x14ac:dyDescent="0.35">
      <c r="A19" s="118">
        <v>12</v>
      </c>
      <c r="B19" s="114" t="s">
        <v>115</v>
      </c>
      <c r="C19" s="109" t="e">
        <f>VLOOKUP(Table25751985[[#This Row],[PEG]],Table1016[#All],2,FALSE)</f>
        <v>#N/A</v>
      </c>
      <c r="D19" s="117"/>
      <c r="E19" s="125" t="e">
        <f>VLOOKUP(Table25751985[[#This Row],[PEG]],Table1016[#All],3,FALSE)</f>
        <v>#N/A</v>
      </c>
    </row>
    <row r="20" spans="1:5" x14ac:dyDescent="0.35">
      <c r="A20" s="118">
        <v>13</v>
      </c>
      <c r="B20" s="114" t="s">
        <v>114</v>
      </c>
      <c r="C20" s="109" t="e">
        <f>VLOOKUP(Table25751985[[#This Row],[PEG]],Table1016[#All],2,FALSE)</f>
        <v>#N/A</v>
      </c>
      <c r="D20" s="117"/>
      <c r="E20" s="125" t="e">
        <f>VLOOKUP(Table25751985[[#This Row],[PEG]],Table1016[#All],3,FALSE)</f>
        <v>#N/A</v>
      </c>
    </row>
    <row r="21" spans="1:5" x14ac:dyDescent="0.35">
      <c r="A21" s="118">
        <v>14</v>
      </c>
      <c r="B21" s="114" t="s">
        <v>12</v>
      </c>
      <c r="C21" s="109" t="e">
        <f>VLOOKUP(Table25751985[[#This Row],[PEG]],Table1016[#All],2,FALSE)</f>
        <v>#N/A</v>
      </c>
      <c r="D21" s="117"/>
      <c r="E21" s="125" t="e">
        <f>VLOOKUP(Table25751985[[#This Row],[PEG]],Table1016[#All],3,FALSE)</f>
        <v>#N/A</v>
      </c>
    </row>
    <row r="22" spans="1:5" x14ac:dyDescent="0.35">
      <c r="A22" s="118">
        <v>15</v>
      </c>
      <c r="B22" s="114" t="s">
        <v>12</v>
      </c>
      <c r="C22" s="109" t="e">
        <f>VLOOKUP(Table25751985[[#This Row],[PEG]],Table1016[#All],2,FALSE)</f>
        <v>#N/A</v>
      </c>
      <c r="D22" s="117"/>
      <c r="E22" s="125" t="e">
        <f>VLOOKUP(Table25751985[[#This Row],[PEG]],Table1016[#All],3,FALSE)</f>
        <v>#N/A</v>
      </c>
    </row>
    <row r="23" spans="1:5" x14ac:dyDescent="0.35">
      <c r="A23" s="118">
        <v>16</v>
      </c>
      <c r="B23" s="114" t="s">
        <v>115</v>
      </c>
      <c r="C23" s="109" t="e">
        <f>VLOOKUP(Table25751985[[#This Row],[PEG]],Table1016[#All],2,FALSE)</f>
        <v>#N/A</v>
      </c>
      <c r="D23" s="117"/>
      <c r="E23" s="125" t="e">
        <f>VLOOKUP(Table25751985[[#This Row],[PEG]],Table1016[#All],3,FALSE)</f>
        <v>#N/A</v>
      </c>
    </row>
    <row r="24" spans="1:5" x14ac:dyDescent="0.35">
      <c r="A24" s="118">
        <v>17</v>
      </c>
      <c r="B24" s="114" t="s">
        <v>114</v>
      </c>
      <c r="C24" s="109" t="e">
        <f>VLOOKUP(Table25751985[[#This Row],[PEG]],Table1016[#All],2,FALSE)</f>
        <v>#N/A</v>
      </c>
      <c r="D24" s="117"/>
      <c r="E24" s="125" t="e">
        <f>VLOOKUP(Table25751985[[#This Row],[PEG]],Table1016[#All],3,FALSE)</f>
        <v>#N/A</v>
      </c>
    </row>
    <row r="25" spans="1:5" s="97" customFormat="1" x14ac:dyDescent="0.35">
      <c r="A25" s="118">
        <v>18</v>
      </c>
      <c r="B25" s="114" t="s">
        <v>12</v>
      </c>
      <c r="C25" s="109" t="e">
        <f>VLOOKUP(Table25751985[[#This Row],[PEG]],Table1016[#All],2,FALSE)</f>
        <v>#N/A</v>
      </c>
      <c r="D25" s="117"/>
      <c r="E25" s="125" t="e">
        <f>VLOOKUP(Table25751985[[#This Row],[PEG]],Table1016[#All],3,FALSE)</f>
        <v>#N/A</v>
      </c>
    </row>
    <row r="26" spans="1:5" x14ac:dyDescent="0.35">
      <c r="A26" s="118">
        <v>19</v>
      </c>
      <c r="B26" s="114" t="s">
        <v>12</v>
      </c>
      <c r="C26" s="109" t="e">
        <f>VLOOKUP(Table25751985[[#This Row],[PEG]],Table1016[#All],2,FALSE)</f>
        <v>#N/A</v>
      </c>
      <c r="D26" s="117"/>
      <c r="E26" s="125" t="e">
        <f>VLOOKUP(Table25751985[[#This Row],[PEG]],Table1016[#All],3,FALSE)</f>
        <v>#N/A</v>
      </c>
    </row>
    <row r="27" spans="1:5" x14ac:dyDescent="0.35">
      <c r="A27" s="118">
        <v>20</v>
      </c>
      <c r="B27" s="114" t="s">
        <v>115</v>
      </c>
      <c r="C27" s="109" t="e">
        <f>VLOOKUP(Table25751985[[#This Row],[PEG]],Table1016[#All],2,FALSE)</f>
        <v>#N/A</v>
      </c>
      <c r="D27" s="117"/>
      <c r="E27" s="125" t="e">
        <f>VLOOKUP(Table25751985[[#This Row],[PEG]],Table1016[#All],3,FALSE)</f>
        <v>#N/A</v>
      </c>
    </row>
    <row r="28" spans="1:5" x14ac:dyDescent="0.35">
      <c r="A28" s="118">
        <v>21</v>
      </c>
      <c r="B28" s="114" t="s">
        <v>114</v>
      </c>
      <c r="C28" s="109" t="e">
        <f>VLOOKUP(Table25751985[[#This Row],[PEG]],Table1016[#All],2,FALSE)</f>
        <v>#N/A</v>
      </c>
      <c r="D28" s="117"/>
      <c r="E28" s="125" t="e">
        <f>VLOOKUP(Table25751985[[#This Row],[PEG]],Table1016[#All],3,FALSE)</f>
        <v>#N/A</v>
      </c>
    </row>
    <row r="29" spans="1:5" x14ac:dyDescent="0.35">
      <c r="A29" s="118">
        <v>22</v>
      </c>
      <c r="B29" s="114" t="s">
        <v>12</v>
      </c>
      <c r="C29" s="109" t="e">
        <f>VLOOKUP(Table25751985[[#This Row],[PEG]],Table1016[#All],2,FALSE)</f>
        <v>#N/A</v>
      </c>
      <c r="D29" s="117"/>
      <c r="E29" s="125" t="e">
        <f>VLOOKUP(Table25751985[[#This Row],[PEG]],Table1016[#All],3,FALSE)</f>
        <v>#N/A</v>
      </c>
    </row>
    <row r="30" spans="1:5" x14ac:dyDescent="0.35">
      <c r="A30" s="118">
        <v>23</v>
      </c>
      <c r="B30" s="114" t="s">
        <v>12</v>
      </c>
      <c r="C30" s="109" t="e">
        <f>VLOOKUP(Table25751985[[#This Row],[PEG]],Table1016[#All],2,FALSE)</f>
        <v>#N/A</v>
      </c>
      <c r="D30" s="117"/>
      <c r="E30" s="125" t="e">
        <f>VLOOKUP(Table25751985[[#This Row],[PEG]],Table1016[#All],3,FALSE)</f>
        <v>#N/A</v>
      </c>
    </row>
    <row r="31" spans="1:5" x14ac:dyDescent="0.35">
      <c r="A31" s="118">
        <v>24</v>
      </c>
      <c r="B31" s="114" t="s">
        <v>115</v>
      </c>
      <c r="C31" s="109" t="e">
        <f>VLOOKUP(Table25751985[[#This Row],[PEG]],Table1016[#All],2,FALSE)</f>
        <v>#N/A</v>
      </c>
      <c r="D31" s="117"/>
      <c r="E31" s="125" t="e">
        <f>VLOOKUP(Table25751985[[#This Row],[PEG]],Table1016[#All],3,FALSE)</f>
        <v>#N/A</v>
      </c>
    </row>
    <row r="32" spans="1:5" x14ac:dyDescent="0.35">
      <c r="A32" s="118">
        <v>25</v>
      </c>
      <c r="B32" s="114" t="s">
        <v>115</v>
      </c>
      <c r="C32" s="109" t="e">
        <f>VLOOKUP(Table25751985[[#This Row],[PEG]],Table1016[#All],2,FALSE)</f>
        <v>#N/A</v>
      </c>
      <c r="D32" s="117"/>
      <c r="E32" s="125" t="e">
        <f>VLOOKUP(Table25751985[[#This Row],[PEG]],Table1016[#All],3,FALSE)</f>
        <v>#N/A</v>
      </c>
    </row>
    <row r="33" spans="1:5" x14ac:dyDescent="0.35">
      <c r="A33" s="118">
        <v>26</v>
      </c>
      <c r="B33" s="114" t="s">
        <v>124</v>
      </c>
      <c r="C33" s="109" t="e">
        <f>VLOOKUP(Table25751985[[#This Row],[PEG]],Table1016[#All],2,FALSE)</f>
        <v>#N/A</v>
      </c>
      <c r="D33" s="117"/>
      <c r="E33" s="125" t="e">
        <f>VLOOKUP(Table25751985[[#This Row],[PEG]],Table1016[#All],3,FALSE)</f>
        <v>#N/A</v>
      </c>
    </row>
    <row r="34" spans="1:5" x14ac:dyDescent="0.35">
      <c r="A34" s="118">
        <v>27</v>
      </c>
      <c r="B34" s="114" t="s">
        <v>115</v>
      </c>
      <c r="C34" s="109" t="e">
        <f>VLOOKUP(Table25751985[[#This Row],[PEG]],Table1016[#All],2,FALSE)</f>
        <v>#N/A</v>
      </c>
      <c r="D34" s="117"/>
      <c r="E34" s="125" t="e">
        <f>VLOOKUP(Table25751985[[#This Row],[PEG]],Table1016[#All],3,FALSE)</f>
        <v>#N/A</v>
      </c>
    </row>
    <row r="35" spans="1:5" x14ac:dyDescent="0.35">
      <c r="A35" s="118">
        <v>28</v>
      </c>
      <c r="B35" s="114" t="s">
        <v>124</v>
      </c>
      <c r="C35" s="109" t="e">
        <f>VLOOKUP(Table25751985[[#This Row],[PEG]],Table1016[#All],2,FALSE)</f>
        <v>#N/A</v>
      </c>
      <c r="D35" s="117"/>
      <c r="E35" s="125" t="e">
        <f>VLOOKUP(Table25751985[[#This Row],[PEG]],Table1016[#All],3,FALSE)</f>
        <v>#N/A</v>
      </c>
    </row>
    <row r="36" spans="1:5" x14ac:dyDescent="0.35">
      <c r="A36" s="118">
        <v>29</v>
      </c>
      <c r="B36" s="114" t="s">
        <v>115</v>
      </c>
      <c r="C36" s="109" t="e">
        <f>VLOOKUP(Table25751985[[#This Row],[PEG]],Table1016[#All],2,FALSE)</f>
        <v>#N/A</v>
      </c>
      <c r="D36" s="117"/>
      <c r="E36" s="125" t="e">
        <f>VLOOKUP(Table25751985[[#This Row],[PEG]],Table1016[#All],3,FALSE)</f>
        <v>#N/A</v>
      </c>
    </row>
    <row r="37" spans="1:5" x14ac:dyDescent="0.35">
      <c r="A37" s="118">
        <v>30</v>
      </c>
      <c r="B37" s="114" t="s">
        <v>12</v>
      </c>
      <c r="C37" s="109" t="e">
        <f>VLOOKUP(Table25751985[[#This Row],[PEG]],Table1016[#All],2,FALSE)</f>
        <v>#N/A</v>
      </c>
      <c r="D37" s="117"/>
      <c r="E37" s="125" t="e">
        <f>VLOOKUP(Table25751985[[#This Row],[PEG]],Table1016[#All],3,FALSE)</f>
        <v>#N/A</v>
      </c>
    </row>
    <row r="38" spans="1:5" x14ac:dyDescent="0.35">
      <c r="A38" s="118">
        <v>31</v>
      </c>
      <c r="B38" s="114" t="s">
        <v>12</v>
      </c>
      <c r="C38" s="109" t="e">
        <f>VLOOKUP(Table25751985[[#This Row],[PEG]],Table1016[#All],2,FALSE)</f>
        <v>#N/A</v>
      </c>
      <c r="D38" s="117"/>
      <c r="E38" s="125" t="e">
        <f>VLOOKUP(Table25751985[[#This Row],[PEG]],Table1016[#All],3,FALSE)</f>
        <v>#N/A</v>
      </c>
    </row>
    <row r="39" spans="1:5" x14ac:dyDescent="0.35">
      <c r="A39" s="118">
        <v>32</v>
      </c>
      <c r="B39" s="114" t="s">
        <v>12</v>
      </c>
      <c r="C39" s="109" t="e">
        <f>VLOOKUP(Table25751985[[#This Row],[PEG]],Table1016[#All],2,FALSE)</f>
        <v>#N/A</v>
      </c>
      <c r="D39" s="117"/>
      <c r="E39" s="125" t="e">
        <f>VLOOKUP(Table25751985[[#This Row],[PEG]],Table1016[#All],3,FALSE)</f>
        <v>#N/A</v>
      </c>
    </row>
    <row r="40" spans="1:5" x14ac:dyDescent="0.35">
      <c r="A40" s="118">
        <v>33</v>
      </c>
      <c r="B40" s="114" t="s">
        <v>12</v>
      </c>
      <c r="C40" s="109" t="e">
        <f>VLOOKUP(Table25751985[[#This Row],[PEG]],Table1016[#All],2,FALSE)</f>
        <v>#N/A</v>
      </c>
      <c r="D40" s="117"/>
      <c r="E40" s="125" t="e">
        <f>VLOOKUP(Table25751985[[#This Row],[PEG]],Table1016[#All],3,FALSE)</f>
        <v>#N/A</v>
      </c>
    </row>
    <row r="41" spans="1:5" x14ac:dyDescent="0.35">
      <c r="A41" s="118">
        <v>34</v>
      </c>
      <c r="B41" s="114" t="s">
        <v>115</v>
      </c>
      <c r="C41" s="109" t="e">
        <f>VLOOKUP(Table25751985[[#This Row],[PEG]],Table1016[#All],2,FALSE)</f>
        <v>#N/A</v>
      </c>
      <c r="D41" s="117"/>
      <c r="E41" s="125" t="e">
        <f>VLOOKUP(Table25751985[[#This Row],[PEG]],Table1016[#All],3,FALSE)</f>
        <v>#N/A</v>
      </c>
    </row>
    <row r="42" spans="1:5" x14ac:dyDescent="0.35">
      <c r="A42" s="118">
        <v>35</v>
      </c>
      <c r="B42" s="114" t="s">
        <v>12</v>
      </c>
      <c r="C42" s="109" t="e">
        <f>VLOOKUP(Table25751985[[#This Row],[PEG]],Table1016[#All],2,FALSE)</f>
        <v>#N/A</v>
      </c>
      <c r="D42" s="115"/>
      <c r="E42" s="125" t="e">
        <f>VLOOKUP(Table25751985[[#This Row],[PEG]],Table1016[#All],3,FALSE)</f>
        <v>#N/A</v>
      </c>
    </row>
    <row r="43" spans="1:5" x14ac:dyDescent="0.35">
      <c r="A43" s="118">
        <v>36</v>
      </c>
      <c r="B43" s="114" t="s">
        <v>115</v>
      </c>
      <c r="C43" s="109" t="e">
        <f>VLOOKUP(Table25751985[[#This Row],[PEG]],Table1016[#All],2,FALSE)</f>
        <v>#N/A</v>
      </c>
      <c r="D43" s="115"/>
      <c r="E43" s="125" t="e">
        <f>VLOOKUP(Table25751985[[#This Row],[PEG]],Table1016[#All],3,FALSE)</f>
        <v>#N/A</v>
      </c>
    </row>
    <row r="44" spans="1:5" x14ac:dyDescent="0.35">
      <c r="A44" s="118">
        <v>37</v>
      </c>
      <c r="B44" s="114" t="s">
        <v>13</v>
      </c>
      <c r="C44" s="18" t="s">
        <v>13</v>
      </c>
      <c r="D44" s="115"/>
      <c r="E44" s="32"/>
    </row>
    <row r="45" spans="1:5" x14ac:dyDescent="0.35">
      <c r="C45" s="26"/>
      <c r="D45" s="111" t="s">
        <v>0</v>
      </c>
    </row>
    <row r="46" spans="1:5" x14ac:dyDescent="0.35">
      <c r="C46" s="26"/>
    </row>
    <row r="47" spans="1:5" x14ac:dyDescent="0.35">
      <c r="C47" s="26"/>
    </row>
    <row r="48" spans="1:5" x14ac:dyDescent="0.35">
      <c r="C48" s="26"/>
    </row>
    <row r="49" spans="3:3" x14ac:dyDescent="0.35">
      <c r="C49" s="26"/>
    </row>
    <row r="50" spans="3:3" x14ac:dyDescent="0.35">
      <c r="C50" s="26"/>
    </row>
    <row r="51" spans="3:3" x14ac:dyDescent="0.35">
      <c r="C51" s="26"/>
    </row>
    <row r="52" spans="3:3" x14ac:dyDescent="0.35">
      <c r="C52" s="26"/>
    </row>
    <row r="53" spans="3:3" x14ac:dyDescent="0.35">
      <c r="C53" s="26"/>
    </row>
    <row r="54" spans="3:3" x14ac:dyDescent="0.35">
      <c r="C54" s="26"/>
    </row>
    <row r="55" spans="3:3" x14ac:dyDescent="0.35">
      <c r="C55" s="26"/>
    </row>
    <row r="56" spans="3:3" x14ac:dyDescent="0.35">
      <c r="C56" s="26"/>
    </row>
    <row r="57" spans="3:3" x14ac:dyDescent="0.35">
      <c r="C57" s="26"/>
    </row>
    <row r="58" spans="3:3" x14ac:dyDescent="0.35">
      <c r="C58" s="26"/>
    </row>
    <row r="59" spans="3:3" x14ac:dyDescent="0.35">
      <c r="C59" s="26"/>
    </row>
    <row r="60" spans="3:3" x14ac:dyDescent="0.35">
      <c r="C60" s="27"/>
    </row>
    <row r="61" spans="3:3" x14ac:dyDescent="0.35">
      <c r="C61" s="27"/>
    </row>
    <row r="62" spans="3:3" x14ac:dyDescent="0.35">
      <c r="C62" s="27"/>
    </row>
  </sheetData>
  <mergeCells count="1">
    <mergeCell ref="A1:B1"/>
  </mergeCells>
  <conditionalFormatting sqref="C45:C10001">
    <cfRule type="expression" dxfId="3003" priority="49">
      <formula>$B45="Dial"</formula>
    </cfRule>
    <cfRule type="expression" dxfId="3002" priority="51">
      <formula>$B45="HANGUP"</formula>
    </cfRule>
  </conditionalFormatting>
  <conditionalFormatting sqref="B30">
    <cfRule type="containsText" dxfId="3001" priority="4" operator="containsText" text="Hear">
      <formula>NOT(ISERROR(SEARCH("Hear",B30)))</formula>
    </cfRule>
  </conditionalFormatting>
  <conditionalFormatting sqref="B43:B44">
    <cfRule type="containsText" dxfId="3000" priority="14" operator="containsText" text="Hear">
      <formula>NOT(ISERROR(SEARCH("Hear",B43)))</formula>
    </cfRule>
  </conditionalFormatting>
  <conditionalFormatting sqref="E44">
    <cfRule type="containsText" dxfId="2999" priority="12" operator="containsText" text="WEB SERVICE">
      <formula>NOT(ISERROR(SEARCH("WEB SERVICE",E44)))</formula>
    </cfRule>
    <cfRule type="containsText" dxfId="2998" priority="13" operator="containsText" text="DB">
      <formula>NOT(ISERROR(SEARCH("DB",E44)))</formula>
    </cfRule>
  </conditionalFormatting>
  <conditionalFormatting sqref="C44">
    <cfRule type="expression" dxfId="2997" priority="15">
      <formula>$B44="Dial"</formula>
    </cfRule>
    <cfRule type="expression" dxfId="2996" priority="17">
      <formula>$B44="HANGUP"</formula>
    </cfRule>
  </conditionalFormatting>
  <conditionalFormatting sqref="C44">
    <cfRule type="expression" dxfId="2995" priority="16">
      <formula>$B44="Speak"</formula>
    </cfRule>
  </conditionalFormatting>
  <conditionalFormatting sqref="B8:B18">
    <cfRule type="containsText" dxfId="2994" priority="1" operator="containsText" text="Hear">
      <formula>NOT(ISERROR(SEARCH("Hear",B8)))</formula>
    </cfRule>
  </conditionalFormatting>
  <conditionalFormatting sqref="B36:B38 B40:B41">
    <cfRule type="containsText" dxfId="2993" priority="3" operator="containsText" text="Hear">
      <formula>NOT(ISERROR(SEARCH("Hear",B36)))</formula>
    </cfRule>
  </conditionalFormatting>
  <conditionalFormatting sqref="B19:B29 B31:B35 B42">
    <cfRule type="containsText" dxfId="2992" priority="5" operator="containsText" text="Hear">
      <formula>NOT(ISERROR(SEARCH("Hear",B19)))</formula>
    </cfRule>
  </conditionalFormatting>
  <hyperlinks>
    <hyperlink ref="A1" location="'Test Case Overview'!A1" display="Return to Test Case Overview" xr:uid="{00000000-0004-0000-5F00-000000000000}"/>
  </hyperlinks>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expression" priority="8" id="{25C75F67-6097-4F34-B801-F83EDEB03CBF}">
            <xm:f>'TC1'!$B8="HANGUP"</xm:f>
            <x14:dxf>
              <font>
                <b/>
                <i val="0"/>
              </font>
            </x14:dxf>
          </x14:cfRule>
          <x14:cfRule type="expression" priority="9" id="{A124E7C2-8619-4509-A83E-B3E124C116FE}">
            <xm:f>'TC1'!$B8="Dial"</xm:f>
            <x14:dxf>
              <font>
                <b/>
                <i val="0"/>
                <color rgb="FFFF0000"/>
              </font>
            </x14:dxf>
          </x14:cfRule>
          <xm:sqref>C8</xm:sqref>
        </x14:conditionalFormatting>
        <x14:conditionalFormatting xmlns:xm="http://schemas.microsoft.com/office/excel/2006/main">
          <x14:cfRule type="expression" priority="10" id="{05F30A76-0696-43FD-B476-FAC12FF272C9}">
            <xm:f>'TC1'!$B8="Speak"</xm:f>
            <x14:dxf>
              <font>
                <b/>
                <i val="0"/>
                <color rgb="FFFF0000"/>
              </font>
            </x14:dxf>
          </x14:cfRule>
          <xm:sqref>C8</xm:sqref>
        </x14:conditionalFormatting>
        <x14:conditionalFormatting xmlns:xm="http://schemas.microsoft.com/office/excel/2006/main">
          <x14:cfRule type="containsText" priority="2" operator="containsText" text="Hear" id="{5DE95A36-1C9A-41C2-AF4A-87F830C2CB8D}">
            <xm:f>NOT(ISERROR(SEARCH("Hear",'TC3'!B34)))</xm:f>
            <x14:dxf>
              <font>
                <color theme="9" tint="-0.24994659260841701"/>
              </font>
              <fill>
                <patternFill>
                  <bgColor theme="9" tint="0.59996337778862885"/>
                </patternFill>
              </fill>
            </x14:dxf>
          </x14:cfRule>
          <xm:sqref>B41</xm:sqref>
        </x14:conditionalFormatting>
        <x14:conditionalFormatting xmlns:xm="http://schemas.microsoft.com/office/excel/2006/main">
          <x14:cfRule type="expression" priority="2163" id="{25C75F67-6097-4F34-B801-F83EDEB03CBF}">
            <xm:f>'TC1'!$B16="HANGUP"</xm:f>
            <x14:dxf>
              <font>
                <b/>
                <i val="0"/>
              </font>
            </x14:dxf>
          </x14:cfRule>
          <x14:cfRule type="expression" priority="2164" id="{A124E7C2-8619-4509-A83E-B3E124C116FE}">
            <xm:f>'TC1'!$B16="Dial"</xm:f>
            <x14:dxf>
              <font>
                <b/>
                <i val="0"/>
                <color rgb="FFFF0000"/>
              </font>
            </x14:dxf>
          </x14:cfRule>
          <xm:sqref>C34:C43</xm:sqref>
        </x14:conditionalFormatting>
        <x14:conditionalFormatting xmlns:xm="http://schemas.microsoft.com/office/excel/2006/main">
          <x14:cfRule type="expression" priority="2165" id="{25C75F67-6097-4F34-B801-F83EDEB03CBF}">
            <xm:f>'TC1'!#REF!="HANGUP"</xm:f>
            <x14:dxf>
              <font>
                <b/>
                <i val="0"/>
              </font>
            </x14:dxf>
          </x14:cfRule>
          <x14:cfRule type="expression" priority="2166" id="{A124E7C2-8619-4509-A83E-B3E124C116FE}">
            <xm:f>'TC1'!#REF!="Dial"</xm:f>
            <x14:dxf>
              <font>
                <b/>
                <i val="0"/>
                <color rgb="FFFF0000"/>
              </font>
            </x14:dxf>
          </x14:cfRule>
          <xm:sqref>C17:C33</xm:sqref>
        </x14:conditionalFormatting>
        <x14:conditionalFormatting xmlns:xm="http://schemas.microsoft.com/office/excel/2006/main">
          <x14:cfRule type="expression" priority="2170" id="{05F30A76-0696-43FD-B476-FAC12FF272C9}">
            <xm:f>'TC1'!$B16="Speak"</xm:f>
            <x14:dxf>
              <font>
                <b/>
                <i val="0"/>
                <color rgb="FFFF0000"/>
              </font>
            </x14:dxf>
          </x14:cfRule>
          <xm:sqref>C34:C43</xm:sqref>
        </x14:conditionalFormatting>
        <x14:conditionalFormatting xmlns:xm="http://schemas.microsoft.com/office/excel/2006/main">
          <x14:cfRule type="expression" priority="2171" id="{05F30A76-0696-43FD-B476-FAC12FF272C9}">
            <xm:f>'TC1'!#REF!="Speak"</xm:f>
            <x14:dxf>
              <font>
                <b/>
                <i val="0"/>
                <color rgb="FFFF0000"/>
              </font>
            </x14:dxf>
          </x14:cfRule>
          <xm:sqref>C17:C33</xm:sqref>
        </x14:conditionalFormatting>
        <x14:conditionalFormatting xmlns:xm="http://schemas.microsoft.com/office/excel/2006/main">
          <x14:cfRule type="containsText" priority="2175" operator="containsText" text="DB" id="{2982DCE9-443F-412A-A890-BD56C1BAC6FB}">
            <xm:f>NOT(ISERROR(SEARCH("DB",'TC1'!E16)))</xm:f>
            <x14:dxf>
              <font>
                <color rgb="FF006100"/>
              </font>
              <fill>
                <patternFill>
                  <bgColor rgb="FFC6EFCE"/>
                </patternFill>
              </fill>
            </x14:dxf>
          </x14:cfRule>
          <x14:cfRule type="containsText" priority="2176" operator="containsText" text="WEB SERVICE" id="{E93EE3DE-ABA8-4FDA-B4DF-DDCE0336FA24}">
            <xm:f>NOT(ISERROR(SEARCH("WEB SERVICE",'TC1'!E16)))</xm:f>
            <x14:dxf>
              <font>
                <color rgb="FF9C0006"/>
              </font>
              <fill>
                <patternFill>
                  <bgColor rgb="FFFFC7CE"/>
                </patternFill>
              </fill>
            </x14:dxf>
          </x14:cfRule>
          <xm:sqref>E34:E43</xm:sqref>
        </x14:conditionalFormatting>
        <x14:conditionalFormatting xmlns:xm="http://schemas.microsoft.com/office/excel/2006/main">
          <x14:cfRule type="containsText" priority="2177" operator="containsText" text="DB" id="{2982DCE9-443F-412A-A890-BD56C1BAC6FB}">
            <xm:f>NOT(ISERROR(SEARCH("DB",'TC1'!#REF!)))</xm:f>
            <x14:dxf>
              <font>
                <color rgb="FF006100"/>
              </font>
              <fill>
                <patternFill>
                  <bgColor rgb="FFC6EFCE"/>
                </patternFill>
              </fill>
            </x14:dxf>
          </x14:cfRule>
          <x14:cfRule type="containsText" priority="2178" operator="containsText" text="WEB SERVICE" id="{E93EE3DE-ABA8-4FDA-B4DF-DDCE0336FA24}">
            <xm:f>NOT(ISERROR(SEARCH("WEB SERVICE",'TC1'!#REF!)))</xm:f>
            <x14:dxf>
              <font>
                <color rgb="FF9C0006"/>
              </font>
              <fill>
                <patternFill>
                  <bgColor rgb="FFFFC7CE"/>
                </patternFill>
              </fill>
            </x14:dxf>
          </x14:cfRule>
          <xm:sqref>E17:E33</xm:sqref>
        </x14:conditionalFormatting>
        <x14:conditionalFormatting xmlns:xm="http://schemas.microsoft.com/office/excel/2006/main">
          <x14:cfRule type="expression" priority="4885" id="{25C75F67-6097-4F34-B801-F83EDEB03CBF}">
            <xm:f>'TC1'!$B9="HANGUP"</xm:f>
            <x14:dxf>
              <font>
                <b/>
                <i val="0"/>
              </font>
            </x14:dxf>
          </x14:cfRule>
          <x14:cfRule type="expression" priority="4886" id="{A124E7C2-8619-4509-A83E-B3E124C116FE}">
            <xm:f>'TC1'!$B9="Dial"</xm:f>
            <x14:dxf>
              <font>
                <b/>
                <i val="0"/>
                <color rgb="FFFF0000"/>
              </font>
            </x14:dxf>
          </x14:cfRule>
          <xm:sqref>C12:C15</xm:sqref>
        </x14:conditionalFormatting>
        <x14:conditionalFormatting xmlns:xm="http://schemas.microsoft.com/office/excel/2006/main">
          <x14:cfRule type="expression" priority="4887" id="{25C75F67-6097-4F34-B801-F83EDEB03CBF}">
            <xm:f>'TC1'!#REF!="HANGUP"</xm:f>
            <x14:dxf>
              <font>
                <b/>
                <i val="0"/>
              </font>
            </x14:dxf>
          </x14:cfRule>
          <x14:cfRule type="expression" priority="4888" id="{A124E7C2-8619-4509-A83E-B3E124C116FE}">
            <xm:f>'TC1'!#REF!="Dial"</xm:f>
            <x14:dxf>
              <font>
                <b/>
                <i val="0"/>
                <color rgb="FFFF0000"/>
              </font>
            </x14:dxf>
          </x14:cfRule>
          <xm:sqref>C9:C11</xm:sqref>
        </x14:conditionalFormatting>
        <x14:conditionalFormatting xmlns:xm="http://schemas.microsoft.com/office/excel/2006/main">
          <x14:cfRule type="expression" priority="4892" id="{05F30A76-0696-43FD-B476-FAC12FF272C9}">
            <xm:f>'TC1'!$B9="Speak"</xm:f>
            <x14:dxf>
              <font>
                <b/>
                <i val="0"/>
                <color rgb="FFFF0000"/>
              </font>
            </x14:dxf>
          </x14:cfRule>
          <xm:sqref>C12:C15</xm:sqref>
        </x14:conditionalFormatting>
        <x14:conditionalFormatting xmlns:xm="http://schemas.microsoft.com/office/excel/2006/main">
          <x14:cfRule type="expression" priority="4893" id="{05F30A76-0696-43FD-B476-FAC12FF272C9}">
            <xm:f>'TC1'!#REF!="Speak"</xm:f>
            <x14:dxf>
              <font>
                <b/>
                <i val="0"/>
                <color rgb="FFFF0000"/>
              </font>
            </x14:dxf>
          </x14:cfRule>
          <xm:sqref>C9:C11</xm:sqref>
        </x14:conditionalFormatting>
        <x14:conditionalFormatting xmlns:xm="http://schemas.microsoft.com/office/excel/2006/main">
          <x14:cfRule type="containsText" priority="4895" operator="containsText" text="DB" id="{2982DCE9-443F-412A-A890-BD56C1BAC6FB}">
            <xm:f>NOT(ISERROR(SEARCH("DB",'TC1'!#REF!)))</xm:f>
            <x14:dxf>
              <font>
                <color rgb="FF006100"/>
              </font>
              <fill>
                <patternFill>
                  <bgColor rgb="FFC6EFCE"/>
                </patternFill>
              </fill>
            </x14:dxf>
          </x14:cfRule>
          <x14:cfRule type="containsText" priority="4896" operator="containsText" text="WEB SERVICE" id="{E93EE3DE-ABA8-4FDA-B4DF-DDCE0336FA24}">
            <xm:f>NOT(ISERROR(SEARCH("WEB SERVICE",'TC1'!#REF!)))</xm:f>
            <x14:dxf>
              <font>
                <color rgb="FF9C0006"/>
              </font>
              <fill>
                <patternFill>
                  <bgColor rgb="FFFFC7CE"/>
                </patternFill>
              </fill>
            </x14:dxf>
          </x14:cfRule>
          <xm:sqref>E9:E11</xm:sqref>
        </x14:conditionalFormatting>
        <x14:conditionalFormatting xmlns:xm="http://schemas.microsoft.com/office/excel/2006/main">
          <x14:cfRule type="containsText" priority="4897" operator="containsText" text="DB" id="{2982DCE9-443F-412A-A890-BD56C1BAC6FB}">
            <xm:f>NOT(ISERROR(SEARCH("DB",'TC1'!E9)))</xm:f>
            <x14:dxf>
              <font>
                <color rgb="FF006100"/>
              </font>
              <fill>
                <patternFill>
                  <bgColor rgb="FFC6EFCE"/>
                </patternFill>
              </fill>
            </x14:dxf>
          </x14:cfRule>
          <x14:cfRule type="containsText" priority="4898" operator="containsText" text="WEB SERVICE" id="{E93EE3DE-ABA8-4FDA-B4DF-DDCE0336FA24}">
            <xm:f>NOT(ISERROR(SEARCH("WEB SERVICE",'TC1'!E9)))</xm:f>
            <x14:dxf>
              <font>
                <color rgb="FF9C0006"/>
              </font>
              <fill>
                <patternFill>
                  <bgColor rgb="FFFFC7CE"/>
                </patternFill>
              </fill>
            </x14:dxf>
          </x14:cfRule>
          <xm:sqref>E12:E15</xm:sqref>
        </x14:conditionalFormatting>
        <x14:conditionalFormatting xmlns:xm="http://schemas.microsoft.com/office/excel/2006/main">
          <x14:cfRule type="expression" priority="7250" id="{25C75F67-6097-4F34-B801-F83EDEB03CBF}">
            <xm:f>'TC1'!$B15="HANGUP"</xm:f>
            <x14:dxf>
              <font>
                <b/>
                <i val="0"/>
              </font>
            </x14:dxf>
          </x14:cfRule>
          <x14:cfRule type="expression" priority="7251" id="{A124E7C2-8619-4509-A83E-B3E124C116FE}">
            <xm:f>'TC1'!$B15="Dial"</xm:f>
            <x14:dxf>
              <font>
                <b/>
                <i val="0"/>
                <color rgb="FFFF0000"/>
              </font>
            </x14:dxf>
          </x14:cfRule>
          <xm:sqref>C16</xm:sqref>
        </x14:conditionalFormatting>
        <x14:conditionalFormatting xmlns:xm="http://schemas.microsoft.com/office/excel/2006/main">
          <x14:cfRule type="expression" priority="7253" id="{05F30A76-0696-43FD-B476-FAC12FF272C9}">
            <xm:f>'TC1'!$B15="Speak"</xm:f>
            <x14:dxf>
              <font>
                <b/>
                <i val="0"/>
                <color rgb="FFFF0000"/>
              </font>
            </x14:dxf>
          </x14:cfRule>
          <xm:sqref>C16</xm:sqref>
        </x14:conditionalFormatting>
        <x14:conditionalFormatting xmlns:xm="http://schemas.microsoft.com/office/excel/2006/main">
          <x14:cfRule type="containsText" priority="7256" operator="containsText" text="DB" id="{2982DCE9-443F-412A-A890-BD56C1BAC6FB}">
            <xm:f>NOT(ISERROR(SEARCH("DB",'TC1'!E15)))</xm:f>
            <x14:dxf>
              <font>
                <color rgb="FF006100"/>
              </font>
              <fill>
                <patternFill>
                  <bgColor rgb="FFC6EFCE"/>
                </patternFill>
              </fill>
            </x14:dxf>
          </x14:cfRule>
          <x14:cfRule type="containsText" priority="7257" operator="containsText" text="WEB SERVICE" id="{E93EE3DE-ABA8-4FDA-B4DF-DDCE0336FA24}">
            <xm:f>NOT(ISERROR(SEARCH("WEB SERVICE",'TC1'!E15)))</xm:f>
            <x14:dxf>
              <font>
                <color rgb="FF9C0006"/>
              </font>
              <fill>
                <patternFill>
                  <bgColor rgb="FFFFC7CE"/>
                </patternFill>
              </fill>
            </x14:dxf>
          </x14:cfRule>
          <xm:sqref>E16</xm:sqref>
        </x14:conditionalFormatting>
        <x14:conditionalFormatting xmlns:xm="http://schemas.microsoft.com/office/excel/2006/main">
          <x14:cfRule type="containsText" priority="9734" operator="containsText" text="Hear" id="{CC285AF0-A579-4199-B5E6-059085965F88}">
            <xm:f>NOT(ISERROR(SEARCH("Hear",'TC26'!#REF!)))</xm:f>
            <x14:dxf>
              <font>
                <color theme="9" tint="-0.24994659260841701"/>
              </font>
              <fill>
                <patternFill>
                  <bgColor theme="9" tint="0.59996337778862885"/>
                </patternFill>
              </fill>
            </x14:dxf>
          </x14:cfRule>
          <xm:sqref>B39</xm:sqref>
        </x14:conditionalFormatting>
      </x14:conditionalFormattings>
    </ext>
  </extLst>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000-000000000000}">
  <sheetPr codeName="Sheet98"/>
  <dimension ref="A1:E61"/>
  <sheetViews>
    <sheetView zoomScaleNormal="100" workbookViewId="0">
      <selection activeCell="A2" sqref="A2"/>
    </sheetView>
  </sheetViews>
  <sheetFormatPr defaultRowHeight="14.5" x14ac:dyDescent="0.35"/>
  <cols>
    <col min="1" max="1" width="14.453125" style="97" bestFit="1" customWidth="1"/>
    <col min="2" max="2" width="42.6328125" style="97" customWidth="1"/>
    <col min="3" max="3" width="106.1796875" style="98" customWidth="1"/>
    <col min="4" max="4" width="21.81640625" style="111" bestFit="1" customWidth="1"/>
    <col min="5" max="5" width="20.6328125" style="97" customWidth="1"/>
  </cols>
  <sheetData>
    <row r="1" spans="1:5" ht="18.5" x14ac:dyDescent="0.35">
      <c r="A1" s="192" t="s">
        <v>4</v>
      </c>
      <c r="B1" s="192"/>
      <c r="C1" s="105"/>
    </row>
    <row r="2" spans="1:5" x14ac:dyDescent="0.35">
      <c r="A2" s="106" t="s">
        <v>5</v>
      </c>
      <c r="B2" s="107" t="str">
        <f ca="1">MID(CELL("filename",A1),FIND("]",CELL("filename",A1))+1,LEN(CELL("filename",A1))-FIND("]",CELL("filename",A1)))</f>
        <v>TC96</v>
      </c>
    </row>
    <row r="3" spans="1:5" x14ac:dyDescent="0.35">
      <c r="A3" s="104" t="s">
        <v>19</v>
      </c>
      <c r="B3" s="112">
        <f ca="1">VLOOKUP(B2,Table53[#All],2,FALSE)</f>
        <v>0</v>
      </c>
    </row>
    <row r="4" spans="1:5" ht="29" x14ac:dyDescent="0.35">
      <c r="A4" s="113" t="s">
        <v>20</v>
      </c>
      <c r="B4" s="99">
        <f ca="1">VLOOKUP(B2,Table53[#All],4,FALSE)</f>
        <v>0</v>
      </c>
    </row>
    <row r="5" spans="1:5" x14ac:dyDescent="0.35">
      <c r="A5" s="104" t="s">
        <v>6</v>
      </c>
      <c r="B5" s="77">
        <f ca="1">VLOOKUP(B2,Table53[#All],3,FALSE)</f>
        <v>0</v>
      </c>
    </row>
    <row r="7" spans="1:5" ht="15.5" x14ac:dyDescent="0.35">
      <c r="A7" s="100" t="s">
        <v>7</v>
      </c>
      <c r="B7" s="101" t="s">
        <v>8</v>
      </c>
      <c r="C7" s="102" t="s">
        <v>9</v>
      </c>
      <c r="D7" s="102" t="s">
        <v>14</v>
      </c>
      <c r="E7" s="103" t="s">
        <v>10</v>
      </c>
    </row>
    <row r="8" spans="1:5" x14ac:dyDescent="0.35">
      <c r="A8" s="118">
        <v>1</v>
      </c>
      <c r="B8" s="114" t="s">
        <v>114</v>
      </c>
      <c r="C8" s="109" t="s">
        <v>125</v>
      </c>
      <c r="D8" s="128"/>
      <c r="E8" s="125" t="s">
        <v>11</v>
      </c>
    </row>
    <row r="9" spans="1:5" s="97" customFormat="1" x14ac:dyDescent="0.35">
      <c r="A9" s="118">
        <v>2</v>
      </c>
      <c r="B9" s="114" t="s">
        <v>12</v>
      </c>
      <c r="C9" s="109" t="e">
        <f>VLOOKUP(Table25751986[[#This Row],[PEG]],Table1016[#All],2,FALSE)</f>
        <v>#N/A</v>
      </c>
      <c r="D9" s="128"/>
      <c r="E9" s="125" t="e">
        <f>VLOOKUP(Table25751986[[#This Row],[PEG]],Table1016[#All],3,FALSE)</f>
        <v>#N/A</v>
      </c>
    </row>
    <row r="10" spans="1:5" s="97" customFormat="1" x14ac:dyDescent="0.35">
      <c r="A10" s="118">
        <v>3</v>
      </c>
      <c r="B10" s="114" t="s">
        <v>115</v>
      </c>
      <c r="C10" s="109" t="e">
        <f>VLOOKUP(Table25751986[[#This Row],[PEG]],Table1016[#All],2,FALSE)</f>
        <v>#N/A</v>
      </c>
      <c r="D10" s="128"/>
      <c r="E10" s="125" t="e">
        <f>VLOOKUP(Table25751986[[#This Row],[PEG]],Table1016[#All],3,FALSE)</f>
        <v>#N/A</v>
      </c>
    </row>
    <row r="11" spans="1:5" s="97" customFormat="1" x14ac:dyDescent="0.35">
      <c r="A11" s="118">
        <v>4</v>
      </c>
      <c r="B11" s="114" t="s">
        <v>115</v>
      </c>
      <c r="C11" s="109" t="e">
        <f>VLOOKUP(Table25751986[[#This Row],[PEG]],Table1016[#All],2,FALSE)</f>
        <v>#N/A</v>
      </c>
      <c r="D11" s="128"/>
      <c r="E11" s="125" t="e">
        <f>VLOOKUP(Table25751986[[#This Row],[PEG]],Table1016[#All],3,FALSE)</f>
        <v>#N/A</v>
      </c>
    </row>
    <row r="12" spans="1:5" s="97" customFormat="1" x14ac:dyDescent="0.35">
      <c r="A12" s="118">
        <v>5</v>
      </c>
      <c r="B12" s="114" t="s">
        <v>114</v>
      </c>
      <c r="C12" s="109" t="e">
        <f>VLOOKUP(Table25751986[[#This Row],[PEG]],Table1016[#All],2,FALSE)</f>
        <v>#N/A</v>
      </c>
      <c r="D12" s="128"/>
      <c r="E12" s="125" t="e">
        <f>VLOOKUP(Table25751986[[#This Row],[PEG]],Table1016[#All],3,FALSE)</f>
        <v>#N/A</v>
      </c>
    </row>
    <row r="13" spans="1:5" s="97" customFormat="1" x14ac:dyDescent="0.35">
      <c r="A13" s="118">
        <v>6</v>
      </c>
      <c r="B13" s="114" t="s">
        <v>115</v>
      </c>
      <c r="C13" s="109" t="e">
        <f>VLOOKUP(Table25751986[[#This Row],[PEG]],Table1016[#All],2,FALSE)</f>
        <v>#N/A</v>
      </c>
      <c r="D13" s="128"/>
      <c r="E13" s="125" t="e">
        <f>VLOOKUP(Table25751986[[#This Row],[PEG]],Table1016[#All],3,FALSE)</f>
        <v>#N/A</v>
      </c>
    </row>
    <row r="14" spans="1:5" s="97" customFormat="1" x14ac:dyDescent="0.35">
      <c r="A14" s="118">
        <v>7</v>
      </c>
      <c r="B14" s="114" t="s">
        <v>114</v>
      </c>
      <c r="C14" s="109" t="e">
        <f>VLOOKUP(Table25751986[[#This Row],[PEG]],Table1016[#All],2,FALSE)</f>
        <v>#N/A</v>
      </c>
      <c r="D14" s="128"/>
      <c r="E14" s="125" t="e">
        <f>VLOOKUP(Table25751986[[#This Row],[PEG]],Table1016[#All],3,FALSE)</f>
        <v>#N/A</v>
      </c>
    </row>
    <row r="15" spans="1:5" x14ac:dyDescent="0.35">
      <c r="A15" s="118">
        <v>8</v>
      </c>
      <c r="B15" s="114" t="s">
        <v>115</v>
      </c>
      <c r="C15" s="109" t="e">
        <f>VLOOKUP(Table25751986[[#This Row],[PEG]],Table1016[#All],2,FALSE)</f>
        <v>#N/A</v>
      </c>
      <c r="D15" s="116"/>
      <c r="E15" s="125" t="e">
        <f>VLOOKUP(Table25751986[[#This Row],[PEG]],Table1016[#All],3,FALSE)</f>
        <v>#N/A</v>
      </c>
    </row>
    <row r="16" spans="1:5" x14ac:dyDescent="0.35">
      <c r="A16" s="118">
        <v>9</v>
      </c>
      <c r="B16" s="114" t="s">
        <v>12</v>
      </c>
      <c r="C16" s="109" t="e">
        <f>VLOOKUP(Table25751986[[#This Row],[PEG]],Table1016[#All],2,FALSE)</f>
        <v>#N/A</v>
      </c>
      <c r="D16" s="116"/>
      <c r="E16" s="125" t="e">
        <f>VLOOKUP(Table25751986[[#This Row],[PEG]],Table1016[#All],3,FALSE)</f>
        <v>#N/A</v>
      </c>
    </row>
    <row r="17" spans="1:5" x14ac:dyDescent="0.35">
      <c r="A17" s="118">
        <v>10</v>
      </c>
      <c r="B17" s="114" t="s">
        <v>12</v>
      </c>
      <c r="C17" s="109" t="e">
        <f>VLOOKUP(Table25751986[[#This Row],[PEG]],Table1016[#All],2,FALSE)</f>
        <v>#N/A</v>
      </c>
      <c r="D17" s="117"/>
      <c r="E17" s="125" t="e">
        <f>VLOOKUP(Table25751986[[#This Row],[PEG]],Table1016[#All],3,FALSE)</f>
        <v>#N/A</v>
      </c>
    </row>
    <row r="18" spans="1:5" x14ac:dyDescent="0.35">
      <c r="A18" s="118">
        <v>11</v>
      </c>
      <c r="B18" s="114" t="s">
        <v>115</v>
      </c>
      <c r="C18" s="109" t="e">
        <f>VLOOKUP(Table25751986[[#This Row],[PEG]],Table1016[#All],2,FALSE)</f>
        <v>#N/A</v>
      </c>
      <c r="D18" s="117"/>
      <c r="E18" s="125" t="e">
        <f>VLOOKUP(Table25751986[[#This Row],[PEG]],Table1016[#All],3,FALSE)</f>
        <v>#N/A</v>
      </c>
    </row>
    <row r="19" spans="1:5" x14ac:dyDescent="0.35">
      <c r="A19" s="118">
        <v>12</v>
      </c>
      <c r="B19" s="114" t="s">
        <v>115</v>
      </c>
      <c r="C19" s="109" t="e">
        <f>VLOOKUP(Table25751986[[#This Row],[PEG]],Table1016[#All],2,FALSE)</f>
        <v>#N/A</v>
      </c>
      <c r="D19" s="117"/>
      <c r="E19" s="125" t="e">
        <f>VLOOKUP(Table25751986[[#This Row],[PEG]],Table1016[#All],3,FALSE)</f>
        <v>#N/A</v>
      </c>
    </row>
    <row r="20" spans="1:5" x14ac:dyDescent="0.35">
      <c r="A20" s="118">
        <v>13</v>
      </c>
      <c r="B20" s="114" t="s">
        <v>114</v>
      </c>
      <c r="C20" s="109" t="e">
        <f>VLOOKUP(Table25751986[[#This Row],[PEG]],Table1016[#All],2,FALSE)</f>
        <v>#N/A</v>
      </c>
      <c r="D20" s="117"/>
      <c r="E20" s="125" t="e">
        <f>VLOOKUP(Table25751986[[#This Row],[PEG]],Table1016[#All],3,FALSE)</f>
        <v>#N/A</v>
      </c>
    </row>
    <row r="21" spans="1:5" x14ac:dyDescent="0.35">
      <c r="A21" s="118">
        <v>14</v>
      </c>
      <c r="B21" s="114" t="s">
        <v>12</v>
      </c>
      <c r="C21" s="109" t="e">
        <f>VLOOKUP(Table25751986[[#This Row],[PEG]],Table1016[#All],2,FALSE)</f>
        <v>#N/A</v>
      </c>
      <c r="D21" s="117"/>
      <c r="E21" s="125" t="e">
        <f>VLOOKUP(Table25751986[[#This Row],[PEG]],Table1016[#All],3,FALSE)</f>
        <v>#N/A</v>
      </c>
    </row>
    <row r="22" spans="1:5" x14ac:dyDescent="0.35">
      <c r="A22" s="118">
        <v>15</v>
      </c>
      <c r="B22" s="114" t="s">
        <v>12</v>
      </c>
      <c r="C22" s="109" t="e">
        <f>VLOOKUP(Table25751986[[#This Row],[PEG]],Table1016[#All],2,FALSE)</f>
        <v>#N/A</v>
      </c>
      <c r="D22" s="117"/>
      <c r="E22" s="125" t="e">
        <f>VLOOKUP(Table25751986[[#This Row],[PEG]],Table1016[#All],3,FALSE)</f>
        <v>#N/A</v>
      </c>
    </row>
    <row r="23" spans="1:5" x14ac:dyDescent="0.35">
      <c r="A23" s="118">
        <v>16</v>
      </c>
      <c r="B23" s="114" t="s">
        <v>115</v>
      </c>
      <c r="C23" s="109" t="e">
        <f>VLOOKUP(Table25751986[[#This Row],[PEG]],Table1016[#All],2,FALSE)</f>
        <v>#N/A</v>
      </c>
      <c r="D23" s="117"/>
      <c r="E23" s="125" t="e">
        <f>VLOOKUP(Table25751986[[#This Row],[PEG]],Table1016[#All],3,FALSE)</f>
        <v>#N/A</v>
      </c>
    </row>
    <row r="24" spans="1:5" x14ac:dyDescent="0.35">
      <c r="A24" s="118">
        <v>17</v>
      </c>
      <c r="B24" s="114" t="s">
        <v>114</v>
      </c>
      <c r="C24" s="109" t="e">
        <f>VLOOKUP(Table25751986[[#This Row],[PEG]],Table1016[#All],2,FALSE)</f>
        <v>#N/A</v>
      </c>
      <c r="D24" s="117"/>
      <c r="E24" s="125" t="e">
        <f>VLOOKUP(Table25751986[[#This Row],[PEG]],Table1016[#All],3,FALSE)</f>
        <v>#N/A</v>
      </c>
    </row>
    <row r="25" spans="1:5" s="97" customFormat="1" x14ac:dyDescent="0.35">
      <c r="A25" s="118">
        <v>18</v>
      </c>
      <c r="B25" s="114" t="s">
        <v>12</v>
      </c>
      <c r="C25" s="109" t="e">
        <f>VLOOKUP(Table25751986[[#This Row],[PEG]],Table1016[#All],2,FALSE)</f>
        <v>#N/A</v>
      </c>
      <c r="D25" s="117"/>
      <c r="E25" s="125" t="e">
        <f>VLOOKUP(Table25751986[[#This Row],[PEG]],Table1016[#All],3,FALSE)</f>
        <v>#N/A</v>
      </c>
    </row>
    <row r="26" spans="1:5" x14ac:dyDescent="0.35">
      <c r="A26" s="118">
        <v>19</v>
      </c>
      <c r="B26" s="114" t="s">
        <v>12</v>
      </c>
      <c r="C26" s="109" t="e">
        <f>VLOOKUP(Table25751986[[#This Row],[PEG]],Table1016[#All],2,FALSE)</f>
        <v>#N/A</v>
      </c>
      <c r="D26" s="117"/>
      <c r="E26" s="125" t="e">
        <f>VLOOKUP(Table25751986[[#This Row],[PEG]],Table1016[#All],3,FALSE)</f>
        <v>#N/A</v>
      </c>
    </row>
    <row r="27" spans="1:5" x14ac:dyDescent="0.35">
      <c r="A27" s="118">
        <v>20</v>
      </c>
      <c r="B27" s="114" t="s">
        <v>115</v>
      </c>
      <c r="C27" s="109" t="e">
        <f>VLOOKUP(Table25751986[[#This Row],[PEG]],Table1016[#All],2,FALSE)</f>
        <v>#N/A</v>
      </c>
      <c r="D27" s="117"/>
      <c r="E27" s="125" t="e">
        <f>VLOOKUP(Table25751986[[#This Row],[PEG]],Table1016[#All],3,FALSE)</f>
        <v>#N/A</v>
      </c>
    </row>
    <row r="28" spans="1:5" x14ac:dyDescent="0.35">
      <c r="A28" s="118">
        <v>21</v>
      </c>
      <c r="B28" s="114" t="s">
        <v>114</v>
      </c>
      <c r="C28" s="109" t="e">
        <f>VLOOKUP(Table25751986[[#This Row],[PEG]],Table1016[#All],2,FALSE)</f>
        <v>#N/A</v>
      </c>
      <c r="D28" s="117"/>
      <c r="E28" s="125" t="e">
        <f>VLOOKUP(Table25751986[[#This Row],[PEG]],Table1016[#All],3,FALSE)</f>
        <v>#N/A</v>
      </c>
    </row>
    <row r="29" spans="1:5" x14ac:dyDescent="0.35">
      <c r="A29" s="118">
        <v>22</v>
      </c>
      <c r="B29" s="114" t="s">
        <v>12</v>
      </c>
      <c r="C29" s="109" t="e">
        <f>VLOOKUP(Table25751986[[#This Row],[PEG]],Table1016[#All],2,FALSE)</f>
        <v>#N/A</v>
      </c>
      <c r="D29" s="117"/>
      <c r="E29" s="125" t="e">
        <f>VLOOKUP(Table25751986[[#This Row],[PEG]],Table1016[#All],3,FALSE)</f>
        <v>#N/A</v>
      </c>
    </row>
    <row r="30" spans="1:5" x14ac:dyDescent="0.35">
      <c r="A30" s="118">
        <v>23</v>
      </c>
      <c r="B30" s="114" t="s">
        <v>12</v>
      </c>
      <c r="C30" s="109" t="e">
        <f>VLOOKUP(Table25751986[[#This Row],[PEG]],Table1016[#All],2,FALSE)</f>
        <v>#N/A</v>
      </c>
      <c r="D30" s="117"/>
      <c r="E30" s="125" t="e">
        <f>VLOOKUP(Table25751986[[#This Row],[PEG]],Table1016[#All],3,FALSE)</f>
        <v>#N/A</v>
      </c>
    </row>
    <row r="31" spans="1:5" x14ac:dyDescent="0.35">
      <c r="A31" s="118">
        <v>24</v>
      </c>
      <c r="B31" s="114" t="s">
        <v>115</v>
      </c>
      <c r="C31" s="109" t="e">
        <f>VLOOKUP(Table25751986[[#This Row],[PEG]],Table1016[#All],2,FALSE)</f>
        <v>#N/A</v>
      </c>
      <c r="D31" s="117"/>
      <c r="E31" s="125" t="e">
        <f>VLOOKUP(Table25751986[[#This Row],[PEG]],Table1016[#All],3,FALSE)</f>
        <v>#N/A</v>
      </c>
    </row>
    <row r="32" spans="1:5" x14ac:dyDescent="0.35">
      <c r="A32" s="118">
        <v>25</v>
      </c>
      <c r="B32" s="114" t="s">
        <v>115</v>
      </c>
      <c r="C32" s="109" t="e">
        <f>VLOOKUP(Table25751986[[#This Row],[PEG]],Table1016[#All],2,FALSE)</f>
        <v>#N/A</v>
      </c>
      <c r="D32" s="117"/>
      <c r="E32" s="125" t="e">
        <f>VLOOKUP(Table25751986[[#This Row],[PEG]],Table1016[#All],3,FALSE)</f>
        <v>#N/A</v>
      </c>
    </row>
    <row r="33" spans="1:5" x14ac:dyDescent="0.35">
      <c r="A33" s="118">
        <v>26</v>
      </c>
      <c r="B33" s="114" t="s">
        <v>124</v>
      </c>
      <c r="C33" s="109" t="e">
        <f>VLOOKUP(Table25751986[[#This Row],[PEG]],Table1016[#All],2,FALSE)</f>
        <v>#N/A</v>
      </c>
      <c r="D33" s="117"/>
      <c r="E33" s="125" t="e">
        <f>VLOOKUP(Table25751986[[#This Row],[PEG]],Table1016[#All],3,FALSE)</f>
        <v>#N/A</v>
      </c>
    </row>
    <row r="34" spans="1:5" x14ac:dyDescent="0.35">
      <c r="A34" s="118">
        <v>27</v>
      </c>
      <c r="B34" s="114" t="s">
        <v>115</v>
      </c>
      <c r="C34" s="109" t="e">
        <f>VLOOKUP(Table25751986[[#This Row],[PEG]],Table1016[#All],2,FALSE)</f>
        <v>#N/A</v>
      </c>
      <c r="D34" s="117"/>
      <c r="E34" s="125" t="e">
        <f>VLOOKUP(Table25751986[[#This Row],[PEG]],Table1016[#All],3,FALSE)</f>
        <v>#N/A</v>
      </c>
    </row>
    <row r="35" spans="1:5" x14ac:dyDescent="0.35">
      <c r="A35" s="118">
        <v>28</v>
      </c>
      <c r="B35" s="114" t="s">
        <v>124</v>
      </c>
      <c r="C35" s="109" t="e">
        <f>VLOOKUP(Table25751986[[#This Row],[PEG]],Table1016[#All],2,FALSE)</f>
        <v>#N/A</v>
      </c>
      <c r="D35" s="117"/>
      <c r="E35" s="125" t="e">
        <f>VLOOKUP(Table25751986[[#This Row],[PEG]],Table1016[#All],3,FALSE)</f>
        <v>#N/A</v>
      </c>
    </row>
    <row r="36" spans="1:5" x14ac:dyDescent="0.35">
      <c r="A36" s="118">
        <v>29</v>
      </c>
      <c r="B36" s="114" t="s">
        <v>115</v>
      </c>
      <c r="C36" s="109" t="e">
        <f>VLOOKUP(Table25751986[[#This Row],[PEG]],Table1016[#All],2,FALSE)</f>
        <v>#N/A</v>
      </c>
      <c r="D36" s="117"/>
      <c r="E36" s="125" t="e">
        <f>VLOOKUP(Table25751986[[#This Row],[PEG]],Table1016[#All],3,FALSE)</f>
        <v>#N/A</v>
      </c>
    </row>
    <row r="37" spans="1:5" x14ac:dyDescent="0.35">
      <c r="A37" s="118">
        <v>30</v>
      </c>
      <c r="B37" s="114" t="s">
        <v>12</v>
      </c>
      <c r="C37" s="109" t="e">
        <f>VLOOKUP(Table25751986[[#This Row],[PEG]],Table1016[#All],2,FALSE)</f>
        <v>#N/A</v>
      </c>
      <c r="D37" s="117"/>
      <c r="E37" s="125" t="e">
        <f>VLOOKUP(Table25751986[[#This Row],[PEG]],Table1016[#All],3,FALSE)</f>
        <v>#N/A</v>
      </c>
    </row>
    <row r="38" spans="1:5" x14ac:dyDescent="0.35">
      <c r="A38" s="118">
        <v>31</v>
      </c>
      <c r="B38" s="114" t="s">
        <v>12</v>
      </c>
      <c r="C38" s="109" t="e">
        <f>VLOOKUP(Table25751986[[#This Row],[PEG]],Table1016[#All],2,FALSE)</f>
        <v>#N/A</v>
      </c>
      <c r="D38" s="117"/>
      <c r="E38" s="125" t="e">
        <f>VLOOKUP(Table25751986[[#This Row],[PEG]],Table1016[#All],3,FALSE)</f>
        <v>#N/A</v>
      </c>
    </row>
    <row r="39" spans="1:5" x14ac:dyDescent="0.35">
      <c r="A39" s="118">
        <v>32</v>
      </c>
      <c r="B39" s="114" t="s">
        <v>12</v>
      </c>
      <c r="C39" s="109" t="e">
        <f>VLOOKUP(Table25751986[[#This Row],[PEG]],Table1016[#All],2,FALSE)</f>
        <v>#N/A</v>
      </c>
      <c r="D39" s="117"/>
      <c r="E39" s="125" t="e">
        <f>VLOOKUP(Table25751986[[#This Row],[PEG]],Table1016[#All],3,FALSE)</f>
        <v>#N/A</v>
      </c>
    </row>
    <row r="40" spans="1:5" x14ac:dyDescent="0.35">
      <c r="A40" s="118">
        <v>33</v>
      </c>
      <c r="B40" s="114" t="s">
        <v>12</v>
      </c>
      <c r="C40" s="109" t="e">
        <f>VLOOKUP(Table25751986[[#This Row],[PEG]],Table1016[#All],2,FALSE)</f>
        <v>#N/A</v>
      </c>
      <c r="D40" s="117"/>
      <c r="E40" s="125" t="e">
        <f>VLOOKUP(Table25751986[[#This Row],[PEG]],Table1016[#All],3,FALSE)</f>
        <v>#N/A</v>
      </c>
    </row>
    <row r="41" spans="1:5" x14ac:dyDescent="0.35">
      <c r="A41" s="118">
        <v>34</v>
      </c>
      <c r="B41" s="114" t="s">
        <v>115</v>
      </c>
      <c r="C41" s="109" t="e">
        <f>VLOOKUP(Table25751986[[#This Row],[PEG]],Table1016[#All],2,FALSE)</f>
        <v>#N/A</v>
      </c>
      <c r="D41" s="117"/>
      <c r="E41" s="125" t="e">
        <f>VLOOKUP(Table25751986[[#This Row],[PEG]],Table1016[#All],3,FALSE)</f>
        <v>#N/A</v>
      </c>
    </row>
    <row r="42" spans="1:5" x14ac:dyDescent="0.35">
      <c r="A42" s="118">
        <v>35</v>
      </c>
      <c r="B42" s="114" t="s">
        <v>12</v>
      </c>
      <c r="C42" s="109" t="e">
        <f>VLOOKUP(Table25751986[[#This Row],[PEG]],Table1016[#All],2,FALSE)</f>
        <v>#N/A</v>
      </c>
      <c r="D42" s="115"/>
      <c r="E42" s="125" t="e">
        <f>VLOOKUP(Table25751986[[#This Row],[PEG]],Table1016[#All],3,FALSE)</f>
        <v>#N/A</v>
      </c>
    </row>
    <row r="43" spans="1:5" x14ac:dyDescent="0.35">
      <c r="A43" s="118">
        <v>36</v>
      </c>
      <c r="B43" s="114" t="s">
        <v>115</v>
      </c>
      <c r="C43" s="109" t="e">
        <f>VLOOKUP(Table25751986[[#This Row],[PEG]],Table1016[#All],2,FALSE)</f>
        <v>#N/A</v>
      </c>
      <c r="D43" s="115"/>
      <c r="E43" s="125" t="e">
        <f>VLOOKUP(Table25751986[[#This Row],[PEG]],Table1016[#All],3,FALSE)</f>
        <v>#N/A</v>
      </c>
    </row>
    <row r="44" spans="1:5" x14ac:dyDescent="0.35">
      <c r="A44" s="118">
        <v>37</v>
      </c>
      <c r="B44" s="114" t="s">
        <v>13</v>
      </c>
      <c r="C44" s="18" t="s">
        <v>13</v>
      </c>
      <c r="D44" s="115"/>
      <c r="E44" s="32"/>
    </row>
    <row r="45" spans="1:5" x14ac:dyDescent="0.35">
      <c r="C45" s="26"/>
    </row>
    <row r="46" spans="1:5" x14ac:dyDescent="0.35">
      <c r="C46" s="26"/>
    </row>
    <row r="47" spans="1:5" x14ac:dyDescent="0.35">
      <c r="C47" s="26"/>
    </row>
    <row r="48" spans="1:5" x14ac:dyDescent="0.35">
      <c r="C48" s="26"/>
    </row>
    <row r="49" spans="3:3" x14ac:dyDescent="0.35">
      <c r="C49" s="26"/>
    </row>
    <row r="50" spans="3:3" x14ac:dyDescent="0.35">
      <c r="C50" s="26"/>
    </row>
    <row r="51" spans="3:3" x14ac:dyDescent="0.35">
      <c r="C51" s="26"/>
    </row>
    <row r="52" spans="3:3" x14ac:dyDescent="0.35">
      <c r="C52" s="26"/>
    </row>
    <row r="53" spans="3:3" x14ac:dyDescent="0.35">
      <c r="C53" s="26"/>
    </row>
    <row r="54" spans="3:3" x14ac:dyDescent="0.35">
      <c r="C54" s="26"/>
    </row>
    <row r="55" spans="3:3" x14ac:dyDescent="0.35">
      <c r="C55" s="26"/>
    </row>
    <row r="56" spans="3:3" x14ac:dyDescent="0.35">
      <c r="C56" s="26"/>
    </row>
    <row r="57" spans="3:3" x14ac:dyDescent="0.35">
      <c r="C57" s="26"/>
    </row>
    <row r="58" spans="3:3" x14ac:dyDescent="0.35">
      <c r="C58" s="26"/>
    </row>
    <row r="59" spans="3:3" x14ac:dyDescent="0.35">
      <c r="C59" s="27"/>
    </row>
    <row r="60" spans="3:3" x14ac:dyDescent="0.35">
      <c r="C60" s="27"/>
    </row>
    <row r="61" spans="3:3" x14ac:dyDescent="0.35">
      <c r="C61" s="27"/>
    </row>
  </sheetData>
  <mergeCells count="1">
    <mergeCell ref="A1:B1"/>
  </mergeCells>
  <conditionalFormatting sqref="C45:C10000">
    <cfRule type="expression" dxfId="2961" priority="49">
      <formula>$B45="Dial"</formula>
    </cfRule>
    <cfRule type="expression" dxfId="2960" priority="51">
      <formula>$B45="HANGUP"</formula>
    </cfRule>
  </conditionalFormatting>
  <conditionalFormatting sqref="B30">
    <cfRule type="containsText" dxfId="2959" priority="4" operator="containsText" text="Hear">
      <formula>NOT(ISERROR(SEARCH("Hear",B30)))</formula>
    </cfRule>
  </conditionalFormatting>
  <conditionalFormatting sqref="B43:B44">
    <cfRule type="containsText" dxfId="2958" priority="14" operator="containsText" text="Hear">
      <formula>NOT(ISERROR(SEARCH("Hear",B43)))</formula>
    </cfRule>
  </conditionalFormatting>
  <conditionalFormatting sqref="E44">
    <cfRule type="containsText" dxfId="2957" priority="12" operator="containsText" text="WEB SERVICE">
      <formula>NOT(ISERROR(SEARCH("WEB SERVICE",E44)))</formula>
    </cfRule>
    <cfRule type="containsText" dxfId="2956" priority="13" operator="containsText" text="DB">
      <formula>NOT(ISERROR(SEARCH("DB",E44)))</formula>
    </cfRule>
  </conditionalFormatting>
  <conditionalFormatting sqref="C44">
    <cfRule type="expression" dxfId="2955" priority="15">
      <formula>$B44="Dial"</formula>
    </cfRule>
    <cfRule type="expression" dxfId="2954" priority="17">
      <formula>$B44="HANGUP"</formula>
    </cfRule>
  </conditionalFormatting>
  <conditionalFormatting sqref="C44">
    <cfRule type="expression" dxfId="2953" priority="16">
      <formula>$B44="Speak"</formula>
    </cfRule>
  </conditionalFormatting>
  <conditionalFormatting sqref="B8:B18">
    <cfRule type="containsText" dxfId="2952" priority="1" operator="containsText" text="Hear">
      <formula>NOT(ISERROR(SEARCH("Hear",B8)))</formula>
    </cfRule>
  </conditionalFormatting>
  <conditionalFormatting sqref="B36:B38 B40:B41">
    <cfRule type="containsText" dxfId="2951" priority="3" operator="containsText" text="Hear">
      <formula>NOT(ISERROR(SEARCH("Hear",B36)))</formula>
    </cfRule>
  </conditionalFormatting>
  <conditionalFormatting sqref="B19:B29 B31:B35 B42">
    <cfRule type="containsText" dxfId="2950" priority="5" operator="containsText" text="Hear">
      <formula>NOT(ISERROR(SEARCH("Hear",B19)))</formula>
    </cfRule>
  </conditionalFormatting>
  <hyperlinks>
    <hyperlink ref="A1" location="'Test Case Overview'!A1" display="Return to Test Case Overview" xr:uid="{00000000-0004-0000-6000-000000000000}"/>
  </hyperlinks>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expression" priority="8" id="{FA6476B7-3BF4-4A2C-AA82-0A67E3E9AC5F}">
            <xm:f>'TC1'!$B8="HANGUP"</xm:f>
            <x14:dxf>
              <font>
                <b/>
                <i val="0"/>
              </font>
            </x14:dxf>
          </x14:cfRule>
          <x14:cfRule type="expression" priority="9" id="{AD36C68B-02CB-48A2-9B54-E1D64CBFBD7A}">
            <xm:f>'TC1'!$B8="Dial"</xm:f>
            <x14:dxf>
              <font>
                <b/>
                <i val="0"/>
                <color rgb="FFFF0000"/>
              </font>
            </x14:dxf>
          </x14:cfRule>
          <xm:sqref>C8</xm:sqref>
        </x14:conditionalFormatting>
        <x14:conditionalFormatting xmlns:xm="http://schemas.microsoft.com/office/excel/2006/main">
          <x14:cfRule type="expression" priority="10" id="{BA6FA1FA-8B51-44F6-9691-CFA93BD2E42D}">
            <xm:f>'TC1'!$B8="Speak"</xm:f>
            <x14:dxf>
              <font>
                <b/>
                <i val="0"/>
                <color rgb="FFFF0000"/>
              </font>
            </x14:dxf>
          </x14:cfRule>
          <xm:sqref>C8</xm:sqref>
        </x14:conditionalFormatting>
        <x14:conditionalFormatting xmlns:xm="http://schemas.microsoft.com/office/excel/2006/main">
          <x14:cfRule type="containsText" priority="2" operator="containsText" text="Hear" id="{0FB73ADD-A28D-490E-9C2B-8CC68D8B4EBF}">
            <xm:f>NOT(ISERROR(SEARCH("Hear",'TC3'!B34)))</xm:f>
            <x14:dxf>
              <font>
                <color theme="9" tint="-0.24994659260841701"/>
              </font>
              <fill>
                <patternFill>
                  <bgColor theme="9" tint="0.59996337778862885"/>
                </patternFill>
              </fill>
            </x14:dxf>
          </x14:cfRule>
          <xm:sqref>B41</xm:sqref>
        </x14:conditionalFormatting>
        <x14:conditionalFormatting xmlns:xm="http://schemas.microsoft.com/office/excel/2006/main">
          <x14:cfRule type="expression" priority="2183" id="{FA6476B7-3BF4-4A2C-AA82-0A67E3E9AC5F}">
            <xm:f>'TC1'!$B16="HANGUP"</xm:f>
            <x14:dxf>
              <font>
                <b/>
                <i val="0"/>
              </font>
            </x14:dxf>
          </x14:cfRule>
          <x14:cfRule type="expression" priority="2184" id="{AD36C68B-02CB-48A2-9B54-E1D64CBFBD7A}">
            <xm:f>'TC1'!$B16="Dial"</xm:f>
            <x14:dxf>
              <font>
                <b/>
                <i val="0"/>
                <color rgb="FFFF0000"/>
              </font>
            </x14:dxf>
          </x14:cfRule>
          <xm:sqref>C34:C43</xm:sqref>
        </x14:conditionalFormatting>
        <x14:conditionalFormatting xmlns:xm="http://schemas.microsoft.com/office/excel/2006/main">
          <x14:cfRule type="expression" priority="2185" id="{FA6476B7-3BF4-4A2C-AA82-0A67E3E9AC5F}">
            <xm:f>'TC1'!#REF!="HANGUP"</xm:f>
            <x14:dxf>
              <font>
                <b/>
                <i val="0"/>
              </font>
            </x14:dxf>
          </x14:cfRule>
          <x14:cfRule type="expression" priority="2186" id="{AD36C68B-02CB-48A2-9B54-E1D64CBFBD7A}">
            <xm:f>'TC1'!#REF!="Dial"</xm:f>
            <x14:dxf>
              <font>
                <b/>
                <i val="0"/>
                <color rgb="FFFF0000"/>
              </font>
            </x14:dxf>
          </x14:cfRule>
          <xm:sqref>C17:C33</xm:sqref>
        </x14:conditionalFormatting>
        <x14:conditionalFormatting xmlns:xm="http://schemas.microsoft.com/office/excel/2006/main">
          <x14:cfRule type="expression" priority="2190" id="{BA6FA1FA-8B51-44F6-9691-CFA93BD2E42D}">
            <xm:f>'TC1'!$B16="Speak"</xm:f>
            <x14:dxf>
              <font>
                <b/>
                <i val="0"/>
                <color rgb="FFFF0000"/>
              </font>
            </x14:dxf>
          </x14:cfRule>
          <xm:sqref>C34:C43</xm:sqref>
        </x14:conditionalFormatting>
        <x14:conditionalFormatting xmlns:xm="http://schemas.microsoft.com/office/excel/2006/main">
          <x14:cfRule type="expression" priority="2191" id="{BA6FA1FA-8B51-44F6-9691-CFA93BD2E42D}">
            <xm:f>'TC1'!#REF!="Speak"</xm:f>
            <x14:dxf>
              <font>
                <b/>
                <i val="0"/>
                <color rgb="FFFF0000"/>
              </font>
            </x14:dxf>
          </x14:cfRule>
          <xm:sqref>C17:C33</xm:sqref>
        </x14:conditionalFormatting>
        <x14:conditionalFormatting xmlns:xm="http://schemas.microsoft.com/office/excel/2006/main">
          <x14:cfRule type="containsText" priority="2195" operator="containsText" text="DB" id="{8FD3144F-59A2-401E-856C-8D63BDB4E300}">
            <xm:f>NOT(ISERROR(SEARCH("DB",'TC1'!E16)))</xm:f>
            <x14:dxf>
              <font>
                <color rgb="FF006100"/>
              </font>
              <fill>
                <patternFill>
                  <bgColor rgb="FFC6EFCE"/>
                </patternFill>
              </fill>
            </x14:dxf>
          </x14:cfRule>
          <x14:cfRule type="containsText" priority="2196" operator="containsText" text="WEB SERVICE" id="{AB7D3479-CBBA-4D73-AFE1-BF3F41304187}">
            <xm:f>NOT(ISERROR(SEARCH("WEB SERVICE",'TC1'!E16)))</xm:f>
            <x14:dxf>
              <font>
                <color rgb="FF9C0006"/>
              </font>
              <fill>
                <patternFill>
                  <bgColor rgb="FFFFC7CE"/>
                </patternFill>
              </fill>
            </x14:dxf>
          </x14:cfRule>
          <xm:sqref>E34:E43</xm:sqref>
        </x14:conditionalFormatting>
        <x14:conditionalFormatting xmlns:xm="http://schemas.microsoft.com/office/excel/2006/main">
          <x14:cfRule type="containsText" priority="2197" operator="containsText" text="DB" id="{8FD3144F-59A2-401E-856C-8D63BDB4E300}">
            <xm:f>NOT(ISERROR(SEARCH("DB",'TC1'!#REF!)))</xm:f>
            <x14:dxf>
              <font>
                <color rgb="FF006100"/>
              </font>
              <fill>
                <patternFill>
                  <bgColor rgb="FFC6EFCE"/>
                </patternFill>
              </fill>
            </x14:dxf>
          </x14:cfRule>
          <x14:cfRule type="containsText" priority="2198" operator="containsText" text="WEB SERVICE" id="{AB7D3479-CBBA-4D73-AFE1-BF3F41304187}">
            <xm:f>NOT(ISERROR(SEARCH("WEB SERVICE",'TC1'!#REF!)))</xm:f>
            <x14:dxf>
              <font>
                <color rgb="FF9C0006"/>
              </font>
              <fill>
                <patternFill>
                  <bgColor rgb="FFFFC7CE"/>
                </patternFill>
              </fill>
            </x14:dxf>
          </x14:cfRule>
          <xm:sqref>E17:E33</xm:sqref>
        </x14:conditionalFormatting>
        <x14:conditionalFormatting xmlns:xm="http://schemas.microsoft.com/office/excel/2006/main">
          <x14:cfRule type="expression" priority="4903" id="{FA6476B7-3BF4-4A2C-AA82-0A67E3E9AC5F}">
            <xm:f>'TC1'!$B9="HANGUP"</xm:f>
            <x14:dxf>
              <font>
                <b/>
                <i val="0"/>
              </font>
            </x14:dxf>
          </x14:cfRule>
          <x14:cfRule type="expression" priority="4904" id="{AD36C68B-02CB-48A2-9B54-E1D64CBFBD7A}">
            <xm:f>'TC1'!$B9="Dial"</xm:f>
            <x14:dxf>
              <font>
                <b/>
                <i val="0"/>
                <color rgb="FFFF0000"/>
              </font>
            </x14:dxf>
          </x14:cfRule>
          <xm:sqref>C12:C15</xm:sqref>
        </x14:conditionalFormatting>
        <x14:conditionalFormatting xmlns:xm="http://schemas.microsoft.com/office/excel/2006/main">
          <x14:cfRule type="expression" priority="4905" id="{FA6476B7-3BF4-4A2C-AA82-0A67E3E9AC5F}">
            <xm:f>'TC1'!#REF!="HANGUP"</xm:f>
            <x14:dxf>
              <font>
                <b/>
                <i val="0"/>
              </font>
            </x14:dxf>
          </x14:cfRule>
          <x14:cfRule type="expression" priority="4906" id="{AD36C68B-02CB-48A2-9B54-E1D64CBFBD7A}">
            <xm:f>'TC1'!#REF!="Dial"</xm:f>
            <x14:dxf>
              <font>
                <b/>
                <i val="0"/>
                <color rgb="FFFF0000"/>
              </font>
            </x14:dxf>
          </x14:cfRule>
          <xm:sqref>C9:C11</xm:sqref>
        </x14:conditionalFormatting>
        <x14:conditionalFormatting xmlns:xm="http://schemas.microsoft.com/office/excel/2006/main">
          <x14:cfRule type="expression" priority="4910" id="{BA6FA1FA-8B51-44F6-9691-CFA93BD2E42D}">
            <xm:f>'TC1'!$B9="Speak"</xm:f>
            <x14:dxf>
              <font>
                <b/>
                <i val="0"/>
                <color rgb="FFFF0000"/>
              </font>
            </x14:dxf>
          </x14:cfRule>
          <xm:sqref>C12:C15</xm:sqref>
        </x14:conditionalFormatting>
        <x14:conditionalFormatting xmlns:xm="http://schemas.microsoft.com/office/excel/2006/main">
          <x14:cfRule type="expression" priority="4911" id="{BA6FA1FA-8B51-44F6-9691-CFA93BD2E42D}">
            <xm:f>'TC1'!#REF!="Speak"</xm:f>
            <x14:dxf>
              <font>
                <b/>
                <i val="0"/>
                <color rgb="FFFF0000"/>
              </font>
            </x14:dxf>
          </x14:cfRule>
          <xm:sqref>C9:C11</xm:sqref>
        </x14:conditionalFormatting>
        <x14:conditionalFormatting xmlns:xm="http://schemas.microsoft.com/office/excel/2006/main">
          <x14:cfRule type="containsText" priority="4913" operator="containsText" text="DB" id="{8FD3144F-59A2-401E-856C-8D63BDB4E300}">
            <xm:f>NOT(ISERROR(SEARCH("DB",'TC1'!#REF!)))</xm:f>
            <x14:dxf>
              <font>
                <color rgb="FF006100"/>
              </font>
              <fill>
                <patternFill>
                  <bgColor rgb="FFC6EFCE"/>
                </patternFill>
              </fill>
            </x14:dxf>
          </x14:cfRule>
          <x14:cfRule type="containsText" priority="4914" operator="containsText" text="WEB SERVICE" id="{AB7D3479-CBBA-4D73-AFE1-BF3F41304187}">
            <xm:f>NOT(ISERROR(SEARCH("WEB SERVICE",'TC1'!#REF!)))</xm:f>
            <x14:dxf>
              <font>
                <color rgb="FF9C0006"/>
              </font>
              <fill>
                <patternFill>
                  <bgColor rgb="FFFFC7CE"/>
                </patternFill>
              </fill>
            </x14:dxf>
          </x14:cfRule>
          <xm:sqref>E9:E11</xm:sqref>
        </x14:conditionalFormatting>
        <x14:conditionalFormatting xmlns:xm="http://schemas.microsoft.com/office/excel/2006/main">
          <x14:cfRule type="containsText" priority="4915" operator="containsText" text="DB" id="{8FD3144F-59A2-401E-856C-8D63BDB4E300}">
            <xm:f>NOT(ISERROR(SEARCH("DB",'TC1'!E9)))</xm:f>
            <x14:dxf>
              <font>
                <color rgb="FF006100"/>
              </font>
              <fill>
                <patternFill>
                  <bgColor rgb="FFC6EFCE"/>
                </patternFill>
              </fill>
            </x14:dxf>
          </x14:cfRule>
          <x14:cfRule type="containsText" priority="4916" operator="containsText" text="WEB SERVICE" id="{AB7D3479-CBBA-4D73-AFE1-BF3F41304187}">
            <xm:f>NOT(ISERROR(SEARCH("WEB SERVICE",'TC1'!E9)))</xm:f>
            <x14:dxf>
              <font>
                <color rgb="FF9C0006"/>
              </font>
              <fill>
                <patternFill>
                  <bgColor rgb="FFFFC7CE"/>
                </patternFill>
              </fill>
            </x14:dxf>
          </x14:cfRule>
          <xm:sqref>E12:E15</xm:sqref>
        </x14:conditionalFormatting>
        <x14:conditionalFormatting xmlns:xm="http://schemas.microsoft.com/office/excel/2006/main">
          <x14:cfRule type="expression" priority="7265" id="{FA6476B7-3BF4-4A2C-AA82-0A67E3E9AC5F}">
            <xm:f>'TC1'!$B15="HANGUP"</xm:f>
            <x14:dxf>
              <font>
                <b/>
                <i val="0"/>
              </font>
            </x14:dxf>
          </x14:cfRule>
          <x14:cfRule type="expression" priority="7266" id="{AD36C68B-02CB-48A2-9B54-E1D64CBFBD7A}">
            <xm:f>'TC1'!$B15="Dial"</xm:f>
            <x14:dxf>
              <font>
                <b/>
                <i val="0"/>
                <color rgb="FFFF0000"/>
              </font>
            </x14:dxf>
          </x14:cfRule>
          <xm:sqref>C16</xm:sqref>
        </x14:conditionalFormatting>
        <x14:conditionalFormatting xmlns:xm="http://schemas.microsoft.com/office/excel/2006/main">
          <x14:cfRule type="expression" priority="7268" id="{BA6FA1FA-8B51-44F6-9691-CFA93BD2E42D}">
            <xm:f>'TC1'!$B15="Speak"</xm:f>
            <x14:dxf>
              <font>
                <b/>
                <i val="0"/>
                <color rgb="FFFF0000"/>
              </font>
            </x14:dxf>
          </x14:cfRule>
          <xm:sqref>C16</xm:sqref>
        </x14:conditionalFormatting>
        <x14:conditionalFormatting xmlns:xm="http://schemas.microsoft.com/office/excel/2006/main">
          <x14:cfRule type="containsText" priority="7271" operator="containsText" text="DB" id="{8FD3144F-59A2-401E-856C-8D63BDB4E300}">
            <xm:f>NOT(ISERROR(SEARCH("DB",'TC1'!E15)))</xm:f>
            <x14:dxf>
              <font>
                <color rgb="FF006100"/>
              </font>
              <fill>
                <patternFill>
                  <bgColor rgb="FFC6EFCE"/>
                </patternFill>
              </fill>
            </x14:dxf>
          </x14:cfRule>
          <x14:cfRule type="containsText" priority="7272" operator="containsText" text="WEB SERVICE" id="{AB7D3479-CBBA-4D73-AFE1-BF3F41304187}">
            <xm:f>NOT(ISERROR(SEARCH("WEB SERVICE",'TC1'!E15)))</xm:f>
            <x14:dxf>
              <font>
                <color rgb="FF9C0006"/>
              </font>
              <fill>
                <patternFill>
                  <bgColor rgb="FFFFC7CE"/>
                </patternFill>
              </fill>
            </x14:dxf>
          </x14:cfRule>
          <xm:sqref>E16</xm:sqref>
        </x14:conditionalFormatting>
        <x14:conditionalFormatting xmlns:xm="http://schemas.microsoft.com/office/excel/2006/main">
          <x14:cfRule type="containsText" priority="9754" operator="containsText" text="Hear" id="{BB892CAE-8068-4264-884E-DB26AD166587}">
            <xm:f>NOT(ISERROR(SEARCH("Hear",'TC26'!#REF!)))</xm:f>
            <x14:dxf>
              <font>
                <color theme="9" tint="-0.24994659260841701"/>
              </font>
              <fill>
                <patternFill>
                  <bgColor theme="9" tint="0.59996337778862885"/>
                </patternFill>
              </fill>
            </x14:dxf>
          </x14:cfRule>
          <xm:sqref>B39</xm:sqref>
        </x14:conditionalFormatting>
      </x14:conditionalFormattings>
    </ext>
  </extLst>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100-000000000000}">
  <sheetPr codeName="Sheet99"/>
  <dimension ref="A1:E58"/>
  <sheetViews>
    <sheetView zoomScaleNormal="100" workbookViewId="0">
      <selection activeCell="A2" sqref="A2"/>
    </sheetView>
  </sheetViews>
  <sheetFormatPr defaultRowHeight="14.5" x14ac:dyDescent="0.35"/>
  <cols>
    <col min="1" max="1" width="14.453125" style="97" bestFit="1" customWidth="1"/>
    <col min="2" max="2" width="42.6328125" style="97" customWidth="1"/>
    <col min="3" max="3" width="106.1796875" style="98" customWidth="1"/>
    <col min="4" max="4" width="21.81640625" style="111" bestFit="1" customWidth="1"/>
    <col min="5" max="5" width="20.6328125" style="97" customWidth="1"/>
  </cols>
  <sheetData>
    <row r="1" spans="1:5" ht="18.5" x14ac:dyDescent="0.35">
      <c r="A1" s="192" t="s">
        <v>4</v>
      </c>
      <c r="B1" s="192"/>
      <c r="C1" s="105"/>
    </row>
    <row r="2" spans="1:5" x14ac:dyDescent="0.35">
      <c r="A2" s="106" t="s">
        <v>5</v>
      </c>
      <c r="B2" s="107" t="str">
        <f ca="1">MID(CELL("filename",A1),FIND("]",CELL("filename",A1))+1,LEN(CELL("filename",A1))-FIND("]",CELL("filename",A1)))</f>
        <v>TC97</v>
      </c>
    </row>
    <row r="3" spans="1:5" x14ac:dyDescent="0.35">
      <c r="A3" s="104" t="s">
        <v>19</v>
      </c>
      <c r="B3" s="112">
        <f ca="1">VLOOKUP(B2,Table53[#All],2,FALSE)</f>
        <v>0</v>
      </c>
    </row>
    <row r="4" spans="1:5" ht="29" x14ac:dyDescent="0.35">
      <c r="A4" s="113" t="s">
        <v>20</v>
      </c>
      <c r="B4" s="99">
        <f ca="1">VLOOKUP(B2,Table53[#All],4,FALSE)</f>
        <v>0</v>
      </c>
    </row>
    <row r="5" spans="1:5" ht="29" customHeight="1" x14ac:dyDescent="0.35">
      <c r="A5" s="104" t="s">
        <v>6</v>
      </c>
      <c r="B5" s="77">
        <f ca="1">VLOOKUP(B2,Table53[#All],3,FALSE)</f>
        <v>0</v>
      </c>
    </row>
    <row r="7" spans="1:5" ht="15.5" x14ac:dyDescent="0.35">
      <c r="A7" s="100" t="s">
        <v>7</v>
      </c>
      <c r="B7" s="101" t="s">
        <v>8</v>
      </c>
      <c r="C7" s="102" t="s">
        <v>9</v>
      </c>
      <c r="D7" s="102" t="s">
        <v>14</v>
      </c>
      <c r="E7" s="103" t="s">
        <v>10</v>
      </c>
    </row>
    <row r="8" spans="1:5" x14ac:dyDescent="0.35">
      <c r="A8" s="118">
        <v>1</v>
      </c>
      <c r="B8" s="114" t="s">
        <v>114</v>
      </c>
      <c r="C8" s="109" t="s">
        <v>125</v>
      </c>
      <c r="D8" s="128"/>
      <c r="E8" s="125" t="s">
        <v>11</v>
      </c>
    </row>
    <row r="9" spans="1:5" s="97" customFormat="1" x14ac:dyDescent="0.35">
      <c r="A9" s="118">
        <v>2</v>
      </c>
      <c r="B9" s="114" t="s">
        <v>12</v>
      </c>
      <c r="C9" s="109" t="e">
        <f>VLOOKUP(Table25751989[[#This Row],[PEG]],Table1016[#All],2,FALSE)</f>
        <v>#N/A</v>
      </c>
      <c r="D9" s="128"/>
      <c r="E9" s="125" t="e">
        <f>VLOOKUP(Table25751989[[#This Row],[PEG]],Table1016[#All],3,FALSE)</f>
        <v>#N/A</v>
      </c>
    </row>
    <row r="10" spans="1:5" s="97" customFormat="1" x14ac:dyDescent="0.35">
      <c r="A10" s="118">
        <v>3</v>
      </c>
      <c r="B10" s="114" t="s">
        <v>115</v>
      </c>
      <c r="C10" s="109" t="e">
        <f>VLOOKUP(Table25751989[[#This Row],[PEG]],Table1016[#All],2,FALSE)</f>
        <v>#N/A</v>
      </c>
      <c r="D10" s="128"/>
      <c r="E10" s="125" t="e">
        <f>VLOOKUP(Table25751989[[#This Row],[PEG]],Table1016[#All],3,FALSE)</f>
        <v>#N/A</v>
      </c>
    </row>
    <row r="11" spans="1:5" s="97" customFormat="1" x14ac:dyDescent="0.35">
      <c r="A11" s="118">
        <v>4</v>
      </c>
      <c r="B11" s="114" t="s">
        <v>115</v>
      </c>
      <c r="C11" s="109" t="e">
        <f>VLOOKUP(Table25751989[[#This Row],[PEG]],Table1016[#All],2,FALSE)</f>
        <v>#N/A</v>
      </c>
      <c r="D11" s="128"/>
      <c r="E11" s="125" t="e">
        <f>VLOOKUP(Table25751989[[#This Row],[PEG]],Table1016[#All],3,FALSE)</f>
        <v>#N/A</v>
      </c>
    </row>
    <row r="12" spans="1:5" s="97" customFormat="1" x14ac:dyDescent="0.35">
      <c r="A12" s="118">
        <v>5</v>
      </c>
      <c r="B12" s="114" t="s">
        <v>114</v>
      </c>
      <c r="C12" s="109" t="e">
        <f>VLOOKUP(Table25751989[[#This Row],[PEG]],Table1016[#All],2,FALSE)</f>
        <v>#N/A</v>
      </c>
      <c r="D12" s="128"/>
      <c r="E12" s="125" t="e">
        <f>VLOOKUP(Table25751989[[#This Row],[PEG]],Table1016[#All],3,FALSE)</f>
        <v>#N/A</v>
      </c>
    </row>
    <row r="13" spans="1:5" s="97" customFormat="1" x14ac:dyDescent="0.35">
      <c r="A13" s="118">
        <v>6</v>
      </c>
      <c r="B13" s="114" t="s">
        <v>115</v>
      </c>
      <c r="C13" s="109" t="e">
        <f>VLOOKUP(Table25751989[[#This Row],[PEG]],Table1016[#All],2,FALSE)</f>
        <v>#N/A</v>
      </c>
      <c r="D13" s="128"/>
      <c r="E13" s="125" t="e">
        <f>VLOOKUP(Table25751989[[#This Row],[PEG]],Table1016[#All],3,FALSE)</f>
        <v>#N/A</v>
      </c>
    </row>
    <row r="14" spans="1:5" s="97" customFormat="1" x14ac:dyDescent="0.35">
      <c r="A14" s="118">
        <v>7</v>
      </c>
      <c r="B14" s="114" t="s">
        <v>114</v>
      </c>
      <c r="C14" s="109" t="e">
        <f>VLOOKUP(Table25751989[[#This Row],[PEG]],Table1016[#All],2,FALSE)</f>
        <v>#N/A</v>
      </c>
      <c r="D14" s="128"/>
      <c r="E14" s="125" t="e">
        <f>VLOOKUP(Table25751989[[#This Row],[PEG]],Table1016[#All],3,FALSE)</f>
        <v>#N/A</v>
      </c>
    </row>
    <row r="15" spans="1:5" x14ac:dyDescent="0.35">
      <c r="A15" s="118">
        <v>8</v>
      </c>
      <c r="B15" s="114" t="s">
        <v>115</v>
      </c>
      <c r="C15" s="109" t="e">
        <f>VLOOKUP(Table25751989[[#This Row],[PEG]],Table1016[#All],2,FALSE)</f>
        <v>#N/A</v>
      </c>
      <c r="D15" s="116"/>
      <c r="E15" s="125" t="e">
        <f>VLOOKUP(Table25751989[[#This Row],[PEG]],Table1016[#All],3,FALSE)</f>
        <v>#N/A</v>
      </c>
    </row>
    <row r="16" spans="1:5" x14ac:dyDescent="0.35">
      <c r="A16" s="118">
        <v>9</v>
      </c>
      <c r="B16" s="114" t="s">
        <v>12</v>
      </c>
      <c r="C16" s="109" t="e">
        <f>VLOOKUP(Table25751989[[#This Row],[PEG]],Table1016[#All],2,FALSE)</f>
        <v>#N/A</v>
      </c>
      <c r="D16" s="116"/>
      <c r="E16" s="125" t="e">
        <f>VLOOKUP(Table25751989[[#This Row],[PEG]],Table1016[#All],3,FALSE)</f>
        <v>#N/A</v>
      </c>
    </row>
    <row r="17" spans="1:5" x14ac:dyDescent="0.35">
      <c r="A17" s="118">
        <v>10</v>
      </c>
      <c r="B17" s="114" t="s">
        <v>12</v>
      </c>
      <c r="C17" s="109" t="e">
        <f>VLOOKUP(Table25751989[[#This Row],[PEG]],Table1016[#All],2,FALSE)</f>
        <v>#N/A</v>
      </c>
      <c r="D17" s="117"/>
      <c r="E17" s="125" t="e">
        <f>VLOOKUP(Table25751989[[#This Row],[PEG]],Table1016[#All],3,FALSE)</f>
        <v>#N/A</v>
      </c>
    </row>
    <row r="18" spans="1:5" x14ac:dyDescent="0.35">
      <c r="A18" s="118">
        <v>11</v>
      </c>
      <c r="B18" s="114" t="s">
        <v>115</v>
      </c>
      <c r="C18" s="109" t="e">
        <f>VLOOKUP(Table25751989[[#This Row],[PEG]],Table1016[#All],2,FALSE)</f>
        <v>#N/A</v>
      </c>
      <c r="D18" s="117"/>
      <c r="E18" s="125" t="e">
        <f>VLOOKUP(Table25751989[[#This Row],[PEG]],Table1016[#All],3,FALSE)</f>
        <v>#N/A</v>
      </c>
    </row>
    <row r="19" spans="1:5" x14ac:dyDescent="0.35">
      <c r="A19" s="118">
        <v>12</v>
      </c>
      <c r="B19" s="114" t="s">
        <v>115</v>
      </c>
      <c r="C19" s="109" t="e">
        <f>VLOOKUP(Table25751989[[#This Row],[PEG]],Table1016[#All],2,FALSE)</f>
        <v>#N/A</v>
      </c>
      <c r="D19" s="117"/>
      <c r="E19" s="125" t="e">
        <f>VLOOKUP(Table25751989[[#This Row],[PEG]],Table1016[#All],3,FALSE)</f>
        <v>#N/A</v>
      </c>
    </row>
    <row r="20" spans="1:5" x14ac:dyDescent="0.35">
      <c r="A20" s="118">
        <v>13</v>
      </c>
      <c r="B20" s="114" t="s">
        <v>114</v>
      </c>
      <c r="C20" s="109" t="e">
        <f>VLOOKUP(Table25751989[[#This Row],[PEG]],Table1016[#All],2,FALSE)</f>
        <v>#N/A</v>
      </c>
      <c r="D20" s="117"/>
      <c r="E20" s="125" t="e">
        <f>VLOOKUP(Table25751989[[#This Row],[PEG]],Table1016[#All],3,FALSE)</f>
        <v>#N/A</v>
      </c>
    </row>
    <row r="21" spans="1:5" x14ac:dyDescent="0.35">
      <c r="A21" s="118">
        <v>14</v>
      </c>
      <c r="B21" s="114" t="s">
        <v>12</v>
      </c>
      <c r="C21" s="109" t="e">
        <f>VLOOKUP(Table25751989[[#This Row],[PEG]],Table1016[#All],2,FALSE)</f>
        <v>#N/A</v>
      </c>
      <c r="D21" s="117"/>
      <c r="E21" s="125" t="e">
        <f>VLOOKUP(Table25751989[[#This Row],[PEG]],Table1016[#All],3,FALSE)</f>
        <v>#N/A</v>
      </c>
    </row>
    <row r="22" spans="1:5" x14ac:dyDescent="0.35">
      <c r="A22" s="118">
        <v>15</v>
      </c>
      <c r="B22" s="114" t="s">
        <v>12</v>
      </c>
      <c r="C22" s="109" t="e">
        <f>VLOOKUP(Table25751989[[#This Row],[PEG]],Table1016[#All],2,FALSE)</f>
        <v>#N/A</v>
      </c>
      <c r="D22" s="117"/>
      <c r="E22" s="125" t="e">
        <f>VLOOKUP(Table25751989[[#This Row],[PEG]],Table1016[#All],3,FALSE)</f>
        <v>#N/A</v>
      </c>
    </row>
    <row r="23" spans="1:5" x14ac:dyDescent="0.35">
      <c r="A23" s="118">
        <v>16</v>
      </c>
      <c r="B23" s="114" t="s">
        <v>115</v>
      </c>
      <c r="C23" s="109" t="e">
        <f>VLOOKUP(Table25751989[[#This Row],[PEG]],Table1016[#All],2,FALSE)</f>
        <v>#N/A</v>
      </c>
      <c r="D23" s="117"/>
      <c r="E23" s="125" t="e">
        <f>VLOOKUP(Table25751989[[#This Row],[PEG]],Table1016[#All],3,FALSE)</f>
        <v>#N/A</v>
      </c>
    </row>
    <row r="24" spans="1:5" x14ac:dyDescent="0.35">
      <c r="A24" s="118">
        <v>17</v>
      </c>
      <c r="B24" s="114" t="s">
        <v>114</v>
      </c>
      <c r="C24" s="109" t="e">
        <f>VLOOKUP(Table25751989[[#This Row],[PEG]],Table1016[#All],2,FALSE)</f>
        <v>#N/A</v>
      </c>
      <c r="D24" s="117"/>
      <c r="E24" s="125" t="e">
        <f>VLOOKUP(Table25751989[[#This Row],[PEG]],Table1016[#All],3,FALSE)</f>
        <v>#N/A</v>
      </c>
    </row>
    <row r="25" spans="1:5" s="97" customFormat="1" x14ac:dyDescent="0.35">
      <c r="A25" s="118">
        <v>18</v>
      </c>
      <c r="B25" s="114" t="s">
        <v>12</v>
      </c>
      <c r="C25" s="109" t="e">
        <f>VLOOKUP(Table25751989[[#This Row],[PEG]],Table1016[#All],2,FALSE)</f>
        <v>#N/A</v>
      </c>
      <c r="D25" s="117"/>
      <c r="E25" s="125" t="e">
        <f>VLOOKUP(Table25751989[[#This Row],[PEG]],Table1016[#All],3,FALSE)</f>
        <v>#N/A</v>
      </c>
    </row>
    <row r="26" spans="1:5" x14ac:dyDescent="0.35">
      <c r="A26" s="118">
        <v>19</v>
      </c>
      <c r="B26" s="114" t="s">
        <v>12</v>
      </c>
      <c r="C26" s="109" t="e">
        <f>VLOOKUP(Table25751989[[#This Row],[PEG]],Table1016[#All],2,FALSE)</f>
        <v>#N/A</v>
      </c>
      <c r="D26" s="117"/>
      <c r="E26" s="125" t="e">
        <f>VLOOKUP(Table25751989[[#This Row],[PEG]],Table1016[#All],3,FALSE)</f>
        <v>#N/A</v>
      </c>
    </row>
    <row r="27" spans="1:5" x14ac:dyDescent="0.35">
      <c r="A27" s="118">
        <v>20</v>
      </c>
      <c r="B27" s="114" t="s">
        <v>115</v>
      </c>
      <c r="C27" s="109" t="e">
        <f>VLOOKUP(Table25751989[[#This Row],[PEG]],Table1016[#All],2,FALSE)</f>
        <v>#N/A</v>
      </c>
      <c r="D27" s="117"/>
      <c r="E27" s="125" t="e">
        <f>VLOOKUP(Table25751989[[#This Row],[PEG]],Table1016[#All],3,FALSE)</f>
        <v>#N/A</v>
      </c>
    </row>
    <row r="28" spans="1:5" x14ac:dyDescent="0.35">
      <c r="A28" s="118">
        <v>21</v>
      </c>
      <c r="B28" s="114" t="s">
        <v>114</v>
      </c>
      <c r="C28" s="109" t="e">
        <f>VLOOKUP(Table25751989[[#This Row],[PEG]],Table1016[#All],2,FALSE)</f>
        <v>#N/A</v>
      </c>
      <c r="D28" s="117"/>
      <c r="E28" s="125" t="e">
        <f>VLOOKUP(Table25751989[[#This Row],[PEG]],Table1016[#All],3,FALSE)</f>
        <v>#N/A</v>
      </c>
    </row>
    <row r="29" spans="1:5" x14ac:dyDescent="0.35">
      <c r="A29" s="118">
        <v>22</v>
      </c>
      <c r="B29" s="114" t="s">
        <v>12</v>
      </c>
      <c r="C29" s="109" t="e">
        <f>VLOOKUP(Table25751989[[#This Row],[PEG]],Table1016[#All],2,FALSE)</f>
        <v>#N/A</v>
      </c>
      <c r="D29" s="117"/>
      <c r="E29" s="125" t="e">
        <f>VLOOKUP(Table25751989[[#This Row],[PEG]],Table1016[#All],3,FALSE)</f>
        <v>#N/A</v>
      </c>
    </row>
    <row r="30" spans="1:5" x14ac:dyDescent="0.35">
      <c r="A30" s="118">
        <v>23</v>
      </c>
      <c r="B30" s="114" t="s">
        <v>12</v>
      </c>
      <c r="C30" s="109" t="e">
        <f>VLOOKUP(Table25751989[[#This Row],[PEG]],Table1016[#All],2,FALSE)</f>
        <v>#N/A</v>
      </c>
      <c r="D30" s="117"/>
      <c r="E30" s="125" t="e">
        <f>VLOOKUP(Table25751989[[#This Row],[PEG]],Table1016[#All],3,FALSE)</f>
        <v>#N/A</v>
      </c>
    </row>
    <row r="31" spans="1:5" x14ac:dyDescent="0.35">
      <c r="A31" s="118">
        <v>24</v>
      </c>
      <c r="B31" s="114" t="s">
        <v>115</v>
      </c>
      <c r="C31" s="109" t="e">
        <f>VLOOKUP(Table25751989[[#This Row],[PEG]],Table1016[#All],2,FALSE)</f>
        <v>#N/A</v>
      </c>
      <c r="D31" s="117"/>
      <c r="E31" s="125" t="e">
        <f>VLOOKUP(Table25751989[[#This Row],[PEG]],Table1016[#All],3,FALSE)</f>
        <v>#N/A</v>
      </c>
    </row>
    <row r="32" spans="1:5" x14ac:dyDescent="0.35">
      <c r="A32" s="118">
        <v>25</v>
      </c>
      <c r="B32" s="114" t="s">
        <v>115</v>
      </c>
      <c r="C32" s="109" t="e">
        <f>VLOOKUP(Table25751989[[#This Row],[PEG]],Table1016[#All],2,FALSE)</f>
        <v>#N/A</v>
      </c>
      <c r="D32" s="117"/>
      <c r="E32" s="125" t="e">
        <f>VLOOKUP(Table25751989[[#This Row],[PEG]],Table1016[#All],3,FALSE)</f>
        <v>#N/A</v>
      </c>
    </row>
    <row r="33" spans="1:5" x14ac:dyDescent="0.35">
      <c r="A33" s="118">
        <v>26</v>
      </c>
      <c r="B33" s="114" t="s">
        <v>124</v>
      </c>
      <c r="C33" s="109" t="e">
        <f>VLOOKUP(Table25751989[[#This Row],[PEG]],Table1016[#All],2,FALSE)</f>
        <v>#N/A</v>
      </c>
      <c r="D33" s="117"/>
      <c r="E33" s="125" t="e">
        <f>VLOOKUP(Table25751989[[#This Row],[PEG]],Table1016[#All],3,FALSE)</f>
        <v>#N/A</v>
      </c>
    </row>
    <row r="34" spans="1:5" x14ac:dyDescent="0.35">
      <c r="A34" s="118">
        <v>27</v>
      </c>
      <c r="B34" s="114" t="s">
        <v>115</v>
      </c>
      <c r="C34" s="109" t="e">
        <f>VLOOKUP(Table25751989[[#This Row],[PEG]],Table1016[#All],2,FALSE)</f>
        <v>#N/A</v>
      </c>
      <c r="D34" s="117"/>
      <c r="E34" s="125" t="e">
        <f>VLOOKUP(Table25751989[[#This Row],[PEG]],Table1016[#All],3,FALSE)</f>
        <v>#N/A</v>
      </c>
    </row>
    <row r="35" spans="1:5" x14ac:dyDescent="0.35">
      <c r="A35" s="118">
        <v>28</v>
      </c>
      <c r="B35" s="114" t="s">
        <v>124</v>
      </c>
      <c r="C35" s="109" t="e">
        <f>VLOOKUP(Table25751989[[#This Row],[PEG]],Table1016[#All],2,FALSE)</f>
        <v>#N/A</v>
      </c>
      <c r="D35" s="117"/>
      <c r="E35" s="125" t="e">
        <f>VLOOKUP(Table25751989[[#This Row],[PEG]],Table1016[#All],3,FALSE)</f>
        <v>#N/A</v>
      </c>
    </row>
    <row r="36" spans="1:5" x14ac:dyDescent="0.35">
      <c r="A36" s="118">
        <v>29</v>
      </c>
      <c r="B36" s="114" t="s">
        <v>115</v>
      </c>
      <c r="C36" s="109" t="e">
        <f>VLOOKUP(Table25751989[[#This Row],[PEG]],Table1016[#All],2,FALSE)</f>
        <v>#N/A</v>
      </c>
      <c r="D36" s="117"/>
      <c r="E36" s="125" t="e">
        <f>VLOOKUP(Table25751989[[#This Row],[PEG]],Table1016[#All],3,FALSE)</f>
        <v>#N/A</v>
      </c>
    </row>
    <row r="37" spans="1:5" x14ac:dyDescent="0.35">
      <c r="A37" s="118">
        <v>30</v>
      </c>
      <c r="B37" s="114" t="s">
        <v>12</v>
      </c>
      <c r="C37" s="109" t="e">
        <f>VLOOKUP(Table25751989[[#This Row],[PEG]],Table1016[#All],2,FALSE)</f>
        <v>#N/A</v>
      </c>
      <c r="D37" s="117"/>
      <c r="E37" s="125" t="e">
        <f>VLOOKUP(Table25751989[[#This Row],[PEG]],Table1016[#All],3,FALSE)</f>
        <v>#N/A</v>
      </c>
    </row>
    <row r="38" spans="1:5" x14ac:dyDescent="0.35">
      <c r="A38" s="118">
        <v>31</v>
      </c>
      <c r="B38" s="114" t="s">
        <v>12</v>
      </c>
      <c r="C38" s="109" t="e">
        <f>VLOOKUP(Table25751989[[#This Row],[PEG]],Table1016[#All],2,FALSE)</f>
        <v>#N/A</v>
      </c>
      <c r="D38" s="117"/>
      <c r="E38" s="125" t="e">
        <f>VLOOKUP(Table25751989[[#This Row],[PEG]],Table1016[#All],3,FALSE)</f>
        <v>#N/A</v>
      </c>
    </row>
    <row r="39" spans="1:5" x14ac:dyDescent="0.35">
      <c r="A39" s="118">
        <v>32</v>
      </c>
      <c r="B39" s="114" t="s">
        <v>12</v>
      </c>
      <c r="C39" s="109" t="e">
        <f>VLOOKUP(Table25751989[[#This Row],[PEG]],Table1016[#All],2,FALSE)</f>
        <v>#N/A</v>
      </c>
      <c r="D39" s="117"/>
      <c r="E39" s="125" t="e">
        <f>VLOOKUP(Table25751989[[#This Row],[PEG]],Table1016[#All],3,FALSE)</f>
        <v>#N/A</v>
      </c>
    </row>
    <row r="40" spans="1:5" x14ac:dyDescent="0.35">
      <c r="A40" s="118">
        <v>33</v>
      </c>
      <c r="B40" s="114" t="s">
        <v>12</v>
      </c>
      <c r="C40" s="109" t="e">
        <f>VLOOKUP(Table25751989[[#This Row],[PEG]],Table1016[#All],2,FALSE)</f>
        <v>#N/A</v>
      </c>
      <c r="D40" s="117"/>
      <c r="E40" s="125" t="e">
        <f>VLOOKUP(Table25751989[[#This Row],[PEG]],Table1016[#All],3,FALSE)</f>
        <v>#N/A</v>
      </c>
    </row>
    <row r="41" spans="1:5" x14ac:dyDescent="0.35">
      <c r="A41" s="118">
        <v>34</v>
      </c>
      <c r="B41" s="114" t="s">
        <v>115</v>
      </c>
      <c r="C41" s="109" t="e">
        <f>VLOOKUP(Table25751989[[#This Row],[PEG]],Table1016[#All],2,FALSE)</f>
        <v>#N/A</v>
      </c>
      <c r="D41" s="117"/>
      <c r="E41" s="125" t="e">
        <f>VLOOKUP(Table25751989[[#This Row],[PEG]],Table1016[#All],3,FALSE)</f>
        <v>#N/A</v>
      </c>
    </row>
    <row r="42" spans="1:5" x14ac:dyDescent="0.35">
      <c r="A42" s="118">
        <v>35</v>
      </c>
      <c r="B42" s="114" t="s">
        <v>12</v>
      </c>
      <c r="C42" s="109" t="e">
        <f>VLOOKUP(Table25751989[[#This Row],[PEG]],Table1016[#All],2,FALSE)</f>
        <v>#N/A</v>
      </c>
      <c r="D42" s="115"/>
      <c r="E42" s="125" t="e">
        <f>VLOOKUP(Table25751989[[#This Row],[PEG]],Table1016[#All],3,FALSE)</f>
        <v>#N/A</v>
      </c>
    </row>
    <row r="43" spans="1:5" x14ac:dyDescent="0.35">
      <c r="A43" s="118">
        <v>36</v>
      </c>
      <c r="B43" s="114" t="s">
        <v>115</v>
      </c>
      <c r="C43" s="109" t="e">
        <f>VLOOKUP(Table25751989[[#This Row],[PEG]],Table1016[#All],2,FALSE)</f>
        <v>#N/A</v>
      </c>
      <c r="D43" s="115"/>
      <c r="E43" s="125" t="e">
        <f>VLOOKUP(Table25751989[[#This Row],[PEG]],Table1016[#All],3,FALSE)</f>
        <v>#N/A</v>
      </c>
    </row>
    <row r="44" spans="1:5" x14ac:dyDescent="0.35">
      <c r="A44" s="118">
        <v>37</v>
      </c>
      <c r="B44" s="114" t="s">
        <v>13</v>
      </c>
      <c r="C44" s="18" t="s">
        <v>13</v>
      </c>
      <c r="D44" s="115"/>
      <c r="E44" s="32"/>
    </row>
    <row r="45" spans="1:5" x14ac:dyDescent="0.35">
      <c r="C45" s="26"/>
    </row>
    <row r="46" spans="1:5" x14ac:dyDescent="0.35">
      <c r="C46" s="26"/>
    </row>
    <row r="47" spans="1:5" x14ac:dyDescent="0.35">
      <c r="C47" s="26"/>
    </row>
    <row r="48" spans="1:5" x14ac:dyDescent="0.35">
      <c r="C48" s="26"/>
    </row>
    <row r="49" spans="3:3" x14ac:dyDescent="0.35">
      <c r="C49" s="26"/>
    </row>
    <row r="50" spans="3:3" x14ac:dyDescent="0.35">
      <c r="C50" s="26"/>
    </row>
    <row r="51" spans="3:3" x14ac:dyDescent="0.35">
      <c r="C51" s="26"/>
    </row>
    <row r="52" spans="3:3" x14ac:dyDescent="0.35">
      <c r="C52" s="26"/>
    </row>
    <row r="53" spans="3:3" x14ac:dyDescent="0.35">
      <c r="C53" s="26"/>
    </row>
    <row r="54" spans="3:3" x14ac:dyDescent="0.35">
      <c r="C54" s="26"/>
    </row>
    <row r="55" spans="3:3" x14ac:dyDescent="0.35">
      <c r="C55" s="26"/>
    </row>
    <row r="56" spans="3:3" x14ac:dyDescent="0.35">
      <c r="C56" s="27"/>
    </row>
    <row r="57" spans="3:3" x14ac:dyDescent="0.35">
      <c r="C57" s="27"/>
    </row>
    <row r="58" spans="3:3" x14ac:dyDescent="0.35">
      <c r="C58" s="27"/>
    </row>
  </sheetData>
  <mergeCells count="1">
    <mergeCell ref="A1:B1"/>
  </mergeCells>
  <conditionalFormatting sqref="C45:C9997">
    <cfRule type="expression" dxfId="2919" priority="49">
      <formula>$B45="Dial"</formula>
    </cfRule>
    <cfRule type="expression" dxfId="2918" priority="51">
      <formula>$B45="HANGUP"</formula>
    </cfRule>
  </conditionalFormatting>
  <conditionalFormatting sqref="B30">
    <cfRule type="containsText" dxfId="2917" priority="4" operator="containsText" text="Hear">
      <formula>NOT(ISERROR(SEARCH("Hear",B30)))</formula>
    </cfRule>
  </conditionalFormatting>
  <conditionalFormatting sqref="B43:B44">
    <cfRule type="containsText" dxfId="2916" priority="14" operator="containsText" text="Hear">
      <formula>NOT(ISERROR(SEARCH("Hear",B43)))</formula>
    </cfRule>
  </conditionalFormatting>
  <conditionalFormatting sqref="E44">
    <cfRule type="containsText" dxfId="2915" priority="12" operator="containsText" text="WEB SERVICE">
      <formula>NOT(ISERROR(SEARCH("WEB SERVICE",E44)))</formula>
    </cfRule>
    <cfRule type="containsText" dxfId="2914" priority="13" operator="containsText" text="DB">
      <formula>NOT(ISERROR(SEARCH("DB",E44)))</formula>
    </cfRule>
  </conditionalFormatting>
  <conditionalFormatting sqref="C44">
    <cfRule type="expression" dxfId="2913" priority="15">
      <formula>$B44="Dial"</formula>
    </cfRule>
    <cfRule type="expression" dxfId="2912" priority="17">
      <formula>$B44="HANGUP"</formula>
    </cfRule>
  </conditionalFormatting>
  <conditionalFormatting sqref="C44">
    <cfRule type="expression" dxfId="2911" priority="16">
      <formula>$B44="Speak"</formula>
    </cfRule>
  </conditionalFormatting>
  <conditionalFormatting sqref="B8:B18">
    <cfRule type="containsText" dxfId="2910" priority="1" operator="containsText" text="Hear">
      <formula>NOT(ISERROR(SEARCH("Hear",B8)))</formula>
    </cfRule>
  </conditionalFormatting>
  <conditionalFormatting sqref="B36:B38 B40:B41">
    <cfRule type="containsText" dxfId="2909" priority="3" operator="containsText" text="Hear">
      <formula>NOT(ISERROR(SEARCH("Hear",B36)))</formula>
    </cfRule>
  </conditionalFormatting>
  <conditionalFormatting sqref="B19:B29 B31:B35 B42">
    <cfRule type="containsText" dxfId="2908" priority="5" operator="containsText" text="Hear">
      <formula>NOT(ISERROR(SEARCH("Hear",B19)))</formula>
    </cfRule>
  </conditionalFormatting>
  <hyperlinks>
    <hyperlink ref="A1" location="'Test Case Overview'!A1" display="Return to Test Case Overview" xr:uid="{00000000-0004-0000-6100-000000000000}"/>
  </hyperlinks>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expression" priority="8" id="{EF35C59F-6F23-4B16-90EE-872A29ADEAFC}">
            <xm:f>'TC1'!$B8="HANGUP"</xm:f>
            <x14:dxf>
              <font>
                <b/>
                <i val="0"/>
              </font>
            </x14:dxf>
          </x14:cfRule>
          <x14:cfRule type="expression" priority="9" id="{84ABBB8F-8CC9-4C97-B533-A1E9AB57ACF1}">
            <xm:f>'TC1'!$B8="Dial"</xm:f>
            <x14:dxf>
              <font>
                <b/>
                <i val="0"/>
                <color rgb="FFFF0000"/>
              </font>
            </x14:dxf>
          </x14:cfRule>
          <xm:sqref>C8</xm:sqref>
        </x14:conditionalFormatting>
        <x14:conditionalFormatting xmlns:xm="http://schemas.microsoft.com/office/excel/2006/main">
          <x14:cfRule type="expression" priority="10" id="{578A8AB2-1CE6-4AC5-B401-F6AF172BCE59}">
            <xm:f>'TC1'!$B8="Speak"</xm:f>
            <x14:dxf>
              <font>
                <b/>
                <i val="0"/>
                <color rgb="FFFF0000"/>
              </font>
            </x14:dxf>
          </x14:cfRule>
          <xm:sqref>C8</xm:sqref>
        </x14:conditionalFormatting>
        <x14:conditionalFormatting xmlns:xm="http://schemas.microsoft.com/office/excel/2006/main">
          <x14:cfRule type="containsText" priority="2" operator="containsText" text="Hear" id="{BE4BB00C-FA31-45B8-9744-F54BE1FE0C30}">
            <xm:f>NOT(ISERROR(SEARCH("Hear",'TC3'!B34)))</xm:f>
            <x14:dxf>
              <font>
                <color theme="9" tint="-0.24994659260841701"/>
              </font>
              <fill>
                <patternFill>
                  <bgColor theme="9" tint="0.59996337778862885"/>
                </patternFill>
              </fill>
            </x14:dxf>
          </x14:cfRule>
          <xm:sqref>B41</xm:sqref>
        </x14:conditionalFormatting>
        <x14:conditionalFormatting xmlns:xm="http://schemas.microsoft.com/office/excel/2006/main">
          <x14:cfRule type="expression" priority="2203" id="{EF35C59F-6F23-4B16-90EE-872A29ADEAFC}">
            <xm:f>'TC1'!$B16="HANGUP"</xm:f>
            <x14:dxf>
              <font>
                <b/>
                <i val="0"/>
              </font>
            </x14:dxf>
          </x14:cfRule>
          <x14:cfRule type="expression" priority="2204" id="{84ABBB8F-8CC9-4C97-B533-A1E9AB57ACF1}">
            <xm:f>'TC1'!$B16="Dial"</xm:f>
            <x14:dxf>
              <font>
                <b/>
                <i val="0"/>
                <color rgb="FFFF0000"/>
              </font>
            </x14:dxf>
          </x14:cfRule>
          <xm:sqref>C34:C43</xm:sqref>
        </x14:conditionalFormatting>
        <x14:conditionalFormatting xmlns:xm="http://schemas.microsoft.com/office/excel/2006/main">
          <x14:cfRule type="expression" priority="2205" id="{EF35C59F-6F23-4B16-90EE-872A29ADEAFC}">
            <xm:f>'TC1'!#REF!="HANGUP"</xm:f>
            <x14:dxf>
              <font>
                <b/>
                <i val="0"/>
              </font>
            </x14:dxf>
          </x14:cfRule>
          <x14:cfRule type="expression" priority="2206" id="{84ABBB8F-8CC9-4C97-B533-A1E9AB57ACF1}">
            <xm:f>'TC1'!#REF!="Dial"</xm:f>
            <x14:dxf>
              <font>
                <b/>
                <i val="0"/>
                <color rgb="FFFF0000"/>
              </font>
            </x14:dxf>
          </x14:cfRule>
          <xm:sqref>C17:C33</xm:sqref>
        </x14:conditionalFormatting>
        <x14:conditionalFormatting xmlns:xm="http://schemas.microsoft.com/office/excel/2006/main">
          <x14:cfRule type="expression" priority="2210" id="{578A8AB2-1CE6-4AC5-B401-F6AF172BCE59}">
            <xm:f>'TC1'!$B16="Speak"</xm:f>
            <x14:dxf>
              <font>
                <b/>
                <i val="0"/>
                <color rgb="FFFF0000"/>
              </font>
            </x14:dxf>
          </x14:cfRule>
          <xm:sqref>C34:C43</xm:sqref>
        </x14:conditionalFormatting>
        <x14:conditionalFormatting xmlns:xm="http://schemas.microsoft.com/office/excel/2006/main">
          <x14:cfRule type="expression" priority="2211" id="{578A8AB2-1CE6-4AC5-B401-F6AF172BCE59}">
            <xm:f>'TC1'!#REF!="Speak"</xm:f>
            <x14:dxf>
              <font>
                <b/>
                <i val="0"/>
                <color rgb="FFFF0000"/>
              </font>
            </x14:dxf>
          </x14:cfRule>
          <xm:sqref>C17:C33</xm:sqref>
        </x14:conditionalFormatting>
        <x14:conditionalFormatting xmlns:xm="http://schemas.microsoft.com/office/excel/2006/main">
          <x14:cfRule type="containsText" priority="2215" operator="containsText" text="DB" id="{A5C1E123-F27A-4D13-9BC9-8769C1229D2F}">
            <xm:f>NOT(ISERROR(SEARCH("DB",'TC1'!E16)))</xm:f>
            <x14:dxf>
              <font>
                <color rgb="FF006100"/>
              </font>
              <fill>
                <patternFill>
                  <bgColor rgb="FFC6EFCE"/>
                </patternFill>
              </fill>
            </x14:dxf>
          </x14:cfRule>
          <x14:cfRule type="containsText" priority="2216" operator="containsText" text="WEB SERVICE" id="{50168F3A-F994-4FD7-8E22-1F30269B09FD}">
            <xm:f>NOT(ISERROR(SEARCH("WEB SERVICE",'TC1'!E16)))</xm:f>
            <x14:dxf>
              <font>
                <color rgb="FF9C0006"/>
              </font>
              <fill>
                <patternFill>
                  <bgColor rgb="FFFFC7CE"/>
                </patternFill>
              </fill>
            </x14:dxf>
          </x14:cfRule>
          <xm:sqref>E34:E43</xm:sqref>
        </x14:conditionalFormatting>
        <x14:conditionalFormatting xmlns:xm="http://schemas.microsoft.com/office/excel/2006/main">
          <x14:cfRule type="containsText" priority="2217" operator="containsText" text="DB" id="{A5C1E123-F27A-4D13-9BC9-8769C1229D2F}">
            <xm:f>NOT(ISERROR(SEARCH("DB",'TC1'!#REF!)))</xm:f>
            <x14:dxf>
              <font>
                <color rgb="FF006100"/>
              </font>
              <fill>
                <patternFill>
                  <bgColor rgb="FFC6EFCE"/>
                </patternFill>
              </fill>
            </x14:dxf>
          </x14:cfRule>
          <x14:cfRule type="containsText" priority="2218" operator="containsText" text="WEB SERVICE" id="{50168F3A-F994-4FD7-8E22-1F30269B09FD}">
            <xm:f>NOT(ISERROR(SEARCH("WEB SERVICE",'TC1'!#REF!)))</xm:f>
            <x14:dxf>
              <font>
                <color rgb="FF9C0006"/>
              </font>
              <fill>
                <patternFill>
                  <bgColor rgb="FFFFC7CE"/>
                </patternFill>
              </fill>
            </x14:dxf>
          </x14:cfRule>
          <xm:sqref>E17:E33</xm:sqref>
        </x14:conditionalFormatting>
        <x14:conditionalFormatting xmlns:xm="http://schemas.microsoft.com/office/excel/2006/main">
          <x14:cfRule type="expression" priority="4921" id="{EF35C59F-6F23-4B16-90EE-872A29ADEAFC}">
            <xm:f>'TC1'!$B9="HANGUP"</xm:f>
            <x14:dxf>
              <font>
                <b/>
                <i val="0"/>
              </font>
            </x14:dxf>
          </x14:cfRule>
          <x14:cfRule type="expression" priority="4922" id="{84ABBB8F-8CC9-4C97-B533-A1E9AB57ACF1}">
            <xm:f>'TC1'!$B9="Dial"</xm:f>
            <x14:dxf>
              <font>
                <b/>
                <i val="0"/>
                <color rgb="FFFF0000"/>
              </font>
            </x14:dxf>
          </x14:cfRule>
          <xm:sqref>C12:C15</xm:sqref>
        </x14:conditionalFormatting>
        <x14:conditionalFormatting xmlns:xm="http://schemas.microsoft.com/office/excel/2006/main">
          <x14:cfRule type="expression" priority="4923" id="{EF35C59F-6F23-4B16-90EE-872A29ADEAFC}">
            <xm:f>'TC1'!#REF!="HANGUP"</xm:f>
            <x14:dxf>
              <font>
                <b/>
                <i val="0"/>
              </font>
            </x14:dxf>
          </x14:cfRule>
          <x14:cfRule type="expression" priority="4924" id="{84ABBB8F-8CC9-4C97-B533-A1E9AB57ACF1}">
            <xm:f>'TC1'!#REF!="Dial"</xm:f>
            <x14:dxf>
              <font>
                <b/>
                <i val="0"/>
                <color rgb="FFFF0000"/>
              </font>
            </x14:dxf>
          </x14:cfRule>
          <xm:sqref>C9:C11</xm:sqref>
        </x14:conditionalFormatting>
        <x14:conditionalFormatting xmlns:xm="http://schemas.microsoft.com/office/excel/2006/main">
          <x14:cfRule type="expression" priority="4928" id="{578A8AB2-1CE6-4AC5-B401-F6AF172BCE59}">
            <xm:f>'TC1'!$B9="Speak"</xm:f>
            <x14:dxf>
              <font>
                <b/>
                <i val="0"/>
                <color rgb="FFFF0000"/>
              </font>
            </x14:dxf>
          </x14:cfRule>
          <xm:sqref>C12:C15</xm:sqref>
        </x14:conditionalFormatting>
        <x14:conditionalFormatting xmlns:xm="http://schemas.microsoft.com/office/excel/2006/main">
          <x14:cfRule type="expression" priority="4929" id="{578A8AB2-1CE6-4AC5-B401-F6AF172BCE59}">
            <xm:f>'TC1'!#REF!="Speak"</xm:f>
            <x14:dxf>
              <font>
                <b/>
                <i val="0"/>
                <color rgb="FFFF0000"/>
              </font>
            </x14:dxf>
          </x14:cfRule>
          <xm:sqref>C9:C11</xm:sqref>
        </x14:conditionalFormatting>
        <x14:conditionalFormatting xmlns:xm="http://schemas.microsoft.com/office/excel/2006/main">
          <x14:cfRule type="containsText" priority="4931" operator="containsText" text="DB" id="{A5C1E123-F27A-4D13-9BC9-8769C1229D2F}">
            <xm:f>NOT(ISERROR(SEARCH("DB",'TC1'!#REF!)))</xm:f>
            <x14:dxf>
              <font>
                <color rgb="FF006100"/>
              </font>
              <fill>
                <patternFill>
                  <bgColor rgb="FFC6EFCE"/>
                </patternFill>
              </fill>
            </x14:dxf>
          </x14:cfRule>
          <x14:cfRule type="containsText" priority="4932" operator="containsText" text="WEB SERVICE" id="{50168F3A-F994-4FD7-8E22-1F30269B09FD}">
            <xm:f>NOT(ISERROR(SEARCH("WEB SERVICE",'TC1'!#REF!)))</xm:f>
            <x14:dxf>
              <font>
                <color rgb="FF9C0006"/>
              </font>
              <fill>
                <patternFill>
                  <bgColor rgb="FFFFC7CE"/>
                </patternFill>
              </fill>
            </x14:dxf>
          </x14:cfRule>
          <xm:sqref>E9:E11</xm:sqref>
        </x14:conditionalFormatting>
        <x14:conditionalFormatting xmlns:xm="http://schemas.microsoft.com/office/excel/2006/main">
          <x14:cfRule type="containsText" priority="4933" operator="containsText" text="DB" id="{A5C1E123-F27A-4D13-9BC9-8769C1229D2F}">
            <xm:f>NOT(ISERROR(SEARCH("DB",'TC1'!E9)))</xm:f>
            <x14:dxf>
              <font>
                <color rgb="FF006100"/>
              </font>
              <fill>
                <patternFill>
                  <bgColor rgb="FFC6EFCE"/>
                </patternFill>
              </fill>
            </x14:dxf>
          </x14:cfRule>
          <x14:cfRule type="containsText" priority="4934" operator="containsText" text="WEB SERVICE" id="{50168F3A-F994-4FD7-8E22-1F30269B09FD}">
            <xm:f>NOT(ISERROR(SEARCH("WEB SERVICE",'TC1'!E9)))</xm:f>
            <x14:dxf>
              <font>
                <color rgb="FF9C0006"/>
              </font>
              <fill>
                <patternFill>
                  <bgColor rgb="FFFFC7CE"/>
                </patternFill>
              </fill>
            </x14:dxf>
          </x14:cfRule>
          <xm:sqref>E12:E15</xm:sqref>
        </x14:conditionalFormatting>
        <x14:conditionalFormatting xmlns:xm="http://schemas.microsoft.com/office/excel/2006/main">
          <x14:cfRule type="expression" priority="7280" id="{EF35C59F-6F23-4B16-90EE-872A29ADEAFC}">
            <xm:f>'TC1'!$B15="HANGUP"</xm:f>
            <x14:dxf>
              <font>
                <b/>
                <i val="0"/>
              </font>
            </x14:dxf>
          </x14:cfRule>
          <x14:cfRule type="expression" priority="7281" id="{84ABBB8F-8CC9-4C97-B533-A1E9AB57ACF1}">
            <xm:f>'TC1'!$B15="Dial"</xm:f>
            <x14:dxf>
              <font>
                <b/>
                <i val="0"/>
                <color rgb="FFFF0000"/>
              </font>
            </x14:dxf>
          </x14:cfRule>
          <xm:sqref>C16</xm:sqref>
        </x14:conditionalFormatting>
        <x14:conditionalFormatting xmlns:xm="http://schemas.microsoft.com/office/excel/2006/main">
          <x14:cfRule type="expression" priority="7283" id="{578A8AB2-1CE6-4AC5-B401-F6AF172BCE59}">
            <xm:f>'TC1'!$B15="Speak"</xm:f>
            <x14:dxf>
              <font>
                <b/>
                <i val="0"/>
                <color rgb="FFFF0000"/>
              </font>
            </x14:dxf>
          </x14:cfRule>
          <xm:sqref>C16</xm:sqref>
        </x14:conditionalFormatting>
        <x14:conditionalFormatting xmlns:xm="http://schemas.microsoft.com/office/excel/2006/main">
          <x14:cfRule type="containsText" priority="7286" operator="containsText" text="DB" id="{A5C1E123-F27A-4D13-9BC9-8769C1229D2F}">
            <xm:f>NOT(ISERROR(SEARCH("DB",'TC1'!E15)))</xm:f>
            <x14:dxf>
              <font>
                <color rgb="FF006100"/>
              </font>
              <fill>
                <patternFill>
                  <bgColor rgb="FFC6EFCE"/>
                </patternFill>
              </fill>
            </x14:dxf>
          </x14:cfRule>
          <x14:cfRule type="containsText" priority="7287" operator="containsText" text="WEB SERVICE" id="{50168F3A-F994-4FD7-8E22-1F30269B09FD}">
            <xm:f>NOT(ISERROR(SEARCH("WEB SERVICE",'TC1'!E15)))</xm:f>
            <x14:dxf>
              <font>
                <color rgb="FF9C0006"/>
              </font>
              <fill>
                <patternFill>
                  <bgColor rgb="FFFFC7CE"/>
                </patternFill>
              </fill>
            </x14:dxf>
          </x14:cfRule>
          <xm:sqref>E16</xm:sqref>
        </x14:conditionalFormatting>
        <x14:conditionalFormatting xmlns:xm="http://schemas.microsoft.com/office/excel/2006/main">
          <x14:cfRule type="containsText" priority="9774" operator="containsText" text="Hear" id="{42398510-AEDD-4905-A100-8493A606190E}">
            <xm:f>NOT(ISERROR(SEARCH("Hear",'TC26'!#REF!)))</xm:f>
            <x14:dxf>
              <font>
                <color theme="9" tint="-0.24994659260841701"/>
              </font>
              <fill>
                <patternFill>
                  <bgColor theme="9" tint="0.59996337778862885"/>
                </patternFill>
              </fill>
            </x14:dxf>
          </x14:cfRule>
          <xm:sqref>B39</xm:sqref>
        </x14:conditionalFormatting>
      </x14:conditionalFormattings>
    </ext>
  </extLst>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200-000000000000}">
  <sheetPr codeName="Sheet100"/>
  <dimension ref="A1:E61"/>
  <sheetViews>
    <sheetView zoomScaleNormal="100" workbookViewId="0">
      <selection activeCell="B3" sqref="B3"/>
    </sheetView>
  </sheetViews>
  <sheetFormatPr defaultRowHeight="14.5" x14ac:dyDescent="0.35"/>
  <cols>
    <col min="1" max="1" width="14.453125" style="97" bestFit="1" customWidth="1"/>
    <col min="2" max="2" width="42.6328125" style="97" customWidth="1"/>
    <col min="3" max="3" width="106.1796875" style="98" customWidth="1"/>
    <col min="4" max="4" width="21.81640625" style="111" bestFit="1" customWidth="1"/>
    <col min="5" max="5" width="20.6328125" style="97" customWidth="1"/>
  </cols>
  <sheetData>
    <row r="1" spans="1:5" ht="18.5" x14ac:dyDescent="0.35">
      <c r="A1" s="192" t="s">
        <v>4</v>
      </c>
      <c r="B1" s="192"/>
      <c r="C1" s="105"/>
    </row>
    <row r="2" spans="1:5" x14ac:dyDescent="0.35">
      <c r="A2" s="106" t="s">
        <v>5</v>
      </c>
      <c r="B2" s="107" t="str">
        <f ca="1">MID(CELL("filename",A1),FIND("]",CELL("filename",A1))+1,LEN(CELL("filename",A1))-FIND("]",CELL("filename",A1)))</f>
        <v>TC98</v>
      </c>
    </row>
    <row r="3" spans="1:5" x14ac:dyDescent="0.35">
      <c r="A3" s="104" t="s">
        <v>19</v>
      </c>
      <c r="B3" s="112">
        <f ca="1">VLOOKUP(B2,Table53[#All],2,FALSE)</f>
        <v>0</v>
      </c>
    </row>
    <row r="4" spans="1:5" ht="29" x14ac:dyDescent="0.35">
      <c r="A4" s="113" t="s">
        <v>20</v>
      </c>
      <c r="B4" s="99">
        <f ca="1">VLOOKUP(B2,Table53[#All],4,FALSE)</f>
        <v>0</v>
      </c>
    </row>
    <row r="5" spans="1:5" x14ac:dyDescent="0.35">
      <c r="A5" s="104" t="s">
        <v>6</v>
      </c>
      <c r="B5" s="77">
        <f ca="1">VLOOKUP(B2,Table53[#All],3,FALSE)</f>
        <v>0</v>
      </c>
    </row>
    <row r="7" spans="1:5" ht="15.5" x14ac:dyDescent="0.35">
      <c r="A7" s="100" t="s">
        <v>7</v>
      </c>
      <c r="B7" s="101" t="s">
        <v>8</v>
      </c>
      <c r="C7" s="102" t="s">
        <v>9</v>
      </c>
      <c r="D7" s="102" t="s">
        <v>14</v>
      </c>
      <c r="E7" s="103" t="s">
        <v>10</v>
      </c>
    </row>
    <row r="8" spans="1:5" x14ac:dyDescent="0.35">
      <c r="A8" s="118">
        <v>1</v>
      </c>
      <c r="B8" s="114" t="s">
        <v>114</v>
      </c>
      <c r="C8" s="109" t="s">
        <v>125</v>
      </c>
      <c r="D8" s="128"/>
      <c r="E8" s="125" t="s">
        <v>11</v>
      </c>
    </row>
    <row r="9" spans="1:5" s="97" customFormat="1" x14ac:dyDescent="0.35">
      <c r="A9" s="118">
        <v>2</v>
      </c>
      <c r="B9" s="114" t="s">
        <v>12</v>
      </c>
      <c r="C9" s="109" t="e">
        <f>VLOOKUP(Table25751990[[#This Row],[PEG]],Table1016[#All],2,FALSE)</f>
        <v>#N/A</v>
      </c>
      <c r="D9" s="128"/>
      <c r="E9" s="125" t="e">
        <f>VLOOKUP(Table25751990[[#This Row],[PEG]],Table1016[#All],3,FALSE)</f>
        <v>#N/A</v>
      </c>
    </row>
    <row r="10" spans="1:5" s="97" customFormat="1" x14ac:dyDescent="0.35">
      <c r="A10" s="118">
        <v>3</v>
      </c>
      <c r="B10" s="114" t="s">
        <v>115</v>
      </c>
      <c r="C10" s="109" t="e">
        <f>VLOOKUP(Table25751990[[#This Row],[PEG]],Table1016[#All],2,FALSE)</f>
        <v>#N/A</v>
      </c>
      <c r="D10" s="128"/>
      <c r="E10" s="125" t="e">
        <f>VLOOKUP(Table25751990[[#This Row],[PEG]],Table1016[#All],3,FALSE)</f>
        <v>#N/A</v>
      </c>
    </row>
    <row r="11" spans="1:5" s="97" customFormat="1" x14ac:dyDescent="0.35">
      <c r="A11" s="118">
        <v>4</v>
      </c>
      <c r="B11" s="114" t="s">
        <v>115</v>
      </c>
      <c r="C11" s="109" t="e">
        <f>VLOOKUP(Table25751990[[#This Row],[PEG]],Table1016[#All],2,FALSE)</f>
        <v>#N/A</v>
      </c>
      <c r="D11" s="128"/>
      <c r="E11" s="125" t="e">
        <f>VLOOKUP(Table25751990[[#This Row],[PEG]],Table1016[#All],3,FALSE)</f>
        <v>#N/A</v>
      </c>
    </row>
    <row r="12" spans="1:5" s="97" customFormat="1" x14ac:dyDescent="0.35">
      <c r="A12" s="118">
        <v>5</v>
      </c>
      <c r="B12" s="114" t="s">
        <v>114</v>
      </c>
      <c r="C12" s="109" t="e">
        <f>VLOOKUP(Table25751990[[#This Row],[PEG]],Table1016[#All],2,FALSE)</f>
        <v>#N/A</v>
      </c>
      <c r="D12" s="128"/>
      <c r="E12" s="125" t="e">
        <f>VLOOKUP(Table25751990[[#This Row],[PEG]],Table1016[#All],3,FALSE)</f>
        <v>#N/A</v>
      </c>
    </row>
    <row r="13" spans="1:5" s="97" customFormat="1" x14ac:dyDescent="0.35">
      <c r="A13" s="118">
        <v>6</v>
      </c>
      <c r="B13" s="114" t="s">
        <v>115</v>
      </c>
      <c r="C13" s="109" t="e">
        <f>VLOOKUP(Table25751990[[#This Row],[PEG]],Table1016[#All],2,FALSE)</f>
        <v>#N/A</v>
      </c>
      <c r="D13" s="128"/>
      <c r="E13" s="125" t="e">
        <f>VLOOKUP(Table25751990[[#This Row],[PEG]],Table1016[#All],3,FALSE)</f>
        <v>#N/A</v>
      </c>
    </row>
    <row r="14" spans="1:5" s="97" customFormat="1" x14ac:dyDescent="0.35">
      <c r="A14" s="118">
        <v>7</v>
      </c>
      <c r="B14" s="114" t="s">
        <v>114</v>
      </c>
      <c r="C14" s="109" t="e">
        <f>VLOOKUP(Table25751990[[#This Row],[PEG]],Table1016[#All],2,FALSE)</f>
        <v>#N/A</v>
      </c>
      <c r="D14" s="128"/>
      <c r="E14" s="125" t="e">
        <f>VLOOKUP(Table25751990[[#This Row],[PEG]],Table1016[#All],3,FALSE)</f>
        <v>#N/A</v>
      </c>
    </row>
    <row r="15" spans="1:5" x14ac:dyDescent="0.35">
      <c r="A15" s="118">
        <v>8</v>
      </c>
      <c r="B15" s="114" t="s">
        <v>115</v>
      </c>
      <c r="C15" s="109" t="e">
        <f>VLOOKUP(Table25751990[[#This Row],[PEG]],Table1016[#All],2,FALSE)</f>
        <v>#N/A</v>
      </c>
      <c r="D15" s="116"/>
      <c r="E15" s="125" t="e">
        <f>VLOOKUP(Table25751990[[#This Row],[PEG]],Table1016[#All],3,FALSE)</f>
        <v>#N/A</v>
      </c>
    </row>
    <row r="16" spans="1:5" x14ac:dyDescent="0.35">
      <c r="A16" s="118">
        <v>9</v>
      </c>
      <c r="B16" s="114" t="s">
        <v>12</v>
      </c>
      <c r="C16" s="109" t="e">
        <f>VLOOKUP(Table25751990[[#This Row],[PEG]],Table1016[#All],2,FALSE)</f>
        <v>#N/A</v>
      </c>
      <c r="D16" s="116"/>
      <c r="E16" s="125" t="e">
        <f>VLOOKUP(Table25751990[[#This Row],[PEG]],Table1016[#All],3,FALSE)</f>
        <v>#N/A</v>
      </c>
    </row>
    <row r="17" spans="1:5" x14ac:dyDescent="0.35">
      <c r="A17" s="118">
        <v>10</v>
      </c>
      <c r="B17" s="114" t="s">
        <v>12</v>
      </c>
      <c r="C17" s="109" t="e">
        <f>VLOOKUP(Table25751990[[#This Row],[PEG]],Table1016[#All],2,FALSE)</f>
        <v>#N/A</v>
      </c>
      <c r="D17" s="117"/>
      <c r="E17" s="125" t="e">
        <f>VLOOKUP(Table25751990[[#This Row],[PEG]],Table1016[#All],3,FALSE)</f>
        <v>#N/A</v>
      </c>
    </row>
    <row r="18" spans="1:5" x14ac:dyDescent="0.35">
      <c r="A18" s="118">
        <v>11</v>
      </c>
      <c r="B18" s="114" t="s">
        <v>115</v>
      </c>
      <c r="C18" s="109" t="e">
        <f>VLOOKUP(Table25751990[[#This Row],[PEG]],Table1016[#All],2,FALSE)</f>
        <v>#N/A</v>
      </c>
      <c r="D18" s="117"/>
      <c r="E18" s="125" t="e">
        <f>VLOOKUP(Table25751990[[#This Row],[PEG]],Table1016[#All],3,FALSE)</f>
        <v>#N/A</v>
      </c>
    </row>
    <row r="19" spans="1:5" x14ac:dyDescent="0.35">
      <c r="A19" s="118">
        <v>12</v>
      </c>
      <c r="B19" s="114" t="s">
        <v>115</v>
      </c>
      <c r="C19" s="109" t="e">
        <f>VLOOKUP(Table25751990[[#This Row],[PEG]],Table1016[#All],2,FALSE)</f>
        <v>#N/A</v>
      </c>
      <c r="D19" s="117"/>
      <c r="E19" s="125" t="e">
        <f>VLOOKUP(Table25751990[[#This Row],[PEG]],Table1016[#All],3,FALSE)</f>
        <v>#N/A</v>
      </c>
    </row>
    <row r="20" spans="1:5" x14ac:dyDescent="0.35">
      <c r="A20" s="118">
        <v>13</v>
      </c>
      <c r="B20" s="114" t="s">
        <v>114</v>
      </c>
      <c r="C20" s="109" t="e">
        <f>VLOOKUP(Table25751990[[#This Row],[PEG]],Table1016[#All],2,FALSE)</f>
        <v>#N/A</v>
      </c>
      <c r="D20" s="117"/>
      <c r="E20" s="125" t="e">
        <f>VLOOKUP(Table25751990[[#This Row],[PEG]],Table1016[#All],3,FALSE)</f>
        <v>#N/A</v>
      </c>
    </row>
    <row r="21" spans="1:5" x14ac:dyDescent="0.35">
      <c r="A21" s="118">
        <v>14</v>
      </c>
      <c r="B21" s="114" t="s">
        <v>12</v>
      </c>
      <c r="C21" s="109" t="e">
        <f>VLOOKUP(Table25751990[[#This Row],[PEG]],Table1016[#All],2,FALSE)</f>
        <v>#N/A</v>
      </c>
      <c r="D21" s="117"/>
      <c r="E21" s="125" t="e">
        <f>VLOOKUP(Table25751990[[#This Row],[PEG]],Table1016[#All],3,FALSE)</f>
        <v>#N/A</v>
      </c>
    </row>
    <row r="22" spans="1:5" x14ac:dyDescent="0.35">
      <c r="A22" s="118">
        <v>15</v>
      </c>
      <c r="B22" s="114" t="s">
        <v>12</v>
      </c>
      <c r="C22" s="109" t="e">
        <f>VLOOKUP(Table25751990[[#This Row],[PEG]],Table1016[#All],2,FALSE)</f>
        <v>#N/A</v>
      </c>
      <c r="D22" s="117"/>
      <c r="E22" s="125" t="e">
        <f>VLOOKUP(Table25751990[[#This Row],[PEG]],Table1016[#All],3,FALSE)</f>
        <v>#N/A</v>
      </c>
    </row>
    <row r="23" spans="1:5" x14ac:dyDescent="0.35">
      <c r="A23" s="118">
        <v>16</v>
      </c>
      <c r="B23" s="114" t="s">
        <v>115</v>
      </c>
      <c r="C23" s="109" t="e">
        <f>VLOOKUP(Table25751990[[#This Row],[PEG]],Table1016[#All],2,FALSE)</f>
        <v>#N/A</v>
      </c>
      <c r="D23" s="117"/>
      <c r="E23" s="125" t="e">
        <f>VLOOKUP(Table25751990[[#This Row],[PEG]],Table1016[#All],3,FALSE)</f>
        <v>#N/A</v>
      </c>
    </row>
    <row r="24" spans="1:5" x14ac:dyDescent="0.35">
      <c r="A24" s="118">
        <v>17</v>
      </c>
      <c r="B24" s="114" t="s">
        <v>114</v>
      </c>
      <c r="C24" s="109" t="e">
        <f>VLOOKUP(Table25751990[[#This Row],[PEG]],Table1016[#All],2,FALSE)</f>
        <v>#N/A</v>
      </c>
      <c r="D24" s="117"/>
      <c r="E24" s="125" t="e">
        <f>VLOOKUP(Table25751990[[#This Row],[PEG]],Table1016[#All],3,FALSE)</f>
        <v>#N/A</v>
      </c>
    </row>
    <row r="25" spans="1:5" s="97" customFormat="1" x14ac:dyDescent="0.35">
      <c r="A25" s="118">
        <v>18</v>
      </c>
      <c r="B25" s="114" t="s">
        <v>12</v>
      </c>
      <c r="C25" s="109" t="e">
        <f>VLOOKUP(Table25751990[[#This Row],[PEG]],Table1016[#All],2,FALSE)</f>
        <v>#N/A</v>
      </c>
      <c r="D25" s="117"/>
      <c r="E25" s="125" t="e">
        <f>VLOOKUP(Table25751990[[#This Row],[PEG]],Table1016[#All],3,FALSE)</f>
        <v>#N/A</v>
      </c>
    </row>
    <row r="26" spans="1:5" x14ac:dyDescent="0.35">
      <c r="A26" s="118">
        <v>19</v>
      </c>
      <c r="B26" s="114" t="s">
        <v>12</v>
      </c>
      <c r="C26" s="109" t="e">
        <f>VLOOKUP(Table25751990[[#This Row],[PEG]],Table1016[#All],2,FALSE)</f>
        <v>#N/A</v>
      </c>
      <c r="D26" s="117"/>
      <c r="E26" s="125" t="e">
        <f>VLOOKUP(Table25751990[[#This Row],[PEG]],Table1016[#All],3,FALSE)</f>
        <v>#N/A</v>
      </c>
    </row>
    <row r="27" spans="1:5" x14ac:dyDescent="0.35">
      <c r="A27" s="118">
        <v>20</v>
      </c>
      <c r="B27" s="114" t="s">
        <v>115</v>
      </c>
      <c r="C27" s="109" t="e">
        <f>VLOOKUP(Table25751990[[#This Row],[PEG]],Table1016[#All],2,FALSE)</f>
        <v>#N/A</v>
      </c>
      <c r="D27" s="117"/>
      <c r="E27" s="125" t="e">
        <f>VLOOKUP(Table25751990[[#This Row],[PEG]],Table1016[#All],3,FALSE)</f>
        <v>#N/A</v>
      </c>
    </row>
    <row r="28" spans="1:5" x14ac:dyDescent="0.35">
      <c r="A28" s="118">
        <v>21</v>
      </c>
      <c r="B28" s="114" t="s">
        <v>114</v>
      </c>
      <c r="C28" s="109" t="e">
        <f>VLOOKUP(Table25751990[[#This Row],[PEG]],Table1016[#All],2,FALSE)</f>
        <v>#N/A</v>
      </c>
      <c r="D28" s="117"/>
      <c r="E28" s="125" t="e">
        <f>VLOOKUP(Table25751990[[#This Row],[PEG]],Table1016[#All],3,FALSE)</f>
        <v>#N/A</v>
      </c>
    </row>
    <row r="29" spans="1:5" x14ac:dyDescent="0.35">
      <c r="A29" s="118">
        <v>22</v>
      </c>
      <c r="B29" s="114" t="s">
        <v>12</v>
      </c>
      <c r="C29" s="109" t="e">
        <f>VLOOKUP(Table25751990[[#This Row],[PEG]],Table1016[#All],2,FALSE)</f>
        <v>#N/A</v>
      </c>
      <c r="D29" s="117"/>
      <c r="E29" s="125" t="e">
        <f>VLOOKUP(Table25751990[[#This Row],[PEG]],Table1016[#All],3,FALSE)</f>
        <v>#N/A</v>
      </c>
    </row>
    <row r="30" spans="1:5" x14ac:dyDescent="0.35">
      <c r="A30" s="118">
        <v>23</v>
      </c>
      <c r="B30" s="114" t="s">
        <v>12</v>
      </c>
      <c r="C30" s="109" t="e">
        <f>VLOOKUP(Table25751990[[#This Row],[PEG]],Table1016[#All],2,FALSE)</f>
        <v>#N/A</v>
      </c>
      <c r="D30" s="117"/>
      <c r="E30" s="125" t="e">
        <f>VLOOKUP(Table25751990[[#This Row],[PEG]],Table1016[#All],3,FALSE)</f>
        <v>#N/A</v>
      </c>
    </row>
    <row r="31" spans="1:5" x14ac:dyDescent="0.35">
      <c r="A31" s="118">
        <v>24</v>
      </c>
      <c r="B31" s="114" t="s">
        <v>115</v>
      </c>
      <c r="C31" s="109" t="e">
        <f>VLOOKUP(Table25751990[[#This Row],[PEG]],Table1016[#All],2,FALSE)</f>
        <v>#N/A</v>
      </c>
      <c r="D31" s="117"/>
      <c r="E31" s="125" t="e">
        <f>VLOOKUP(Table25751990[[#This Row],[PEG]],Table1016[#All],3,FALSE)</f>
        <v>#N/A</v>
      </c>
    </row>
    <row r="32" spans="1:5" x14ac:dyDescent="0.35">
      <c r="A32" s="118">
        <v>25</v>
      </c>
      <c r="B32" s="114" t="s">
        <v>115</v>
      </c>
      <c r="C32" s="109" t="e">
        <f>VLOOKUP(Table25751990[[#This Row],[PEG]],Table1016[#All],2,FALSE)</f>
        <v>#N/A</v>
      </c>
      <c r="D32" s="117"/>
      <c r="E32" s="125" t="e">
        <f>VLOOKUP(Table25751990[[#This Row],[PEG]],Table1016[#All],3,FALSE)</f>
        <v>#N/A</v>
      </c>
    </row>
    <row r="33" spans="1:5" x14ac:dyDescent="0.35">
      <c r="A33" s="118">
        <v>26</v>
      </c>
      <c r="B33" s="114" t="s">
        <v>124</v>
      </c>
      <c r="C33" s="109" t="e">
        <f>VLOOKUP(Table25751990[[#This Row],[PEG]],Table1016[#All],2,FALSE)</f>
        <v>#N/A</v>
      </c>
      <c r="D33" s="117"/>
      <c r="E33" s="125" t="e">
        <f>VLOOKUP(Table25751990[[#This Row],[PEG]],Table1016[#All],3,FALSE)</f>
        <v>#N/A</v>
      </c>
    </row>
    <row r="34" spans="1:5" x14ac:dyDescent="0.35">
      <c r="A34" s="118">
        <v>27</v>
      </c>
      <c r="B34" s="114" t="s">
        <v>115</v>
      </c>
      <c r="C34" s="109" t="e">
        <f>VLOOKUP(Table25751990[[#This Row],[PEG]],Table1016[#All],2,FALSE)</f>
        <v>#N/A</v>
      </c>
      <c r="D34" s="117"/>
      <c r="E34" s="125" t="e">
        <f>VLOOKUP(Table25751990[[#This Row],[PEG]],Table1016[#All],3,FALSE)</f>
        <v>#N/A</v>
      </c>
    </row>
    <row r="35" spans="1:5" x14ac:dyDescent="0.35">
      <c r="A35" s="118">
        <v>28</v>
      </c>
      <c r="B35" s="114" t="s">
        <v>124</v>
      </c>
      <c r="C35" s="109" t="e">
        <f>VLOOKUP(Table25751990[[#This Row],[PEG]],Table1016[#All],2,FALSE)</f>
        <v>#N/A</v>
      </c>
      <c r="D35" s="117"/>
      <c r="E35" s="125" t="e">
        <f>VLOOKUP(Table25751990[[#This Row],[PEG]],Table1016[#All],3,FALSE)</f>
        <v>#N/A</v>
      </c>
    </row>
    <row r="36" spans="1:5" x14ac:dyDescent="0.35">
      <c r="A36" s="118">
        <v>29</v>
      </c>
      <c r="B36" s="114" t="s">
        <v>115</v>
      </c>
      <c r="C36" s="109" t="e">
        <f>VLOOKUP(Table25751990[[#This Row],[PEG]],Table1016[#All],2,FALSE)</f>
        <v>#N/A</v>
      </c>
      <c r="D36" s="117"/>
      <c r="E36" s="125" t="e">
        <f>VLOOKUP(Table25751990[[#This Row],[PEG]],Table1016[#All],3,FALSE)</f>
        <v>#N/A</v>
      </c>
    </row>
    <row r="37" spans="1:5" x14ac:dyDescent="0.35">
      <c r="A37" s="118">
        <v>30</v>
      </c>
      <c r="B37" s="114" t="s">
        <v>12</v>
      </c>
      <c r="C37" s="109" t="e">
        <f>VLOOKUP(Table25751990[[#This Row],[PEG]],Table1016[#All],2,FALSE)</f>
        <v>#N/A</v>
      </c>
      <c r="D37" s="117"/>
      <c r="E37" s="125" t="e">
        <f>VLOOKUP(Table25751990[[#This Row],[PEG]],Table1016[#All],3,FALSE)</f>
        <v>#N/A</v>
      </c>
    </row>
    <row r="38" spans="1:5" x14ac:dyDescent="0.35">
      <c r="A38" s="118">
        <v>31</v>
      </c>
      <c r="B38" s="114" t="s">
        <v>12</v>
      </c>
      <c r="C38" s="109" t="e">
        <f>VLOOKUP(Table25751990[[#This Row],[PEG]],Table1016[#All],2,FALSE)</f>
        <v>#N/A</v>
      </c>
      <c r="D38" s="117"/>
      <c r="E38" s="125" t="e">
        <f>VLOOKUP(Table25751990[[#This Row],[PEG]],Table1016[#All],3,FALSE)</f>
        <v>#N/A</v>
      </c>
    </row>
    <row r="39" spans="1:5" x14ac:dyDescent="0.35">
      <c r="A39" s="118">
        <v>32</v>
      </c>
      <c r="B39" s="114" t="s">
        <v>12</v>
      </c>
      <c r="C39" s="109" t="e">
        <f>VLOOKUP(Table25751990[[#This Row],[PEG]],Table1016[#All],2,FALSE)</f>
        <v>#N/A</v>
      </c>
      <c r="D39" s="117"/>
      <c r="E39" s="125" t="e">
        <f>VLOOKUP(Table25751990[[#This Row],[PEG]],Table1016[#All],3,FALSE)</f>
        <v>#N/A</v>
      </c>
    </row>
    <row r="40" spans="1:5" x14ac:dyDescent="0.35">
      <c r="A40" s="118">
        <v>33</v>
      </c>
      <c r="B40" s="114" t="s">
        <v>12</v>
      </c>
      <c r="C40" s="109" t="e">
        <f>VLOOKUP(Table25751990[[#This Row],[PEG]],Table1016[#All],2,FALSE)</f>
        <v>#N/A</v>
      </c>
      <c r="D40" s="117"/>
      <c r="E40" s="125" t="e">
        <f>VLOOKUP(Table25751990[[#This Row],[PEG]],Table1016[#All],3,FALSE)</f>
        <v>#N/A</v>
      </c>
    </row>
    <row r="41" spans="1:5" x14ac:dyDescent="0.35">
      <c r="A41" s="118">
        <v>34</v>
      </c>
      <c r="B41" s="114" t="s">
        <v>115</v>
      </c>
      <c r="C41" s="109" t="e">
        <f>VLOOKUP(Table25751990[[#This Row],[PEG]],Table1016[#All],2,FALSE)</f>
        <v>#N/A</v>
      </c>
      <c r="D41" s="117"/>
      <c r="E41" s="125" t="e">
        <f>VLOOKUP(Table25751990[[#This Row],[PEG]],Table1016[#All],3,FALSE)</f>
        <v>#N/A</v>
      </c>
    </row>
    <row r="42" spans="1:5" x14ac:dyDescent="0.35">
      <c r="A42" s="118">
        <v>35</v>
      </c>
      <c r="B42" s="114" t="s">
        <v>12</v>
      </c>
      <c r="C42" s="109" t="e">
        <f>VLOOKUP(Table25751990[[#This Row],[PEG]],Table1016[#All],2,FALSE)</f>
        <v>#N/A</v>
      </c>
      <c r="D42" s="115"/>
      <c r="E42" s="125" t="e">
        <f>VLOOKUP(Table25751990[[#This Row],[PEG]],Table1016[#All],3,FALSE)</f>
        <v>#N/A</v>
      </c>
    </row>
    <row r="43" spans="1:5" x14ac:dyDescent="0.35">
      <c r="A43" s="118">
        <v>36</v>
      </c>
      <c r="B43" s="114" t="s">
        <v>115</v>
      </c>
      <c r="C43" s="109" t="e">
        <f>VLOOKUP(Table25751990[[#This Row],[PEG]],Table1016[#All],2,FALSE)</f>
        <v>#N/A</v>
      </c>
      <c r="D43" s="115"/>
      <c r="E43" s="125" t="e">
        <f>VLOOKUP(Table25751990[[#This Row],[PEG]],Table1016[#All],3,FALSE)</f>
        <v>#N/A</v>
      </c>
    </row>
    <row r="44" spans="1:5" x14ac:dyDescent="0.35">
      <c r="A44" s="118">
        <v>37</v>
      </c>
      <c r="B44" s="114" t="s">
        <v>13</v>
      </c>
      <c r="C44" s="18" t="s">
        <v>13</v>
      </c>
      <c r="D44" s="115"/>
      <c r="E44" s="32"/>
    </row>
    <row r="45" spans="1:5" x14ac:dyDescent="0.35">
      <c r="C45" s="26"/>
    </row>
    <row r="46" spans="1:5" x14ac:dyDescent="0.35">
      <c r="C46" s="26"/>
    </row>
    <row r="47" spans="1:5" x14ac:dyDescent="0.35">
      <c r="C47" s="26"/>
    </row>
    <row r="48" spans="1:5" x14ac:dyDescent="0.35">
      <c r="C48" s="26"/>
    </row>
    <row r="49" spans="3:3" x14ac:dyDescent="0.35">
      <c r="C49" s="26"/>
    </row>
    <row r="50" spans="3:3" x14ac:dyDescent="0.35">
      <c r="C50" s="26"/>
    </row>
    <row r="51" spans="3:3" x14ac:dyDescent="0.35">
      <c r="C51" s="26"/>
    </row>
    <row r="52" spans="3:3" x14ac:dyDescent="0.35">
      <c r="C52" s="26"/>
    </row>
    <row r="53" spans="3:3" x14ac:dyDescent="0.35">
      <c r="C53" s="26"/>
    </row>
    <row r="54" spans="3:3" x14ac:dyDescent="0.35">
      <c r="C54" s="26"/>
    </row>
    <row r="55" spans="3:3" x14ac:dyDescent="0.35">
      <c r="C55" s="26"/>
    </row>
    <row r="56" spans="3:3" x14ac:dyDescent="0.35">
      <c r="C56" s="26"/>
    </row>
    <row r="57" spans="3:3" x14ac:dyDescent="0.35">
      <c r="C57" s="26"/>
    </row>
    <row r="58" spans="3:3" x14ac:dyDescent="0.35">
      <c r="C58" s="26"/>
    </row>
    <row r="59" spans="3:3" x14ac:dyDescent="0.35">
      <c r="C59" s="27"/>
    </row>
    <row r="60" spans="3:3" x14ac:dyDescent="0.35">
      <c r="C60" s="27"/>
    </row>
    <row r="61" spans="3:3" x14ac:dyDescent="0.35">
      <c r="C61" s="27"/>
    </row>
  </sheetData>
  <mergeCells count="1">
    <mergeCell ref="A1:B1"/>
  </mergeCells>
  <conditionalFormatting sqref="C45:C10000">
    <cfRule type="expression" dxfId="2877" priority="52">
      <formula>$B45="Dial"</formula>
    </cfRule>
    <cfRule type="expression" dxfId="2876" priority="54">
      <formula>$B45="HANGUP"</formula>
    </cfRule>
  </conditionalFormatting>
  <conditionalFormatting sqref="B30">
    <cfRule type="containsText" dxfId="2875" priority="4" operator="containsText" text="Hear">
      <formula>NOT(ISERROR(SEARCH("Hear",B30)))</formula>
    </cfRule>
  </conditionalFormatting>
  <conditionalFormatting sqref="B43:B44">
    <cfRule type="containsText" dxfId="2874" priority="14" operator="containsText" text="Hear">
      <formula>NOT(ISERROR(SEARCH("Hear",B43)))</formula>
    </cfRule>
  </conditionalFormatting>
  <conditionalFormatting sqref="E44">
    <cfRule type="containsText" dxfId="2873" priority="12" operator="containsText" text="WEB SERVICE">
      <formula>NOT(ISERROR(SEARCH("WEB SERVICE",E44)))</formula>
    </cfRule>
    <cfRule type="containsText" dxfId="2872" priority="13" operator="containsText" text="DB">
      <formula>NOT(ISERROR(SEARCH("DB",E44)))</formula>
    </cfRule>
  </conditionalFormatting>
  <conditionalFormatting sqref="C44">
    <cfRule type="expression" dxfId="2871" priority="15">
      <formula>$B44="Dial"</formula>
    </cfRule>
    <cfRule type="expression" dxfId="2870" priority="17">
      <formula>$B44="HANGUP"</formula>
    </cfRule>
  </conditionalFormatting>
  <conditionalFormatting sqref="C44">
    <cfRule type="expression" dxfId="2869" priority="16">
      <formula>$B44="Speak"</formula>
    </cfRule>
  </conditionalFormatting>
  <conditionalFormatting sqref="B8:B18">
    <cfRule type="containsText" dxfId="2868" priority="1" operator="containsText" text="Hear">
      <formula>NOT(ISERROR(SEARCH("Hear",B8)))</formula>
    </cfRule>
  </conditionalFormatting>
  <conditionalFormatting sqref="B36:B38 B40:B41">
    <cfRule type="containsText" dxfId="2867" priority="3" operator="containsText" text="Hear">
      <formula>NOT(ISERROR(SEARCH("Hear",B36)))</formula>
    </cfRule>
  </conditionalFormatting>
  <conditionalFormatting sqref="B19:B29 B31:B35 B42">
    <cfRule type="containsText" dxfId="2866" priority="5" operator="containsText" text="Hear">
      <formula>NOT(ISERROR(SEARCH("Hear",B19)))</formula>
    </cfRule>
  </conditionalFormatting>
  <hyperlinks>
    <hyperlink ref="A1" location="'Test Case Overview'!A1" display="Return to Test Case Overview" xr:uid="{00000000-0004-0000-6200-000000000000}"/>
  </hyperlinks>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expression" priority="8" id="{37653EE3-FD6E-4D1F-BE4C-AA18E3214FD0}">
            <xm:f>'TC1'!$B8="HANGUP"</xm:f>
            <x14:dxf>
              <font>
                <b/>
                <i val="0"/>
              </font>
            </x14:dxf>
          </x14:cfRule>
          <x14:cfRule type="expression" priority="9" id="{4CB0FFDF-E61D-492D-893A-E6C7F6EAAAE6}">
            <xm:f>'TC1'!$B8="Dial"</xm:f>
            <x14:dxf>
              <font>
                <b/>
                <i val="0"/>
                <color rgb="FFFF0000"/>
              </font>
            </x14:dxf>
          </x14:cfRule>
          <xm:sqref>C8</xm:sqref>
        </x14:conditionalFormatting>
        <x14:conditionalFormatting xmlns:xm="http://schemas.microsoft.com/office/excel/2006/main">
          <x14:cfRule type="expression" priority="10" id="{14D69D46-0421-4C1F-8679-AA35C2BD6F53}">
            <xm:f>'TC1'!$B8="Speak"</xm:f>
            <x14:dxf>
              <font>
                <b/>
                <i val="0"/>
                <color rgb="FFFF0000"/>
              </font>
            </x14:dxf>
          </x14:cfRule>
          <xm:sqref>C8</xm:sqref>
        </x14:conditionalFormatting>
        <x14:conditionalFormatting xmlns:xm="http://schemas.microsoft.com/office/excel/2006/main">
          <x14:cfRule type="containsText" priority="2" operator="containsText" text="Hear" id="{A740C2D1-D91C-45F8-9AA1-A85785806430}">
            <xm:f>NOT(ISERROR(SEARCH("Hear",'TC3'!B34)))</xm:f>
            <x14:dxf>
              <font>
                <color theme="9" tint="-0.24994659260841701"/>
              </font>
              <fill>
                <patternFill>
                  <bgColor theme="9" tint="0.59996337778862885"/>
                </patternFill>
              </fill>
            </x14:dxf>
          </x14:cfRule>
          <xm:sqref>B41</xm:sqref>
        </x14:conditionalFormatting>
        <x14:conditionalFormatting xmlns:xm="http://schemas.microsoft.com/office/excel/2006/main">
          <x14:cfRule type="expression" priority="2223" id="{37653EE3-FD6E-4D1F-BE4C-AA18E3214FD0}">
            <xm:f>'TC1'!$B16="HANGUP"</xm:f>
            <x14:dxf>
              <font>
                <b/>
                <i val="0"/>
              </font>
            </x14:dxf>
          </x14:cfRule>
          <x14:cfRule type="expression" priority="2224" id="{4CB0FFDF-E61D-492D-893A-E6C7F6EAAAE6}">
            <xm:f>'TC1'!$B16="Dial"</xm:f>
            <x14:dxf>
              <font>
                <b/>
                <i val="0"/>
                <color rgb="FFFF0000"/>
              </font>
            </x14:dxf>
          </x14:cfRule>
          <xm:sqref>C34:C43</xm:sqref>
        </x14:conditionalFormatting>
        <x14:conditionalFormatting xmlns:xm="http://schemas.microsoft.com/office/excel/2006/main">
          <x14:cfRule type="expression" priority="2225" id="{37653EE3-FD6E-4D1F-BE4C-AA18E3214FD0}">
            <xm:f>'TC1'!#REF!="HANGUP"</xm:f>
            <x14:dxf>
              <font>
                <b/>
                <i val="0"/>
              </font>
            </x14:dxf>
          </x14:cfRule>
          <x14:cfRule type="expression" priority="2226" id="{4CB0FFDF-E61D-492D-893A-E6C7F6EAAAE6}">
            <xm:f>'TC1'!#REF!="Dial"</xm:f>
            <x14:dxf>
              <font>
                <b/>
                <i val="0"/>
                <color rgb="FFFF0000"/>
              </font>
            </x14:dxf>
          </x14:cfRule>
          <xm:sqref>C17:C33</xm:sqref>
        </x14:conditionalFormatting>
        <x14:conditionalFormatting xmlns:xm="http://schemas.microsoft.com/office/excel/2006/main">
          <x14:cfRule type="expression" priority="2230" id="{14D69D46-0421-4C1F-8679-AA35C2BD6F53}">
            <xm:f>'TC1'!$B16="Speak"</xm:f>
            <x14:dxf>
              <font>
                <b/>
                <i val="0"/>
                <color rgb="FFFF0000"/>
              </font>
            </x14:dxf>
          </x14:cfRule>
          <xm:sqref>C34:C43</xm:sqref>
        </x14:conditionalFormatting>
        <x14:conditionalFormatting xmlns:xm="http://schemas.microsoft.com/office/excel/2006/main">
          <x14:cfRule type="expression" priority="2231" id="{14D69D46-0421-4C1F-8679-AA35C2BD6F53}">
            <xm:f>'TC1'!#REF!="Speak"</xm:f>
            <x14:dxf>
              <font>
                <b/>
                <i val="0"/>
                <color rgb="FFFF0000"/>
              </font>
            </x14:dxf>
          </x14:cfRule>
          <xm:sqref>C17:C33</xm:sqref>
        </x14:conditionalFormatting>
        <x14:conditionalFormatting xmlns:xm="http://schemas.microsoft.com/office/excel/2006/main">
          <x14:cfRule type="containsText" priority="2235" operator="containsText" text="DB" id="{774CA659-90CC-4220-B89A-AFC50E89CB87}">
            <xm:f>NOT(ISERROR(SEARCH("DB",'TC1'!E16)))</xm:f>
            <x14:dxf>
              <font>
                <color rgb="FF006100"/>
              </font>
              <fill>
                <patternFill>
                  <bgColor rgb="FFC6EFCE"/>
                </patternFill>
              </fill>
            </x14:dxf>
          </x14:cfRule>
          <x14:cfRule type="containsText" priority="2236" operator="containsText" text="WEB SERVICE" id="{6F7DEF2E-088D-4FFD-B38B-972E1042D64F}">
            <xm:f>NOT(ISERROR(SEARCH("WEB SERVICE",'TC1'!E16)))</xm:f>
            <x14:dxf>
              <font>
                <color rgb="FF9C0006"/>
              </font>
              <fill>
                <patternFill>
                  <bgColor rgb="FFFFC7CE"/>
                </patternFill>
              </fill>
            </x14:dxf>
          </x14:cfRule>
          <xm:sqref>E34:E43</xm:sqref>
        </x14:conditionalFormatting>
        <x14:conditionalFormatting xmlns:xm="http://schemas.microsoft.com/office/excel/2006/main">
          <x14:cfRule type="containsText" priority="2237" operator="containsText" text="DB" id="{774CA659-90CC-4220-B89A-AFC50E89CB87}">
            <xm:f>NOT(ISERROR(SEARCH("DB",'TC1'!#REF!)))</xm:f>
            <x14:dxf>
              <font>
                <color rgb="FF006100"/>
              </font>
              <fill>
                <patternFill>
                  <bgColor rgb="FFC6EFCE"/>
                </patternFill>
              </fill>
            </x14:dxf>
          </x14:cfRule>
          <x14:cfRule type="containsText" priority="2238" operator="containsText" text="WEB SERVICE" id="{6F7DEF2E-088D-4FFD-B38B-972E1042D64F}">
            <xm:f>NOT(ISERROR(SEARCH("WEB SERVICE",'TC1'!#REF!)))</xm:f>
            <x14:dxf>
              <font>
                <color rgb="FF9C0006"/>
              </font>
              <fill>
                <patternFill>
                  <bgColor rgb="FFFFC7CE"/>
                </patternFill>
              </fill>
            </x14:dxf>
          </x14:cfRule>
          <xm:sqref>E17:E33</xm:sqref>
        </x14:conditionalFormatting>
        <x14:conditionalFormatting xmlns:xm="http://schemas.microsoft.com/office/excel/2006/main">
          <x14:cfRule type="expression" priority="4939" id="{37653EE3-FD6E-4D1F-BE4C-AA18E3214FD0}">
            <xm:f>'TC1'!$B9="HANGUP"</xm:f>
            <x14:dxf>
              <font>
                <b/>
                <i val="0"/>
              </font>
            </x14:dxf>
          </x14:cfRule>
          <x14:cfRule type="expression" priority="4940" id="{4CB0FFDF-E61D-492D-893A-E6C7F6EAAAE6}">
            <xm:f>'TC1'!$B9="Dial"</xm:f>
            <x14:dxf>
              <font>
                <b/>
                <i val="0"/>
                <color rgb="FFFF0000"/>
              </font>
            </x14:dxf>
          </x14:cfRule>
          <xm:sqref>C12:C15</xm:sqref>
        </x14:conditionalFormatting>
        <x14:conditionalFormatting xmlns:xm="http://schemas.microsoft.com/office/excel/2006/main">
          <x14:cfRule type="expression" priority="4941" id="{37653EE3-FD6E-4D1F-BE4C-AA18E3214FD0}">
            <xm:f>'TC1'!#REF!="HANGUP"</xm:f>
            <x14:dxf>
              <font>
                <b/>
                <i val="0"/>
              </font>
            </x14:dxf>
          </x14:cfRule>
          <x14:cfRule type="expression" priority="4942" id="{4CB0FFDF-E61D-492D-893A-E6C7F6EAAAE6}">
            <xm:f>'TC1'!#REF!="Dial"</xm:f>
            <x14:dxf>
              <font>
                <b/>
                <i val="0"/>
                <color rgb="FFFF0000"/>
              </font>
            </x14:dxf>
          </x14:cfRule>
          <xm:sqref>C9:C11</xm:sqref>
        </x14:conditionalFormatting>
        <x14:conditionalFormatting xmlns:xm="http://schemas.microsoft.com/office/excel/2006/main">
          <x14:cfRule type="expression" priority="4946" id="{14D69D46-0421-4C1F-8679-AA35C2BD6F53}">
            <xm:f>'TC1'!$B9="Speak"</xm:f>
            <x14:dxf>
              <font>
                <b/>
                <i val="0"/>
                <color rgb="FFFF0000"/>
              </font>
            </x14:dxf>
          </x14:cfRule>
          <xm:sqref>C12:C15</xm:sqref>
        </x14:conditionalFormatting>
        <x14:conditionalFormatting xmlns:xm="http://schemas.microsoft.com/office/excel/2006/main">
          <x14:cfRule type="expression" priority="4947" id="{14D69D46-0421-4C1F-8679-AA35C2BD6F53}">
            <xm:f>'TC1'!#REF!="Speak"</xm:f>
            <x14:dxf>
              <font>
                <b/>
                <i val="0"/>
                <color rgb="FFFF0000"/>
              </font>
            </x14:dxf>
          </x14:cfRule>
          <xm:sqref>C9:C11</xm:sqref>
        </x14:conditionalFormatting>
        <x14:conditionalFormatting xmlns:xm="http://schemas.microsoft.com/office/excel/2006/main">
          <x14:cfRule type="containsText" priority="4949" operator="containsText" text="DB" id="{774CA659-90CC-4220-B89A-AFC50E89CB87}">
            <xm:f>NOT(ISERROR(SEARCH("DB",'TC1'!#REF!)))</xm:f>
            <x14:dxf>
              <font>
                <color rgb="FF006100"/>
              </font>
              <fill>
                <patternFill>
                  <bgColor rgb="FFC6EFCE"/>
                </patternFill>
              </fill>
            </x14:dxf>
          </x14:cfRule>
          <x14:cfRule type="containsText" priority="4950" operator="containsText" text="WEB SERVICE" id="{6F7DEF2E-088D-4FFD-B38B-972E1042D64F}">
            <xm:f>NOT(ISERROR(SEARCH("WEB SERVICE",'TC1'!#REF!)))</xm:f>
            <x14:dxf>
              <font>
                <color rgb="FF9C0006"/>
              </font>
              <fill>
                <patternFill>
                  <bgColor rgb="FFFFC7CE"/>
                </patternFill>
              </fill>
            </x14:dxf>
          </x14:cfRule>
          <xm:sqref>E9:E11</xm:sqref>
        </x14:conditionalFormatting>
        <x14:conditionalFormatting xmlns:xm="http://schemas.microsoft.com/office/excel/2006/main">
          <x14:cfRule type="containsText" priority="4951" operator="containsText" text="DB" id="{774CA659-90CC-4220-B89A-AFC50E89CB87}">
            <xm:f>NOT(ISERROR(SEARCH("DB",'TC1'!E9)))</xm:f>
            <x14:dxf>
              <font>
                <color rgb="FF006100"/>
              </font>
              <fill>
                <patternFill>
                  <bgColor rgb="FFC6EFCE"/>
                </patternFill>
              </fill>
            </x14:dxf>
          </x14:cfRule>
          <x14:cfRule type="containsText" priority="4952" operator="containsText" text="WEB SERVICE" id="{6F7DEF2E-088D-4FFD-B38B-972E1042D64F}">
            <xm:f>NOT(ISERROR(SEARCH("WEB SERVICE",'TC1'!E9)))</xm:f>
            <x14:dxf>
              <font>
                <color rgb="FF9C0006"/>
              </font>
              <fill>
                <patternFill>
                  <bgColor rgb="FFFFC7CE"/>
                </patternFill>
              </fill>
            </x14:dxf>
          </x14:cfRule>
          <xm:sqref>E12:E15</xm:sqref>
        </x14:conditionalFormatting>
        <x14:conditionalFormatting xmlns:xm="http://schemas.microsoft.com/office/excel/2006/main">
          <x14:cfRule type="expression" priority="7295" id="{37653EE3-FD6E-4D1F-BE4C-AA18E3214FD0}">
            <xm:f>'TC1'!$B15="HANGUP"</xm:f>
            <x14:dxf>
              <font>
                <b/>
                <i val="0"/>
              </font>
            </x14:dxf>
          </x14:cfRule>
          <x14:cfRule type="expression" priority="7296" id="{4CB0FFDF-E61D-492D-893A-E6C7F6EAAAE6}">
            <xm:f>'TC1'!$B15="Dial"</xm:f>
            <x14:dxf>
              <font>
                <b/>
                <i val="0"/>
                <color rgb="FFFF0000"/>
              </font>
            </x14:dxf>
          </x14:cfRule>
          <xm:sqref>C16</xm:sqref>
        </x14:conditionalFormatting>
        <x14:conditionalFormatting xmlns:xm="http://schemas.microsoft.com/office/excel/2006/main">
          <x14:cfRule type="expression" priority="7298" id="{14D69D46-0421-4C1F-8679-AA35C2BD6F53}">
            <xm:f>'TC1'!$B15="Speak"</xm:f>
            <x14:dxf>
              <font>
                <b/>
                <i val="0"/>
                <color rgb="FFFF0000"/>
              </font>
            </x14:dxf>
          </x14:cfRule>
          <xm:sqref>C16</xm:sqref>
        </x14:conditionalFormatting>
        <x14:conditionalFormatting xmlns:xm="http://schemas.microsoft.com/office/excel/2006/main">
          <x14:cfRule type="containsText" priority="7301" operator="containsText" text="DB" id="{774CA659-90CC-4220-B89A-AFC50E89CB87}">
            <xm:f>NOT(ISERROR(SEARCH("DB",'TC1'!E15)))</xm:f>
            <x14:dxf>
              <font>
                <color rgb="FF006100"/>
              </font>
              <fill>
                <patternFill>
                  <bgColor rgb="FFC6EFCE"/>
                </patternFill>
              </fill>
            </x14:dxf>
          </x14:cfRule>
          <x14:cfRule type="containsText" priority="7302" operator="containsText" text="WEB SERVICE" id="{6F7DEF2E-088D-4FFD-B38B-972E1042D64F}">
            <xm:f>NOT(ISERROR(SEARCH("WEB SERVICE",'TC1'!E15)))</xm:f>
            <x14:dxf>
              <font>
                <color rgb="FF9C0006"/>
              </font>
              <fill>
                <patternFill>
                  <bgColor rgb="FFFFC7CE"/>
                </patternFill>
              </fill>
            </x14:dxf>
          </x14:cfRule>
          <xm:sqref>E16</xm:sqref>
        </x14:conditionalFormatting>
        <x14:conditionalFormatting xmlns:xm="http://schemas.microsoft.com/office/excel/2006/main">
          <x14:cfRule type="containsText" priority="9794" operator="containsText" text="Hear" id="{4E8D644E-B7EE-4A7F-8EBE-235C54455359}">
            <xm:f>NOT(ISERROR(SEARCH("Hear",'TC26'!#REF!)))</xm:f>
            <x14:dxf>
              <font>
                <color theme="9" tint="-0.24994659260841701"/>
              </font>
              <fill>
                <patternFill>
                  <bgColor theme="9" tint="0.59996337778862885"/>
                </patternFill>
              </fill>
            </x14:dxf>
          </x14:cfRule>
          <xm:sqref>B39</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F5EA022DA27654C8A8CA66FFCAC7BAD" ma:contentTypeVersion="13" ma:contentTypeDescription="Create a new document." ma:contentTypeScope="" ma:versionID="2353aec51b88ddce637ab57ddb210fd5">
  <xsd:schema xmlns:xsd="http://www.w3.org/2001/XMLSchema" xmlns:xs="http://www.w3.org/2001/XMLSchema" xmlns:p="http://schemas.microsoft.com/office/2006/metadata/properties" xmlns:ns2="d2a38d62-ae60-4038-a6b1-9a2bf10e6225" xmlns:ns3="8fbfba95-7489-4ef4-bc3c-03f915dd80f9" targetNamespace="http://schemas.microsoft.com/office/2006/metadata/properties" ma:root="true" ma:fieldsID="b3e4c6eb1cc27b757262e6329e3e477d" ns2:_="" ns3:_="">
    <xsd:import namespace="d2a38d62-ae60-4038-a6b1-9a2bf10e6225"/>
    <xsd:import namespace="8fbfba95-7489-4ef4-bc3c-03f915dd80f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element ref="ns2:MediaServiceLocation" minOccurs="0"/>
                <xsd:element ref="ns2:Dat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2a38d62-ae60-4038-a6b1-9a2bf10e622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ServiceLocation" ma:index="19" nillable="true" ma:displayName="Location" ma:internalName="MediaServiceLocation" ma:readOnly="true">
      <xsd:simpleType>
        <xsd:restriction base="dms:Text"/>
      </xsd:simpleType>
    </xsd:element>
    <xsd:element name="Date" ma:index="20" nillable="true" ma:displayName="Date" ma:format="DateTime" ma:internalName="Dat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8fbfba95-7489-4ef4-bc3c-03f915dd80f9"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Date xmlns="d2a38d62-ae60-4038-a6b1-9a2bf10e6225" xsi:nil="true"/>
  </documentManagement>
</p:properties>
</file>

<file path=customXml/itemProps1.xml><?xml version="1.0" encoding="utf-8"?>
<ds:datastoreItem xmlns:ds="http://schemas.openxmlformats.org/officeDocument/2006/customXml" ds:itemID="{D53C02A8-25D9-41E4-BE1D-4D680470FE57}"/>
</file>

<file path=customXml/itemProps2.xml><?xml version="1.0" encoding="utf-8"?>
<ds:datastoreItem xmlns:ds="http://schemas.openxmlformats.org/officeDocument/2006/customXml" ds:itemID="{8641AECF-FAEF-4440-A374-886E8D17F2B5}"/>
</file>

<file path=customXml/itemProps3.xml><?xml version="1.0" encoding="utf-8"?>
<ds:datastoreItem xmlns:ds="http://schemas.openxmlformats.org/officeDocument/2006/customXml" ds:itemID="{82794610-7C73-4DA7-80A4-DF57C330C4FC}"/>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203</vt:i4>
      </vt:variant>
      <vt:variant>
        <vt:lpstr>Named Ranges</vt:lpstr>
      </vt:variant>
      <vt:variant>
        <vt:i4>8</vt:i4>
      </vt:variant>
    </vt:vector>
  </HeadingPairs>
  <TitlesOfParts>
    <vt:vector size="211" baseType="lpstr">
      <vt:lpstr>Test Case Overview</vt:lpstr>
      <vt:lpstr>TC1</vt:lpstr>
      <vt:lpstr>TC2</vt:lpstr>
      <vt:lpstr>TC3</vt:lpstr>
      <vt:lpstr>TC4</vt:lpstr>
      <vt:lpstr>TC5</vt:lpstr>
      <vt:lpstr>TC6</vt:lpstr>
      <vt:lpstr>TC7</vt:lpstr>
      <vt:lpstr>TC8</vt:lpstr>
      <vt:lpstr>TC9</vt:lpstr>
      <vt:lpstr>TC10</vt:lpstr>
      <vt:lpstr>TC11</vt:lpstr>
      <vt:lpstr>TC12</vt:lpstr>
      <vt:lpstr>TC13</vt:lpstr>
      <vt:lpstr>TC14</vt:lpstr>
      <vt:lpstr>TC15</vt:lpstr>
      <vt:lpstr>TC16</vt:lpstr>
      <vt:lpstr>TC17</vt:lpstr>
      <vt:lpstr>TC18</vt:lpstr>
      <vt:lpstr>TC19</vt:lpstr>
      <vt:lpstr>TC20</vt:lpstr>
      <vt:lpstr>TC21</vt:lpstr>
      <vt:lpstr>TC22</vt:lpstr>
      <vt:lpstr>TC23</vt:lpstr>
      <vt:lpstr>TC24</vt:lpstr>
      <vt:lpstr>TC25</vt:lpstr>
      <vt:lpstr>TC26</vt:lpstr>
      <vt:lpstr>TC27</vt:lpstr>
      <vt:lpstr>TC28</vt:lpstr>
      <vt:lpstr>TC29</vt:lpstr>
      <vt:lpstr>TC30</vt:lpstr>
      <vt:lpstr>TC31</vt:lpstr>
      <vt:lpstr>TC32</vt:lpstr>
      <vt:lpstr>TC33</vt:lpstr>
      <vt:lpstr>TC34</vt:lpstr>
      <vt:lpstr>TC35</vt:lpstr>
      <vt:lpstr>TC36</vt:lpstr>
      <vt:lpstr>TC37</vt:lpstr>
      <vt:lpstr>TC38</vt:lpstr>
      <vt:lpstr>TC39</vt:lpstr>
      <vt:lpstr>TC40</vt:lpstr>
      <vt:lpstr>TC41</vt:lpstr>
      <vt:lpstr>TC42</vt:lpstr>
      <vt:lpstr>TC43</vt:lpstr>
      <vt:lpstr>TC44</vt:lpstr>
      <vt:lpstr>TC45</vt:lpstr>
      <vt:lpstr>TC46</vt:lpstr>
      <vt:lpstr>TC47</vt:lpstr>
      <vt:lpstr>TC48</vt:lpstr>
      <vt:lpstr>TC49</vt:lpstr>
      <vt:lpstr>TC50</vt:lpstr>
      <vt:lpstr>TC51</vt:lpstr>
      <vt:lpstr>TC52</vt:lpstr>
      <vt:lpstr>TC53</vt:lpstr>
      <vt:lpstr>TC54</vt:lpstr>
      <vt:lpstr>TC55</vt:lpstr>
      <vt:lpstr>TC56</vt:lpstr>
      <vt:lpstr>TC57</vt:lpstr>
      <vt:lpstr>TC58</vt:lpstr>
      <vt:lpstr>TC59</vt:lpstr>
      <vt:lpstr>TC60</vt:lpstr>
      <vt:lpstr>TC61</vt:lpstr>
      <vt:lpstr>TC62</vt:lpstr>
      <vt:lpstr>TC63</vt:lpstr>
      <vt:lpstr>TC64</vt:lpstr>
      <vt:lpstr>TC65</vt:lpstr>
      <vt:lpstr>TC66</vt:lpstr>
      <vt:lpstr>TC67</vt:lpstr>
      <vt:lpstr>TC68</vt:lpstr>
      <vt:lpstr>TC69</vt:lpstr>
      <vt:lpstr>TC70</vt:lpstr>
      <vt:lpstr>TC71</vt:lpstr>
      <vt:lpstr>TC72</vt:lpstr>
      <vt:lpstr>TC73</vt:lpstr>
      <vt:lpstr>TC74</vt:lpstr>
      <vt:lpstr>TC75</vt:lpstr>
      <vt:lpstr>TC76</vt:lpstr>
      <vt:lpstr>TC77</vt:lpstr>
      <vt:lpstr>TC78</vt:lpstr>
      <vt:lpstr>TC79</vt:lpstr>
      <vt:lpstr>TC80</vt:lpstr>
      <vt:lpstr>TC81</vt:lpstr>
      <vt:lpstr>TC82</vt:lpstr>
      <vt:lpstr>TC83</vt:lpstr>
      <vt:lpstr>TC84</vt:lpstr>
      <vt:lpstr>TC85</vt:lpstr>
      <vt:lpstr>TC86</vt:lpstr>
      <vt:lpstr>TC87</vt:lpstr>
      <vt:lpstr>TC88</vt:lpstr>
      <vt:lpstr>TC89</vt:lpstr>
      <vt:lpstr>TC90</vt:lpstr>
      <vt:lpstr>TC91</vt:lpstr>
      <vt:lpstr>TC92</vt:lpstr>
      <vt:lpstr>TC93</vt:lpstr>
      <vt:lpstr>TC94</vt:lpstr>
      <vt:lpstr>TC95</vt:lpstr>
      <vt:lpstr>TC96</vt:lpstr>
      <vt:lpstr>TC97</vt:lpstr>
      <vt:lpstr>TC98</vt:lpstr>
      <vt:lpstr>TC99</vt:lpstr>
      <vt:lpstr>TC100</vt:lpstr>
      <vt:lpstr>TC101</vt:lpstr>
      <vt:lpstr>TC102</vt:lpstr>
      <vt:lpstr>TC103</vt:lpstr>
      <vt:lpstr>TC104</vt:lpstr>
      <vt:lpstr>TC105</vt:lpstr>
      <vt:lpstr>TC106</vt:lpstr>
      <vt:lpstr>TC107</vt:lpstr>
      <vt:lpstr>TC108</vt:lpstr>
      <vt:lpstr>TC109</vt:lpstr>
      <vt:lpstr>TC110</vt:lpstr>
      <vt:lpstr>TC111</vt:lpstr>
      <vt:lpstr>TC112</vt:lpstr>
      <vt:lpstr>TC113</vt:lpstr>
      <vt:lpstr>TC114</vt:lpstr>
      <vt:lpstr>TC115</vt:lpstr>
      <vt:lpstr>TC116</vt:lpstr>
      <vt:lpstr>TC117</vt:lpstr>
      <vt:lpstr>TC118</vt:lpstr>
      <vt:lpstr>TC119</vt:lpstr>
      <vt:lpstr>TC120</vt:lpstr>
      <vt:lpstr>TC121</vt:lpstr>
      <vt:lpstr>TC122</vt:lpstr>
      <vt:lpstr>TC123</vt:lpstr>
      <vt:lpstr>TC124</vt:lpstr>
      <vt:lpstr>TC125</vt:lpstr>
      <vt:lpstr>TC126</vt:lpstr>
      <vt:lpstr>TC127</vt:lpstr>
      <vt:lpstr>TC128</vt:lpstr>
      <vt:lpstr>TC129</vt:lpstr>
      <vt:lpstr>TC130</vt:lpstr>
      <vt:lpstr>TC131</vt:lpstr>
      <vt:lpstr>TC132</vt:lpstr>
      <vt:lpstr>TC133</vt:lpstr>
      <vt:lpstr>TC134</vt:lpstr>
      <vt:lpstr>TC135</vt:lpstr>
      <vt:lpstr>TC136</vt:lpstr>
      <vt:lpstr>TC137</vt:lpstr>
      <vt:lpstr>TC138</vt:lpstr>
      <vt:lpstr>TC139</vt:lpstr>
      <vt:lpstr>TC140</vt:lpstr>
      <vt:lpstr>TC141</vt:lpstr>
      <vt:lpstr>TC142</vt:lpstr>
      <vt:lpstr>TC143</vt:lpstr>
      <vt:lpstr>TC144</vt:lpstr>
      <vt:lpstr>TC145</vt:lpstr>
      <vt:lpstr>TC146</vt:lpstr>
      <vt:lpstr>TC147</vt:lpstr>
      <vt:lpstr>TC148</vt:lpstr>
      <vt:lpstr>TC149</vt:lpstr>
      <vt:lpstr>TC150</vt:lpstr>
      <vt:lpstr>TC151</vt:lpstr>
      <vt:lpstr>TC152</vt:lpstr>
      <vt:lpstr>TC153</vt:lpstr>
      <vt:lpstr>TC154</vt:lpstr>
      <vt:lpstr>TC155</vt:lpstr>
      <vt:lpstr>TC156</vt:lpstr>
      <vt:lpstr>TC157</vt:lpstr>
      <vt:lpstr>TC158</vt:lpstr>
      <vt:lpstr>TC159</vt:lpstr>
      <vt:lpstr>TC160</vt:lpstr>
      <vt:lpstr>TC161</vt:lpstr>
      <vt:lpstr>TC162</vt:lpstr>
      <vt:lpstr>TC163</vt:lpstr>
      <vt:lpstr>TC164</vt:lpstr>
      <vt:lpstr>TC165</vt:lpstr>
      <vt:lpstr>TC166</vt:lpstr>
      <vt:lpstr>TC167</vt:lpstr>
      <vt:lpstr>TC168</vt:lpstr>
      <vt:lpstr>TC169</vt:lpstr>
      <vt:lpstr>TC170</vt:lpstr>
      <vt:lpstr>TC171</vt:lpstr>
      <vt:lpstr>TC172</vt:lpstr>
      <vt:lpstr>TC173</vt:lpstr>
      <vt:lpstr>TC174</vt:lpstr>
      <vt:lpstr>TC175</vt:lpstr>
      <vt:lpstr>TC176</vt:lpstr>
      <vt:lpstr>TC177</vt:lpstr>
      <vt:lpstr>TC178</vt:lpstr>
      <vt:lpstr>TC179</vt:lpstr>
      <vt:lpstr>TC180</vt:lpstr>
      <vt:lpstr>TC181</vt:lpstr>
      <vt:lpstr>TC182</vt:lpstr>
      <vt:lpstr>TC183</vt:lpstr>
      <vt:lpstr>TC184</vt:lpstr>
      <vt:lpstr>TC185</vt:lpstr>
      <vt:lpstr>TC186</vt:lpstr>
      <vt:lpstr>TC187</vt:lpstr>
      <vt:lpstr>TC188</vt:lpstr>
      <vt:lpstr>TC189</vt:lpstr>
      <vt:lpstr>TC190</vt:lpstr>
      <vt:lpstr>TC191</vt:lpstr>
      <vt:lpstr>TC192</vt:lpstr>
      <vt:lpstr>TC193</vt:lpstr>
      <vt:lpstr>TC194</vt:lpstr>
      <vt:lpstr>TC195</vt:lpstr>
      <vt:lpstr>TC196</vt:lpstr>
      <vt:lpstr>TC197</vt:lpstr>
      <vt:lpstr>TC198</vt:lpstr>
      <vt:lpstr>TC199</vt:lpstr>
      <vt:lpstr>TC200</vt:lpstr>
      <vt:lpstr>TC201</vt:lpstr>
      <vt:lpstr>PEG DICTIONARY</vt:lpstr>
      <vt:lpstr>'PEG DICTIONARY'!_Toc489362546</vt:lpstr>
      <vt:lpstr>'PEG DICTIONARY'!_Toc489362555</vt:lpstr>
      <vt:lpstr>'PEG DICTIONARY'!_Toc489362616</vt:lpstr>
      <vt:lpstr>'PEG DICTIONARY'!_Toc489362651</vt:lpstr>
      <vt:lpstr>'PEG DICTIONARY'!_Toc489362687</vt:lpstr>
      <vt:lpstr>'PEG DICTIONARY'!_Toc489362752</vt:lpstr>
      <vt:lpstr>'PEG DICTIONARY'!_Toc489362803</vt:lpstr>
      <vt:lpstr>Overview_Table</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Payton</dc:creator>
  <cp:lastModifiedBy>carolyn.daugherty</cp:lastModifiedBy>
  <dcterms:created xsi:type="dcterms:W3CDTF">2018-04-23T17:45:52Z</dcterms:created>
  <dcterms:modified xsi:type="dcterms:W3CDTF">2020-09-22T17:23:26Z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0x010100CF5EA022DA27654C8A8CA66FFCAC7BAD</vt:lpwstr>
  </property>
</Properties>
</file>